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 Foss\Desktop\"/>
    </mc:Choice>
  </mc:AlternateContent>
  <xr:revisionPtr revIDLastSave="0" documentId="8_{DBE14E31-915E-4A2F-9F0F-8947146CE6ED}" xr6:coauthVersionLast="47" xr6:coauthVersionMax="47" xr10:uidLastSave="{00000000-0000-0000-0000-000000000000}"/>
  <bookViews>
    <workbookView xWindow="-108" yWindow="-108" windowWidth="23256" windowHeight="12576" xr2:uid="{8E00B624-BAE4-FF4C-9C12-F91531A6D241}"/>
  </bookViews>
  <sheets>
    <sheet name="VEHICLE" sheetId="1" r:id="rId1"/>
    <sheet name="Track Map" sheetId="3" r:id="rId2"/>
    <sheet name="BSFC" sheetId="5" r:id="rId3"/>
    <sheet name="Drive Cycle" sheetId="4" r:id="rId4"/>
    <sheet name="Graphs" sheetId="6" r:id="rId5"/>
    <sheet name="Tractive Effort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7" l="1"/>
  <c r="E4" i="7" s="1"/>
  <c r="D5" i="7"/>
  <c r="E5" i="7" s="1"/>
  <c r="D6" i="7"/>
  <c r="E6" i="7" s="1"/>
  <c r="D3" i="7"/>
  <c r="E3" i="7" s="1"/>
  <c r="G1086" i="4" l="1"/>
  <c r="G1087" i="4" s="1"/>
  <c r="G1088" i="4" s="1"/>
  <c r="G1089" i="4" s="1"/>
  <c r="G1090" i="4" s="1"/>
  <c r="G1091" i="4" s="1"/>
  <c r="G1092" i="4" s="1"/>
  <c r="G1093" i="4" s="1"/>
  <c r="G1094" i="4" s="1"/>
  <c r="G1095" i="4" s="1"/>
  <c r="G1096" i="4" s="1"/>
  <c r="G1097" i="4" s="1"/>
  <c r="G1098" i="4" s="1"/>
  <c r="G1099" i="4" s="1"/>
  <c r="G1100" i="4" s="1"/>
  <c r="G1101" i="4" s="1"/>
  <c r="G1102" i="4" s="1"/>
  <c r="G1103" i="4" s="1"/>
  <c r="G1104" i="4" s="1"/>
  <c r="G1105" i="4" s="1"/>
  <c r="G1106" i="4" s="1"/>
  <c r="G1107" i="4" s="1"/>
  <c r="G1108" i="4" s="1"/>
  <c r="G1109" i="4" s="1"/>
  <c r="G1110" i="4" s="1"/>
  <c r="G1111" i="4" s="1"/>
  <c r="G693" i="4"/>
  <c r="G694" i="4" s="1"/>
  <c r="G695" i="4" s="1"/>
  <c r="G696" i="4" s="1"/>
  <c r="G697" i="4" s="1"/>
  <c r="G698" i="4" s="1"/>
  <c r="G699" i="4" s="1"/>
  <c r="G700" i="4" s="1"/>
  <c r="G701" i="4" s="1"/>
  <c r="G702" i="4" s="1"/>
  <c r="G703" i="4" s="1"/>
  <c r="G704" i="4" s="1"/>
  <c r="G705" i="4" s="1"/>
  <c r="G706" i="4" s="1"/>
  <c r="G707" i="4" s="1"/>
  <c r="G708" i="4" s="1"/>
  <c r="G709" i="4" s="1"/>
  <c r="G710" i="4" s="1"/>
  <c r="G711" i="4" s="1"/>
  <c r="G712" i="4" s="1"/>
  <c r="G713" i="4" s="1"/>
  <c r="G405" i="4"/>
  <c r="G406" i="4" s="1"/>
  <c r="G407" i="4" s="1"/>
  <c r="G408" i="4" s="1"/>
  <c r="G409" i="4" s="1"/>
  <c r="G410" i="4" s="1"/>
  <c r="G411" i="4" s="1"/>
  <c r="G412" i="4" s="1"/>
  <c r="G413" i="4" s="1"/>
  <c r="G414" i="4" s="1"/>
  <c r="G299" i="4"/>
  <c r="G300" i="4" s="1"/>
  <c r="G301" i="4" s="1"/>
  <c r="G302" i="4" s="1"/>
  <c r="G303" i="4" s="1"/>
  <c r="G304" i="4" s="1"/>
  <c r="G305" i="4" s="1"/>
  <c r="G306" i="4" s="1"/>
  <c r="G1006" i="4"/>
  <c r="G1007" i="4" s="1"/>
  <c r="G1008" i="4" s="1"/>
  <c r="G1009" i="4" s="1"/>
  <c r="G1010" i="4" s="1"/>
  <c r="G1011" i="4" s="1"/>
  <c r="G1012" i="4" s="1"/>
  <c r="G1013" i="4" s="1"/>
  <c r="G1014" i="4" s="1"/>
  <c r="G1015" i="4" s="1"/>
  <c r="G1016" i="4" s="1"/>
  <c r="G1017" i="4" s="1"/>
  <c r="G1018" i="4" s="1"/>
  <c r="G1019" i="4" s="1"/>
  <c r="G1020" i="4" s="1"/>
  <c r="G1021" i="4" s="1"/>
  <c r="G1022" i="4" s="1"/>
  <c r="G1023" i="4" s="1"/>
  <c r="G1024" i="4" s="1"/>
  <c r="G1025" i="4" s="1"/>
  <c r="G1026" i="4" s="1"/>
  <c r="G1027" i="4" s="1"/>
  <c r="G1028" i="4" s="1"/>
  <c r="G1029" i="4" s="1"/>
  <c r="G1030" i="4" s="1"/>
  <c r="G1031" i="4" s="1"/>
  <c r="G1032" i="4" s="1"/>
  <c r="G1033" i="4" s="1"/>
  <c r="G939" i="4"/>
  <c r="G940" i="4" s="1"/>
  <c r="G941" i="4" s="1"/>
  <c r="G942" i="4" s="1"/>
  <c r="G943" i="4" s="1"/>
  <c r="G944" i="4" s="1"/>
  <c r="G945" i="4" s="1"/>
  <c r="G946" i="4" s="1"/>
  <c r="G947" i="4" s="1"/>
  <c r="G948" i="4" s="1"/>
  <c r="G949" i="4" s="1"/>
  <c r="G950" i="4" s="1"/>
  <c r="G951" i="4" s="1"/>
  <c r="G952" i="4" s="1"/>
  <c r="G953" i="4" s="1"/>
  <c r="G954" i="4" s="1"/>
  <c r="G955" i="4" s="1"/>
  <c r="G956" i="4" s="1"/>
  <c r="G957" i="4" s="1"/>
  <c r="G958" i="4" s="1"/>
  <c r="G959" i="4" s="1"/>
  <c r="G960" i="4" s="1"/>
  <c r="G961" i="4" s="1"/>
  <c r="G962" i="4" s="1"/>
  <c r="G963" i="4" s="1"/>
  <c r="G964" i="4" s="1"/>
  <c r="G965" i="4" s="1"/>
  <c r="G966" i="4" s="1"/>
  <c r="G967" i="4" s="1"/>
  <c r="G968" i="4" s="1"/>
  <c r="G969" i="4" s="1"/>
  <c r="G970" i="4" s="1"/>
  <c r="G971" i="4" s="1"/>
  <c r="G972" i="4" s="1"/>
  <c r="G973" i="4" s="1"/>
  <c r="G974" i="4" s="1"/>
  <c r="G975" i="4" s="1"/>
  <c r="G976" i="4" s="1"/>
  <c r="G977" i="4" s="1"/>
  <c r="G978" i="4" s="1"/>
  <c r="G979" i="4" s="1"/>
  <c r="G980" i="4" s="1"/>
  <c r="G981" i="4" s="1"/>
  <c r="G982" i="4" s="1"/>
  <c r="G606" i="4"/>
  <c r="G607" i="4" s="1"/>
  <c r="G608" i="4" s="1"/>
  <c r="G609" i="4" s="1"/>
  <c r="G610" i="4" s="1"/>
  <c r="G370" i="4"/>
  <c r="G371" i="4" s="1"/>
  <c r="G372" i="4" s="1"/>
  <c r="G373" i="4" s="1"/>
  <c r="G374" i="4" s="1"/>
  <c r="G375" i="4" s="1"/>
  <c r="G376" i="4" s="1"/>
  <c r="G377" i="4" s="1"/>
  <c r="G378" i="4" s="1"/>
  <c r="G379" i="4" s="1"/>
  <c r="G380" i="4" s="1"/>
  <c r="G381" i="4" s="1"/>
  <c r="G382" i="4" s="1"/>
  <c r="G383" i="4" s="1"/>
  <c r="G384" i="4" s="1"/>
  <c r="G385" i="4" s="1"/>
  <c r="G386" i="4" s="1"/>
  <c r="G387" i="4" s="1"/>
  <c r="G388" i="4" s="1"/>
  <c r="G389" i="4" s="1"/>
  <c r="G390" i="4" s="1"/>
  <c r="G391" i="4" s="1"/>
  <c r="G392" i="4" s="1"/>
  <c r="G393" i="4" s="1"/>
  <c r="G394" i="4" s="1"/>
  <c r="G395" i="4" s="1"/>
  <c r="G396" i="4" s="1"/>
  <c r="G397" i="4" s="1"/>
  <c r="G398" i="4" s="1"/>
  <c r="G399" i="4" s="1"/>
  <c r="G400" i="4" s="1"/>
  <c r="G401" i="4" s="1"/>
  <c r="G402" i="4" s="1"/>
  <c r="G331" i="4"/>
  <c r="G332" i="4" s="1"/>
  <c r="G333" i="4" s="1"/>
  <c r="G334" i="4" s="1"/>
  <c r="G335" i="4" s="1"/>
  <c r="G336" i="4" s="1"/>
  <c r="G337" i="4" s="1"/>
  <c r="G338" i="4" s="1"/>
  <c r="G339" i="4" s="1"/>
  <c r="G340" i="4" s="1"/>
  <c r="G341" i="4" s="1"/>
  <c r="G342" i="4" s="1"/>
  <c r="G343" i="4" s="1"/>
  <c r="G344" i="4" s="1"/>
  <c r="G345" i="4" s="1"/>
  <c r="G346" i="4" s="1"/>
  <c r="G347" i="4" s="1"/>
  <c r="G348" i="4" s="1"/>
  <c r="G349" i="4" s="1"/>
  <c r="G350" i="4" s="1"/>
  <c r="G351" i="4" s="1"/>
  <c r="G352" i="4" s="1"/>
  <c r="G353" i="4" s="1"/>
  <c r="G354" i="4" s="1"/>
  <c r="G355" i="4" s="1"/>
  <c r="G356" i="4" s="1"/>
  <c r="G357" i="4" s="1"/>
  <c r="G358" i="4" s="1"/>
  <c r="G359" i="4" s="1"/>
  <c r="G360" i="4" s="1"/>
  <c r="G361" i="4" s="1"/>
  <c r="G362" i="4" s="1"/>
  <c r="G257" i="4"/>
  <c r="G258" i="4" s="1"/>
  <c r="G259" i="4" s="1"/>
  <c r="G260" i="4" s="1"/>
  <c r="G261" i="4" s="1"/>
  <c r="G262" i="4" s="1"/>
  <c r="G263" i="4" s="1"/>
  <c r="G264" i="4" s="1"/>
  <c r="G265" i="4" s="1"/>
  <c r="G266" i="4" s="1"/>
  <c r="G267" i="4" s="1"/>
  <c r="G268" i="4" s="1"/>
  <c r="G269" i="4" s="1"/>
  <c r="G270" i="4" s="1"/>
  <c r="G271" i="4" s="1"/>
  <c r="G272" i="4" s="1"/>
  <c r="G273" i="4" s="1"/>
  <c r="G274" i="4" s="1"/>
  <c r="G275" i="4" s="1"/>
  <c r="G276" i="4" s="1"/>
  <c r="G277" i="4" s="1"/>
  <c r="G278" i="4" s="1"/>
  <c r="G279" i="4" s="1"/>
  <c r="G280" i="4" s="1"/>
  <c r="G281" i="4" s="1"/>
  <c r="G282" i="4" s="1"/>
  <c r="G283" i="4" s="1"/>
  <c r="G284" i="4" s="1"/>
  <c r="G285" i="4" s="1"/>
  <c r="G286" i="4" s="1"/>
  <c r="G287" i="4" s="1"/>
  <c r="G220" i="4"/>
  <c r="G221" i="4" s="1"/>
  <c r="G222" i="4" s="1"/>
  <c r="G223" i="4" s="1"/>
  <c r="G224" i="4" s="1"/>
  <c r="G225" i="4" s="1"/>
  <c r="G226" i="4" s="1"/>
  <c r="G227" i="4" s="1"/>
  <c r="G228" i="4" s="1"/>
  <c r="G229" i="4" s="1"/>
  <c r="G230" i="4" s="1"/>
  <c r="G231" i="4" s="1"/>
  <c r="G232" i="4" s="1"/>
  <c r="G233" i="4" s="1"/>
  <c r="G234" i="4" s="1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247" i="4" s="1"/>
  <c r="G248" i="4" s="1"/>
  <c r="G249" i="4" s="1"/>
  <c r="G250" i="4" s="1"/>
  <c r="G251" i="4" s="1"/>
  <c r="G252" i="4" s="1"/>
  <c r="G253" i="4" s="1"/>
  <c r="G254" i="4" s="1"/>
  <c r="G255" i="4" s="1"/>
  <c r="G162" i="4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5" i="4"/>
  <c r="G6" i="4" s="1"/>
  <c r="G7" i="4" s="1"/>
  <c r="G8" i="4" s="1"/>
  <c r="G9" i="4" s="1"/>
  <c r="G10" i="4" s="1"/>
  <c r="G11" i="4" s="1"/>
  <c r="G12" i="4" s="1"/>
  <c r="J82" i="1"/>
  <c r="K82" i="1" s="1"/>
  <c r="I81" i="1"/>
  <c r="J81" i="1" s="1"/>
  <c r="K81" i="1" s="1"/>
  <c r="J55" i="1"/>
  <c r="I54" i="1"/>
  <c r="G1034" i="4" l="1"/>
  <c r="G1035" i="4" s="1"/>
  <c r="G1036" i="4" s="1"/>
  <c r="G1037" i="4" s="1"/>
  <c r="G1038" i="4" s="1"/>
  <c r="G1039" i="4" s="1"/>
  <c r="G1040" i="4" s="1"/>
  <c r="G1041" i="4" s="1"/>
  <c r="G1042" i="4" s="1"/>
  <c r="G1043" i="4" s="1"/>
  <c r="G1044" i="4" s="1"/>
  <c r="G1045" i="4" s="1"/>
  <c r="G1046" i="4" s="1"/>
  <c r="G1047" i="4" s="1"/>
  <c r="G1048" i="4" s="1"/>
  <c r="G1049" i="4" s="1"/>
  <c r="G1050" i="4" s="1"/>
  <c r="G1051" i="4" s="1"/>
  <c r="G1052" i="4" s="1"/>
  <c r="G1053" i="4" s="1"/>
  <c r="G983" i="4"/>
  <c r="G984" i="4" s="1"/>
  <c r="G985" i="4" s="1"/>
  <c r="G986" i="4" s="1"/>
  <c r="G987" i="4" s="1"/>
  <c r="G988" i="4" s="1"/>
  <c r="G989" i="4" s="1"/>
  <c r="G990" i="4" s="1"/>
  <c r="G991" i="4" s="1"/>
  <c r="G992" i="4" s="1"/>
  <c r="G993" i="4" s="1"/>
  <c r="G994" i="4" s="1"/>
  <c r="G995" i="4" s="1"/>
  <c r="G996" i="4" s="1"/>
  <c r="G997" i="4" s="1"/>
  <c r="G998" i="4" s="1"/>
  <c r="G999" i="4" s="1"/>
  <c r="G1000" i="4" s="1"/>
  <c r="G1001" i="4" s="1"/>
  <c r="G1002" i="4" s="1"/>
  <c r="G1003" i="4" s="1"/>
  <c r="G1004" i="4" s="1"/>
  <c r="G714" i="4"/>
  <c r="G715" i="4" s="1"/>
  <c r="G716" i="4" s="1"/>
  <c r="G717" i="4" s="1"/>
  <c r="G718" i="4" s="1"/>
  <c r="G719" i="4" s="1"/>
  <c r="G720" i="4" s="1"/>
  <c r="G721" i="4" s="1"/>
  <c r="G722" i="4" s="1"/>
  <c r="G723" i="4" s="1"/>
  <c r="G724" i="4" s="1"/>
  <c r="G725" i="4" s="1"/>
  <c r="G726" i="4" s="1"/>
  <c r="G727" i="4" s="1"/>
  <c r="G728" i="4" s="1"/>
  <c r="G729" i="4" s="1"/>
  <c r="G730" i="4" s="1"/>
  <c r="G731" i="4" s="1"/>
  <c r="G732" i="4" s="1"/>
  <c r="G733" i="4" s="1"/>
  <c r="G734" i="4" s="1"/>
  <c r="G735" i="4" s="1"/>
  <c r="G736" i="4" s="1"/>
  <c r="G737" i="4" s="1"/>
  <c r="G738" i="4" s="1"/>
  <c r="G739" i="4" s="1"/>
  <c r="G740" i="4" s="1"/>
  <c r="G741" i="4" s="1"/>
  <c r="G742" i="4" s="1"/>
  <c r="G743" i="4" s="1"/>
  <c r="G744" i="4" s="1"/>
  <c r="G745" i="4" s="1"/>
  <c r="G746" i="4" s="1"/>
  <c r="G747" i="4" s="1"/>
  <c r="G415" i="4"/>
  <c r="G416" i="4" s="1"/>
  <c r="G417" i="4" s="1"/>
  <c r="G418" i="4" s="1"/>
  <c r="G419" i="4" s="1"/>
  <c r="G420" i="4" s="1"/>
  <c r="G421" i="4" s="1"/>
  <c r="G422" i="4" s="1"/>
  <c r="G423" i="4" s="1"/>
  <c r="G424" i="4" s="1"/>
  <c r="G425" i="4" s="1"/>
  <c r="G307" i="4"/>
  <c r="G308" i="4" s="1"/>
  <c r="G309" i="4" s="1"/>
  <c r="G310" i="4" s="1"/>
  <c r="G311" i="4" s="1"/>
  <c r="G312" i="4" s="1"/>
  <c r="G313" i="4" s="1"/>
  <c r="G314" i="4" s="1"/>
  <c r="G315" i="4" s="1"/>
  <c r="G316" i="4" s="1"/>
  <c r="G317" i="4" s="1"/>
  <c r="G318" i="4" s="1"/>
  <c r="G319" i="4" s="1"/>
  <c r="G320" i="4" s="1"/>
  <c r="G321" i="4" s="1"/>
  <c r="G322" i="4" s="1"/>
  <c r="G323" i="4" s="1"/>
  <c r="J54" i="1"/>
  <c r="I53" i="1"/>
  <c r="J53" i="1" s="1"/>
  <c r="I80" i="1"/>
  <c r="J80" i="1" s="1"/>
  <c r="K80" i="1" s="1"/>
  <c r="I52" i="1" l="1"/>
  <c r="G426" i="4"/>
  <c r="G427" i="4" s="1"/>
  <c r="G428" i="4" s="1"/>
  <c r="G429" i="4" s="1"/>
  <c r="G430" i="4" s="1"/>
  <c r="G431" i="4" s="1"/>
  <c r="G432" i="4" s="1"/>
  <c r="G433" i="4" s="1"/>
  <c r="G434" i="4" s="1"/>
  <c r="G435" i="4" s="1"/>
  <c r="G436" i="4" s="1"/>
  <c r="G437" i="4" s="1"/>
  <c r="G438" i="4" s="1"/>
  <c r="G439" i="4" s="1"/>
  <c r="G440" i="4" s="1"/>
  <c r="G441" i="4" s="1"/>
  <c r="G442" i="4" s="1"/>
  <c r="G443" i="4" s="1"/>
  <c r="G444" i="4" s="1"/>
  <c r="G445" i="4" s="1"/>
  <c r="G446" i="4" s="1"/>
  <c r="G447" i="4" s="1"/>
  <c r="G448" i="4" s="1"/>
  <c r="G449" i="4" s="1"/>
  <c r="G450" i="4" s="1"/>
  <c r="G451" i="4" s="1"/>
  <c r="G452" i="4" s="1"/>
  <c r="G453" i="4" s="1"/>
  <c r="G454" i="4" s="1"/>
  <c r="G455" i="4" s="1"/>
  <c r="G456" i="4" s="1"/>
  <c r="G457" i="4" s="1"/>
  <c r="G458" i="4" s="1"/>
  <c r="G459" i="4" s="1"/>
  <c r="G460" i="4" s="1"/>
  <c r="G461" i="4" s="1"/>
  <c r="G462" i="4" s="1"/>
  <c r="G463" i="4" s="1"/>
  <c r="G464" i="4" s="1"/>
  <c r="G465" i="4" s="1"/>
  <c r="G466" i="4" s="1"/>
  <c r="G467" i="4" s="1"/>
  <c r="G468" i="4" s="1"/>
  <c r="G469" i="4" s="1"/>
  <c r="G470" i="4" s="1"/>
  <c r="G471" i="4" s="1"/>
  <c r="G472" i="4" s="1"/>
  <c r="G473" i="4" s="1"/>
  <c r="G474" i="4" s="1"/>
  <c r="G475" i="4" s="1"/>
  <c r="G476" i="4" s="1"/>
  <c r="G477" i="4" s="1"/>
  <c r="G478" i="4" s="1"/>
  <c r="G479" i="4" s="1"/>
  <c r="G480" i="4" s="1"/>
  <c r="G481" i="4" s="1"/>
  <c r="G482" i="4" s="1"/>
  <c r="G483" i="4" s="1"/>
  <c r="G484" i="4" s="1"/>
  <c r="G485" i="4" s="1"/>
  <c r="G486" i="4" s="1"/>
  <c r="G487" i="4" s="1"/>
  <c r="G488" i="4" s="1"/>
  <c r="G489" i="4" s="1"/>
  <c r="G490" i="4" s="1"/>
  <c r="G491" i="4" s="1"/>
  <c r="G492" i="4" s="1"/>
  <c r="G493" i="4" s="1"/>
  <c r="G494" i="4" s="1"/>
  <c r="G495" i="4" s="1"/>
  <c r="G496" i="4" s="1"/>
  <c r="G497" i="4" s="1"/>
  <c r="G498" i="4" s="1"/>
  <c r="G499" i="4" s="1"/>
  <c r="G500" i="4" s="1"/>
  <c r="G501" i="4" s="1"/>
  <c r="G502" i="4" s="1"/>
  <c r="G503" i="4" s="1"/>
  <c r="G504" i="4" s="1"/>
  <c r="G505" i="4" s="1"/>
  <c r="G506" i="4" s="1"/>
  <c r="G507" i="4" s="1"/>
  <c r="G1054" i="4"/>
  <c r="I79" i="1"/>
  <c r="I78" i="1" s="1"/>
  <c r="J52" i="1"/>
  <c r="I51" i="1"/>
  <c r="G1055" i="4" l="1"/>
  <c r="J79" i="1"/>
  <c r="K79" i="1" s="1"/>
  <c r="J78" i="1"/>
  <c r="K78" i="1" s="1"/>
  <c r="I77" i="1"/>
  <c r="J51" i="1"/>
  <c r="I50" i="1"/>
  <c r="G1056" i="4" l="1"/>
  <c r="J77" i="1"/>
  <c r="K77" i="1" s="1"/>
  <c r="I76" i="1"/>
  <c r="J50" i="1"/>
  <c r="K50" i="1" s="1"/>
  <c r="K51" i="1" s="1"/>
  <c r="K52" i="1" s="1"/>
  <c r="K53" i="1" s="1"/>
  <c r="K54" i="1" s="1"/>
  <c r="K55" i="1" s="1"/>
  <c r="I49" i="1"/>
  <c r="G1057" i="4" l="1"/>
  <c r="G509" i="4"/>
  <c r="J76" i="1"/>
  <c r="K76" i="1" s="1"/>
  <c r="I75" i="1"/>
  <c r="I48" i="1"/>
  <c r="J49" i="1"/>
  <c r="K49" i="1" s="1"/>
  <c r="G1058" i="4" l="1"/>
  <c r="G748" i="4"/>
  <c r="G510" i="4"/>
  <c r="J75" i="1"/>
  <c r="K75" i="1" s="1"/>
  <c r="I74" i="1"/>
  <c r="J48" i="1"/>
  <c r="K48" i="1" s="1"/>
  <c r="I47" i="1"/>
  <c r="G1059" i="4" l="1"/>
  <c r="G749" i="4"/>
  <c r="G511" i="4"/>
  <c r="J74" i="1"/>
  <c r="K74" i="1" s="1"/>
  <c r="I73" i="1"/>
  <c r="J47" i="1"/>
  <c r="K47" i="1" s="1"/>
  <c r="I46" i="1"/>
  <c r="G1060" i="4" l="1"/>
  <c r="G750" i="4"/>
  <c r="G512" i="4"/>
  <c r="J73" i="1"/>
  <c r="K73" i="1" s="1"/>
  <c r="I72" i="1"/>
  <c r="J46" i="1"/>
  <c r="K46" i="1" s="1"/>
  <c r="I45" i="1"/>
  <c r="G1061" i="4" l="1"/>
  <c r="G1062" i="4" s="1"/>
  <c r="G1063" i="4" s="1"/>
  <c r="G1064" i="4" s="1"/>
  <c r="G1065" i="4" s="1"/>
  <c r="G1066" i="4" s="1"/>
  <c r="G1067" i="4" s="1"/>
  <c r="G1068" i="4" s="1"/>
  <c r="G1069" i="4" s="1"/>
  <c r="G1070" i="4" s="1"/>
  <c r="G1071" i="4" s="1"/>
  <c r="G1072" i="4" s="1"/>
  <c r="G1073" i="4" s="1"/>
  <c r="G751" i="4"/>
  <c r="G513" i="4"/>
  <c r="J72" i="1"/>
  <c r="K72" i="1" s="1"/>
  <c r="I71" i="1"/>
  <c r="I44" i="1"/>
  <c r="J45" i="1"/>
  <c r="K45" i="1" s="1"/>
  <c r="G752" i="4" l="1"/>
  <c r="G514" i="4"/>
  <c r="J71" i="1"/>
  <c r="K71" i="1" s="1"/>
  <c r="I70" i="1"/>
  <c r="J44" i="1"/>
  <c r="K44" i="1" s="1"/>
  <c r="I43" i="1"/>
  <c r="G753" i="4" l="1"/>
  <c r="G515" i="4"/>
  <c r="J70" i="1"/>
  <c r="K70" i="1" s="1"/>
  <c r="I69" i="1"/>
  <c r="J43" i="1"/>
  <c r="K43" i="1" s="1"/>
  <c r="I42" i="1"/>
  <c r="G754" i="4" l="1"/>
  <c r="G516" i="4"/>
  <c r="I68" i="1"/>
  <c r="J69" i="1"/>
  <c r="K69" i="1" s="1"/>
  <c r="J42" i="1"/>
  <c r="K42" i="1" s="1"/>
  <c r="I41" i="1"/>
  <c r="G755" i="4" l="1"/>
  <c r="G517" i="4"/>
  <c r="J68" i="1"/>
  <c r="K68" i="1" s="1"/>
  <c r="I67" i="1"/>
  <c r="J41" i="1"/>
  <c r="K41" i="1" s="1"/>
  <c r="I40" i="1"/>
  <c r="G756" i="4" l="1"/>
  <c r="G518" i="4"/>
  <c r="J67" i="1"/>
  <c r="K67" i="1" s="1"/>
  <c r="I66" i="1"/>
  <c r="J40" i="1"/>
  <c r="K40" i="1" s="1"/>
  <c r="I39" i="1"/>
  <c r="G757" i="4" l="1"/>
  <c r="G519" i="4"/>
  <c r="J66" i="1"/>
  <c r="K66" i="1" s="1"/>
  <c r="I65" i="1"/>
  <c r="J39" i="1"/>
  <c r="K39" i="1" s="1"/>
  <c r="I38" i="1"/>
  <c r="G758" i="4" l="1"/>
  <c r="G520" i="4"/>
  <c r="I64" i="1"/>
  <c r="J65" i="1"/>
  <c r="K65" i="1" s="1"/>
  <c r="I37" i="1"/>
  <c r="J38" i="1"/>
  <c r="K38" i="1" s="1"/>
  <c r="G759" i="4" l="1"/>
  <c r="G521" i="4"/>
  <c r="J64" i="1"/>
  <c r="K64" i="1" s="1"/>
  <c r="I63" i="1"/>
  <c r="J37" i="1"/>
  <c r="K37" i="1" s="1"/>
  <c r="I36" i="1"/>
  <c r="G760" i="4" l="1"/>
  <c r="G522" i="4"/>
  <c r="J63" i="1"/>
  <c r="K63" i="1" s="1"/>
  <c r="I62" i="1"/>
  <c r="J36" i="1"/>
  <c r="K36" i="1" s="1"/>
  <c r="I35" i="1"/>
  <c r="G761" i="4" l="1"/>
  <c r="G523" i="4"/>
  <c r="J62" i="1"/>
  <c r="K62" i="1" s="1"/>
  <c r="I61" i="1"/>
  <c r="J35" i="1"/>
  <c r="K35" i="1" s="1"/>
  <c r="I34" i="1"/>
  <c r="G762" i="4" l="1"/>
  <c r="G524" i="4"/>
  <c r="I60" i="1"/>
  <c r="J61" i="1"/>
  <c r="K61" i="1" s="1"/>
  <c r="J34" i="1"/>
  <c r="K34" i="1" s="1"/>
  <c r="I33" i="1"/>
  <c r="G763" i="4" l="1"/>
  <c r="G525" i="4"/>
  <c r="J60" i="1"/>
  <c r="K60" i="1" s="1"/>
  <c r="I59" i="1"/>
  <c r="J59" i="1" s="1"/>
  <c r="K59" i="1" s="1"/>
  <c r="J33" i="1"/>
  <c r="K33" i="1" s="1"/>
  <c r="I32" i="1"/>
  <c r="J32" i="1" s="1"/>
  <c r="K32" i="1" s="1"/>
  <c r="G764" i="4" l="1"/>
  <c r="G526" i="4"/>
  <c r="G765" i="4" l="1"/>
  <c r="G527" i="4"/>
  <c r="G766" i="4" l="1"/>
  <c r="G528" i="4"/>
  <c r="G767" i="4" l="1"/>
  <c r="G529" i="4"/>
  <c r="G768" i="4" l="1"/>
  <c r="G530" i="4"/>
  <c r="G769" i="4" l="1"/>
  <c r="G531" i="4"/>
  <c r="G770" i="4" l="1"/>
  <c r="G532" i="4"/>
  <c r="G771" i="4" l="1"/>
  <c r="G533" i="4"/>
  <c r="G772" i="4" l="1"/>
  <c r="G534" i="4"/>
  <c r="G773" i="4" l="1"/>
  <c r="G535" i="4"/>
  <c r="G774" i="4" l="1"/>
  <c r="G536" i="4"/>
  <c r="G775" i="4" l="1"/>
  <c r="G537" i="4"/>
  <c r="G776" i="4" l="1"/>
  <c r="G538" i="4"/>
  <c r="G777" i="4" l="1"/>
  <c r="G539" i="4"/>
  <c r="G778" i="4" l="1"/>
  <c r="G540" i="4"/>
  <c r="G779" i="4" l="1"/>
  <c r="G541" i="4"/>
  <c r="G780" i="4" l="1"/>
  <c r="G542" i="4"/>
  <c r="G781" i="4" l="1"/>
  <c r="G543" i="4"/>
  <c r="G782" i="4" l="1"/>
  <c r="G544" i="4"/>
  <c r="G783" i="4" l="1"/>
  <c r="G545" i="4"/>
  <c r="G784" i="4" l="1"/>
  <c r="G546" i="4"/>
  <c r="G785" i="4" l="1"/>
  <c r="G786" i="4" s="1"/>
  <c r="G787" i="4" s="1"/>
  <c r="G788" i="4" s="1"/>
  <c r="G789" i="4" s="1"/>
  <c r="G790" i="4" s="1"/>
  <c r="G791" i="4" s="1"/>
  <c r="G792" i="4" s="1"/>
  <c r="G793" i="4" s="1"/>
  <c r="G794" i="4" s="1"/>
  <c r="G795" i="4" s="1"/>
  <c r="G796" i="4" s="1"/>
  <c r="G797" i="4" s="1"/>
  <c r="G798" i="4" s="1"/>
  <c r="G799" i="4" s="1"/>
  <c r="G800" i="4" s="1"/>
  <c r="G801" i="4" s="1"/>
  <c r="G802" i="4" s="1"/>
  <c r="G803" i="4" s="1"/>
  <c r="G804" i="4" s="1"/>
  <c r="G805" i="4" s="1"/>
  <c r="G806" i="4" s="1"/>
  <c r="G807" i="4" s="1"/>
  <c r="G808" i="4" s="1"/>
  <c r="G809" i="4" s="1"/>
  <c r="G810" i="4" s="1"/>
  <c r="G811" i="4" s="1"/>
  <c r="G812" i="4" s="1"/>
  <c r="G813" i="4" s="1"/>
  <c r="G814" i="4" s="1"/>
  <c r="G815" i="4" s="1"/>
  <c r="G816" i="4" s="1"/>
  <c r="G817" i="4" s="1"/>
  <c r="G818" i="4" s="1"/>
  <c r="G819" i="4" s="1"/>
  <c r="G820" i="4" s="1"/>
  <c r="G821" i="4" s="1"/>
  <c r="G822" i="4" s="1"/>
  <c r="G823" i="4" s="1"/>
  <c r="G824" i="4" s="1"/>
  <c r="G825" i="4" s="1"/>
  <c r="G826" i="4" s="1"/>
  <c r="G827" i="4" s="1"/>
  <c r="G828" i="4" s="1"/>
  <c r="G829" i="4" s="1"/>
  <c r="G830" i="4" s="1"/>
  <c r="G831" i="4" s="1"/>
  <c r="G832" i="4" s="1"/>
  <c r="G833" i="4" s="1"/>
  <c r="G834" i="4" s="1"/>
  <c r="G835" i="4" s="1"/>
  <c r="G836" i="4" s="1"/>
  <c r="G837" i="4" s="1"/>
  <c r="G838" i="4" s="1"/>
  <c r="G839" i="4" s="1"/>
  <c r="G840" i="4" s="1"/>
  <c r="G841" i="4" s="1"/>
  <c r="G842" i="4" s="1"/>
  <c r="G843" i="4" s="1"/>
  <c r="G844" i="4" s="1"/>
  <c r="G547" i="4"/>
  <c r="G845" i="4" l="1"/>
  <c r="G548" i="4"/>
  <c r="G846" i="4" l="1"/>
  <c r="G549" i="4"/>
  <c r="G847" i="4" l="1"/>
  <c r="G550" i="4"/>
  <c r="G848" i="4" l="1"/>
  <c r="G551" i="4"/>
  <c r="G849" i="4" l="1"/>
  <c r="G552" i="4"/>
  <c r="G850" i="4" l="1"/>
  <c r="G553" i="4"/>
  <c r="G851" i="4" l="1"/>
  <c r="G554" i="4"/>
  <c r="G852" i="4" l="1"/>
  <c r="G555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4" i="4"/>
  <c r="L740" i="4"/>
  <c r="M740" i="4" s="1"/>
  <c r="L289" i="4"/>
  <c r="M289" i="4" s="1"/>
  <c r="L270" i="4"/>
  <c r="M270" i="4" s="1"/>
  <c r="L124" i="4"/>
  <c r="M124" i="4" s="1"/>
  <c r="L96" i="4"/>
  <c r="M96" i="4" s="1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Q205" i="4" s="1"/>
  <c r="I206" i="4"/>
  <c r="Q206" i="4" s="1"/>
  <c r="I207" i="4"/>
  <c r="Q207" i="4" s="1"/>
  <c r="I208" i="4"/>
  <c r="Q208" i="4" s="1"/>
  <c r="I209" i="4"/>
  <c r="Q209" i="4" s="1"/>
  <c r="I210" i="4"/>
  <c r="Q210" i="4" s="1"/>
  <c r="I211" i="4"/>
  <c r="Q211" i="4" s="1"/>
  <c r="I212" i="4"/>
  <c r="Q212" i="4" s="1"/>
  <c r="I213" i="4"/>
  <c r="Q213" i="4" s="1"/>
  <c r="I214" i="4"/>
  <c r="Q214" i="4" s="1"/>
  <c r="I215" i="4"/>
  <c r="Q215" i="4" s="1"/>
  <c r="I216" i="4"/>
  <c r="Q216" i="4" s="1"/>
  <c r="I606" i="4"/>
  <c r="Q606" i="4" s="1"/>
  <c r="I607" i="4"/>
  <c r="Q607" i="4" s="1"/>
  <c r="I608" i="4"/>
  <c r="Q608" i="4" s="1"/>
  <c r="I609" i="4"/>
  <c r="Q609" i="4" s="1"/>
  <c r="I610" i="4"/>
  <c r="Q610" i="4" s="1"/>
  <c r="I611" i="4"/>
  <c r="Q611" i="4" s="1"/>
  <c r="I612" i="4"/>
  <c r="Q612" i="4" s="1"/>
  <c r="I613" i="4"/>
  <c r="Q613" i="4" s="1"/>
  <c r="I614" i="4"/>
  <c r="Q614" i="4" s="1"/>
  <c r="I615" i="4"/>
  <c r="Q615" i="4" s="1"/>
  <c r="I616" i="4"/>
  <c r="Q616" i="4" s="1"/>
  <c r="I617" i="4"/>
  <c r="Q617" i="4" s="1"/>
  <c r="I618" i="4"/>
  <c r="Q618" i="4" s="1"/>
  <c r="I619" i="4"/>
  <c r="Q619" i="4" s="1"/>
  <c r="I620" i="4"/>
  <c r="Q620" i="4" s="1"/>
  <c r="I621" i="4"/>
  <c r="Q621" i="4" s="1"/>
  <c r="I622" i="4"/>
  <c r="Q622" i="4" s="1"/>
  <c r="I623" i="4"/>
  <c r="Q623" i="4" s="1"/>
  <c r="I624" i="4"/>
  <c r="Q624" i="4" s="1"/>
  <c r="I625" i="4"/>
  <c r="Q625" i="4" s="1"/>
  <c r="I626" i="4"/>
  <c r="Q626" i="4" s="1"/>
  <c r="I627" i="4"/>
  <c r="Q627" i="4" s="1"/>
  <c r="I628" i="4"/>
  <c r="Q628" i="4" s="1"/>
  <c r="I629" i="4"/>
  <c r="Q629" i="4" s="1"/>
  <c r="I630" i="4"/>
  <c r="Q630" i="4" s="1"/>
  <c r="I631" i="4"/>
  <c r="Q631" i="4" s="1"/>
  <c r="I632" i="4"/>
  <c r="Q632" i="4" s="1"/>
  <c r="I633" i="4"/>
  <c r="Q633" i="4" s="1"/>
  <c r="I634" i="4"/>
  <c r="Q634" i="4" s="1"/>
  <c r="I635" i="4"/>
  <c r="Q635" i="4" s="1"/>
  <c r="I636" i="4"/>
  <c r="Q636" i="4" s="1"/>
  <c r="I637" i="4"/>
  <c r="Q637" i="4" s="1"/>
  <c r="I638" i="4"/>
  <c r="Q638" i="4" s="1"/>
  <c r="I639" i="4"/>
  <c r="Q639" i="4" s="1"/>
  <c r="I640" i="4"/>
  <c r="Q640" i="4" s="1"/>
  <c r="I641" i="4"/>
  <c r="Q641" i="4" s="1"/>
  <c r="I642" i="4"/>
  <c r="Q642" i="4" s="1"/>
  <c r="I643" i="4"/>
  <c r="Q643" i="4" s="1"/>
  <c r="I644" i="4"/>
  <c r="Q644" i="4" s="1"/>
  <c r="I645" i="4"/>
  <c r="Q645" i="4" s="1"/>
  <c r="I646" i="4"/>
  <c r="Q646" i="4" s="1"/>
  <c r="I647" i="4"/>
  <c r="Q647" i="4" s="1"/>
  <c r="I648" i="4"/>
  <c r="Q648" i="4" s="1"/>
  <c r="I649" i="4"/>
  <c r="Q649" i="4" s="1"/>
  <c r="I650" i="4"/>
  <c r="Q650" i="4" s="1"/>
  <c r="I651" i="4"/>
  <c r="Q651" i="4" s="1"/>
  <c r="I652" i="4"/>
  <c r="Q652" i="4" s="1"/>
  <c r="I653" i="4"/>
  <c r="Q653" i="4" s="1"/>
  <c r="I654" i="4"/>
  <c r="Q654" i="4" s="1"/>
  <c r="I655" i="4"/>
  <c r="Q655" i="4" s="1"/>
  <c r="I656" i="4"/>
  <c r="Q656" i="4" s="1"/>
  <c r="I657" i="4"/>
  <c r="Q657" i="4" s="1"/>
  <c r="I658" i="4"/>
  <c r="Q658" i="4" s="1"/>
  <c r="I659" i="4"/>
  <c r="Q659" i="4" s="1"/>
  <c r="I660" i="4"/>
  <c r="Q660" i="4" s="1"/>
  <c r="I661" i="4"/>
  <c r="Q661" i="4" s="1"/>
  <c r="I662" i="4"/>
  <c r="Q662" i="4" s="1"/>
  <c r="I663" i="4"/>
  <c r="Q663" i="4" s="1"/>
  <c r="I664" i="4"/>
  <c r="Q664" i="4" s="1"/>
  <c r="I665" i="4"/>
  <c r="Q665" i="4" s="1"/>
  <c r="I666" i="4"/>
  <c r="Q666" i="4" s="1"/>
  <c r="I667" i="4"/>
  <c r="Q667" i="4" s="1"/>
  <c r="I668" i="4"/>
  <c r="Q668" i="4" s="1"/>
  <c r="I669" i="4"/>
  <c r="Q669" i="4" s="1"/>
  <c r="I670" i="4"/>
  <c r="Q670" i="4" s="1"/>
  <c r="I671" i="4"/>
  <c r="Q671" i="4" s="1"/>
  <c r="I672" i="4"/>
  <c r="Q672" i="4" s="1"/>
  <c r="I673" i="4"/>
  <c r="Q673" i="4" s="1"/>
  <c r="I674" i="4"/>
  <c r="Q674" i="4" s="1"/>
  <c r="I675" i="4"/>
  <c r="Q675" i="4" s="1"/>
  <c r="I676" i="4"/>
  <c r="Q676" i="4" s="1"/>
  <c r="I677" i="4"/>
  <c r="Q677" i="4" s="1"/>
  <c r="I678" i="4"/>
  <c r="Q678" i="4" s="1"/>
  <c r="I679" i="4"/>
  <c r="Q679" i="4" s="1"/>
  <c r="I680" i="4"/>
  <c r="Q680" i="4" s="1"/>
  <c r="I681" i="4"/>
  <c r="Q681" i="4" s="1"/>
  <c r="I682" i="4"/>
  <c r="Q682" i="4" s="1"/>
  <c r="I683" i="4"/>
  <c r="Q683" i="4" s="1"/>
  <c r="I684" i="4"/>
  <c r="Q684" i="4" s="1"/>
  <c r="I685" i="4"/>
  <c r="Q685" i="4" s="1"/>
  <c r="I686" i="4"/>
  <c r="Q686" i="4" s="1"/>
  <c r="I687" i="4"/>
  <c r="Q687" i="4" s="1"/>
  <c r="I688" i="4"/>
  <c r="Q688" i="4" s="1"/>
  <c r="I689" i="4"/>
  <c r="Q689" i="4" s="1"/>
  <c r="I690" i="4"/>
  <c r="Q690" i="4" s="1"/>
  <c r="I691" i="4"/>
  <c r="Q691" i="4" s="1"/>
  <c r="I692" i="4"/>
  <c r="Q692" i="4" s="1"/>
  <c r="I748" i="4"/>
  <c r="Q748" i="4" s="1"/>
  <c r="I749" i="4"/>
  <c r="Q749" i="4" s="1"/>
  <c r="I750" i="4"/>
  <c r="Q750" i="4" s="1"/>
  <c r="I751" i="4"/>
  <c r="Q751" i="4" s="1"/>
  <c r="I752" i="4"/>
  <c r="Q752" i="4" s="1"/>
  <c r="I753" i="4"/>
  <c r="Q753" i="4" s="1"/>
  <c r="I754" i="4"/>
  <c r="Q754" i="4" s="1"/>
  <c r="I755" i="4"/>
  <c r="Q755" i="4" s="1"/>
  <c r="I756" i="4"/>
  <c r="Q756" i="4" s="1"/>
  <c r="I757" i="4"/>
  <c r="Q757" i="4" s="1"/>
  <c r="I801" i="4"/>
  <c r="Q801" i="4" s="1"/>
  <c r="I802" i="4"/>
  <c r="Q802" i="4" s="1"/>
  <c r="I803" i="4"/>
  <c r="Q803" i="4" s="1"/>
  <c r="I804" i="4"/>
  <c r="Q804" i="4" s="1"/>
  <c r="I805" i="4"/>
  <c r="Q805" i="4" s="1"/>
  <c r="I806" i="4"/>
  <c r="Q806" i="4" s="1"/>
  <c r="I807" i="4"/>
  <c r="Q807" i="4" s="1"/>
  <c r="I808" i="4"/>
  <c r="Q808" i="4" s="1"/>
  <c r="I809" i="4"/>
  <c r="Q809" i="4" s="1"/>
  <c r="I810" i="4"/>
  <c r="Q810" i="4" s="1"/>
  <c r="I811" i="4"/>
  <c r="Q811" i="4" s="1"/>
  <c r="I812" i="4"/>
  <c r="Q812" i="4" s="1"/>
  <c r="I813" i="4"/>
  <c r="Q813" i="4" s="1"/>
  <c r="I814" i="4"/>
  <c r="Q814" i="4" s="1"/>
  <c r="I815" i="4"/>
  <c r="Q815" i="4" s="1"/>
  <c r="I816" i="4"/>
  <c r="Q816" i="4" s="1"/>
  <c r="I817" i="4"/>
  <c r="Q817" i="4" s="1"/>
  <c r="I818" i="4"/>
  <c r="Q818" i="4" s="1"/>
  <c r="I819" i="4"/>
  <c r="Q819" i="4" s="1"/>
  <c r="I820" i="4"/>
  <c r="Q820" i="4" s="1"/>
  <c r="I821" i="4"/>
  <c r="Q821" i="4" s="1"/>
  <c r="I822" i="4"/>
  <c r="Q822" i="4" s="1"/>
  <c r="I823" i="4"/>
  <c r="Q823" i="4" s="1"/>
  <c r="I878" i="4"/>
  <c r="Q878" i="4" s="1"/>
  <c r="I879" i="4"/>
  <c r="Q879" i="4" s="1"/>
  <c r="I880" i="4"/>
  <c r="Q880" i="4" s="1"/>
  <c r="I881" i="4"/>
  <c r="Q881" i="4" s="1"/>
  <c r="I882" i="4"/>
  <c r="Q882" i="4" s="1"/>
  <c r="I883" i="4"/>
  <c r="Q883" i="4" s="1"/>
  <c r="I884" i="4"/>
  <c r="Q884" i="4" s="1"/>
  <c r="I885" i="4"/>
  <c r="Q885" i="4" s="1"/>
  <c r="I886" i="4"/>
  <c r="Q886" i="4" s="1"/>
  <c r="I887" i="4"/>
  <c r="Q887" i="4" s="1"/>
  <c r="I888" i="4"/>
  <c r="Q888" i="4" s="1"/>
  <c r="I889" i="4"/>
  <c r="Q889" i="4" s="1"/>
  <c r="I890" i="4"/>
  <c r="Q890" i="4" s="1"/>
  <c r="I891" i="4"/>
  <c r="Q891" i="4" s="1"/>
  <c r="I892" i="4"/>
  <c r="Q892" i="4" s="1"/>
  <c r="I893" i="4"/>
  <c r="Q893" i="4" s="1"/>
  <c r="I894" i="4"/>
  <c r="Q894" i="4" s="1"/>
  <c r="I895" i="4"/>
  <c r="Q895" i="4" s="1"/>
  <c r="I896" i="4"/>
  <c r="Q896" i="4" s="1"/>
  <c r="I897" i="4"/>
  <c r="Q897" i="4" s="1"/>
  <c r="I898" i="4"/>
  <c r="Q898" i="4" s="1"/>
  <c r="I899" i="4"/>
  <c r="Q899" i="4" s="1"/>
  <c r="I900" i="4"/>
  <c r="Q900" i="4" s="1"/>
  <c r="I901" i="4"/>
  <c r="Q901" i="4" s="1"/>
  <c r="I902" i="4"/>
  <c r="Q902" i="4" s="1"/>
  <c r="I903" i="4"/>
  <c r="Q903" i="4" s="1"/>
  <c r="I904" i="4"/>
  <c r="Q904" i="4" s="1"/>
  <c r="I905" i="4"/>
  <c r="Q905" i="4" s="1"/>
  <c r="I906" i="4"/>
  <c r="Q906" i="4" s="1"/>
  <c r="I907" i="4"/>
  <c r="Q907" i="4" s="1"/>
  <c r="I908" i="4"/>
  <c r="Q908" i="4" s="1"/>
  <c r="I909" i="4"/>
  <c r="Q909" i="4" s="1"/>
  <c r="I910" i="4"/>
  <c r="Q910" i="4" s="1"/>
  <c r="I911" i="4"/>
  <c r="Q911" i="4" s="1"/>
  <c r="I912" i="4"/>
  <c r="Q912" i="4" s="1"/>
  <c r="I913" i="4"/>
  <c r="Q913" i="4" s="1"/>
  <c r="I914" i="4"/>
  <c r="Q914" i="4" s="1"/>
  <c r="I915" i="4"/>
  <c r="Q915" i="4" s="1"/>
  <c r="I916" i="4"/>
  <c r="Q916" i="4" s="1"/>
  <c r="I917" i="4"/>
  <c r="Q917" i="4" s="1"/>
  <c r="I918" i="4"/>
  <c r="Q918" i="4" s="1"/>
  <c r="I919" i="4"/>
  <c r="Q919" i="4" s="1"/>
  <c r="I920" i="4"/>
  <c r="Q920" i="4" s="1"/>
  <c r="I921" i="4"/>
  <c r="Q921" i="4" s="1"/>
  <c r="I922" i="4"/>
  <c r="Q922" i="4" s="1"/>
  <c r="I923" i="4"/>
  <c r="Q923" i="4" s="1"/>
  <c r="I924" i="4"/>
  <c r="Q924" i="4" s="1"/>
  <c r="I925" i="4"/>
  <c r="Q925" i="4" s="1"/>
  <c r="I926" i="4"/>
  <c r="Q926" i="4" s="1"/>
  <c r="I927" i="4"/>
  <c r="Q927" i="4" s="1"/>
  <c r="I928" i="4"/>
  <c r="Q928" i="4" s="1"/>
  <c r="I929" i="4"/>
  <c r="Q929" i="4" s="1"/>
  <c r="I930" i="4"/>
  <c r="Q930" i="4" s="1"/>
  <c r="I931" i="4"/>
  <c r="Q931" i="4" s="1"/>
  <c r="I932" i="4"/>
  <c r="Q932" i="4" s="1"/>
  <c r="I933" i="4"/>
  <c r="Q933" i="4" s="1"/>
  <c r="I934" i="4"/>
  <c r="Q934" i="4" s="1"/>
  <c r="I935" i="4"/>
  <c r="Q935" i="4" s="1"/>
  <c r="I936" i="4"/>
  <c r="Q936" i="4" s="1"/>
  <c r="I937" i="4"/>
  <c r="Q937" i="4" s="1"/>
  <c r="I945" i="4"/>
  <c r="Q945" i="4" s="1"/>
  <c r="I946" i="4"/>
  <c r="Q946" i="4" s="1"/>
  <c r="I947" i="4"/>
  <c r="Q947" i="4" s="1"/>
  <c r="I948" i="4"/>
  <c r="Q948" i="4" s="1"/>
  <c r="I949" i="4"/>
  <c r="Q949" i="4" s="1"/>
  <c r="I950" i="4"/>
  <c r="Q950" i="4" s="1"/>
  <c r="I951" i="4"/>
  <c r="Q951" i="4" s="1"/>
  <c r="I952" i="4"/>
  <c r="Q952" i="4" s="1"/>
  <c r="I953" i="4"/>
  <c r="Q953" i="4" s="1"/>
  <c r="I954" i="4"/>
  <c r="Q954" i="4" s="1"/>
  <c r="I955" i="4"/>
  <c r="Q955" i="4" s="1"/>
  <c r="I956" i="4"/>
  <c r="Q956" i="4" s="1"/>
  <c r="I957" i="4"/>
  <c r="Q957" i="4" s="1"/>
  <c r="I958" i="4"/>
  <c r="Q958" i="4" s="1"/>
  <c r="I959" i="4"/>
  <c r="Q959" i="4" s="1"/>
  <c r="I960" i="4"/>
  <c r="Q960" i="4" s="1"/>
  <c r="I961" i="4"/>
  <c r="Q961" i="4" s="1"/>
  <c r="I962" i="4"/>
  <c r="Q962" i="4" s="1"/>
  <c r="I963" i="4"/>
  <c r="Q963" i="4" s="1"/>
  <c r="I964" i="4"/>
  <c r="Q964" i="4" s="1"/>
  <c r="I965" i="4"/>
  <c r="Q965" i="4" s="1"/>
  <c r="I966" i="4"/>
  <c r="Q966" i="4" s="1"/>
  <c r="I967" i="4"/>
  <c r="Q967" i="4" s="1"/>
  <c r="I968" i="4"/>
  <c r="Q968" i="4" s="1"/>
  <c r="I969" i="4"/>
  <c r="Q969" i="4" s="1"/>
  <c r="I970" i="4"/>
  <c r="Q970" i="4" s="1"/>
  <c r="I971" i="4"/>
  <c r="Q971" i="4" s="1"/>
  <c r="I972" i="4"/>
  <c r="Q972" i="4" s="1"/>
  <c r="I1076" i="4"/>
  <c r="Q1076" i="4" s="1"/>
  <c r="I1077" i="4"/>
  <c r="Q1077" i="4" s="1"/>
  <c r="I1078" i="4"/>
  <c r="Q1078" i="4" s="1"/>
  <c r="I1079" i="4"/>
  <c r="Q1079" i="4" s="1"/>
  <c r="I1080" i="4"/>
  <c r="Q1080" i="4" s="1"/>
  <c r="I1081" i="4"/>
  <c r="Q1081" i="4" s="1"/>
  <c r="I1082" i="4"/>
  <c r="Q1082" i="4" s="1"/>
  <c r="I1083" i="4"/>
  <c r="Q1083" i="4" s="1"/>
  <c r="I1084" i="4"/>
  <c r="Q1084" i="4" s="1"/>
  <c r="I1085" i="4"/>
  <c r="Q1085" i="4" s="1"/>
  <c r="I158" i="4"/>
  <c r="Q158" i="4" s="1"/>
  <c r="E160" i="4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I157" i="4"/>
  <c r="Q157" i="4" s="1"/>
  <c r="I154" i="4"/>
  <c r="Q154" i="4" s="1"/>
  <c r="I155" i="4"/>
  <c r="Q155" i="4" s="1"/>
  <c r="I156" i="4"/>
  <c r="Q156" i="4" s="1"/>
  <c r="I138" i="4"/>
  <c r="Q138" i="4" s="1"/>
  <c r="I139" i="4"/>
  <c r="Q139" i="4" s="1"/>
  <c r="I140" i="4"/>
  <c r="Q140" i="4" s="1"/>
  <c r="I141" i="4"/>
  <c r="Q141" i="4" s="1"/>
  <c r="I142" i="4"/>
  <c r="Q142" i="4" s="1"/>
  <c r="I143" i="4"/>
  <c r="Q143" i="4" s="1"/>
  <c r="I144" i="4"/>
  <c r="Q144" i="4" s="1"/>
  <c r="I145" i="4"/>
  <c r="Q145" i="4" s="1"/>
  <c r="I146" i="4"/>
  <c r="Q146" i="4" s="1"/>
  <c r="I147" i="4"/>
  <c r="Q147" i="4" s="1"/>
  <c r="I148" i="4"/>
  <c r="Q148" i="4" s="1"/>
  <c r="I149" i="4"/>
  <c r="Q149" i="4" s="1"/>
  <c r="I150" i="4"/>
  <c r="Q150" i="4" s="1"/>
  <c r="I151" i="4"/>
  <c r="Q151" i="4" s="1"/>
  <c r="I152" i="4"/>
  <c r="Q152" i="4" s="1"/>
  <c r="I153" i="4"/>
  <c r="Q153" i="4" s="1"/>
  <c r="I118" i="4"/>
  <c r="Q118" i="4" s="1"/>
  <c r="I119" i="4"/>
  <c r="Q119" i="4" s="1"/>
  <c r="I120" i="4"/>
  <c r="Q120" i="4" s="1"/>
  <c r="I121" i="4"/>
  <c r="Q121" i="4" s="1"/>
  <c r="I122" i="4"/>
  <c r="Q122" i="4" s="1"/>
  <c r="I123" i="4"/>
  <c r="Q123" i="4" s="1"/>
  <c r="I124" i="4"/>
  <c r="Q124" i="4" s="1"/>
  <c r="I125" i="4"/>
  <c r="Q125" i="4" s="1"/>
  <c r="I126" i="4"/>
  <c r="Q126" i="4" s="1"/>
  <c r="I127" i="4"/>
  <c r="Q127" i="4" s="1"/>
  <c r="I128" i="4"/>
  <c r="Q128" i="4" s="1"/>
  <c r="I129" i="4"/>
  <c r="Q129" i="4" s="1"/>
  <c r="I130" i="4"/>
  <c r="Q130" i="4" s="1"/>
  <c r="I131" i="4"/>
  <c r="Q131" i="4" s="1"/>
  <c r="I132" i="4"/>
  <c r="Q132" i="4" s="1"/>
  <c r="I133" i="4"/>
  <c r="Q133" i="4" s="1"/>
  <c r="I134" i="4"/>
  <c r="Q134" i="4" s="1"/>
  <c r="I135" i="4"/>
  <c r="Q135" i="4" s="1"/>
  <c r="I136" i="4"/>
  <c r="Q136" i="4" s="1"/>
  <c r="I137" i="4"/>
  <c r="Q137" i="4" s="1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Q113" i="4" s="1"/>
  <c r="I114" i="4"/>
  <c r="Q114" i="4" s="1"/>
  <c r="I115" i="4"/>
  <c r="Q115" i="4" s="1"/>
  <c r="I116" i="4"/>
  <c r="Q116" i="4" s="1"/>
  <c r="I117" i="4"/>
  <c r="Q117" i="4" s="1"/>
  <c r="I89" i="4"/>
  <c r="Q89" i="4" s="1"/>
  <c r="I90" i="4"/>
  <c r="Q90" i="4" s="1"/>
  <c r="I91" i="4"/>
  <c r="Q91" i="4" s="1"/>
  <c r="I92" i="4"/>
  <c r="Q92" i="4" s="1"/>
  <c r="I93" i="4"/>
  <c r="Q93" i="4" s="1"/>
  <c r="I94" i="4"/>
  <c r="Q94" i="4" s="1"/>
  <c r="I95" i="4"/>
  <c r="Q95" i="4" s="1"/>
  <c r="I96" i="4"/>
  <c r="I97" i="4"/>
  <c r="I98" i="4"/>
  <c r="I99" i="4"/>
  <c r="I100" i="4"/>
  <c r="I70" i="4"/>
  <c r="Q70" i="4" s="1"/>
  <c r="I71" i="4"/>
  <c r="Q71" i="4" s="1"/>
  <c r="I72" i="4"/>
  <c r="Q72" i="4" s="1"/>
  <c r="I73" i="4"/>
  <c r="Q73" i="4" s="1"/>
  <c r="I74" i="4"/>
  <c r="Q74" i="4" s="1"/>
  <c r="I75" i="4"/>
  <c r="Q75" i="4" s="1"/>
  <c r="I76" i="4"/>
  <c r="Q76" i="4" s="1"/>
  <c r="I77" i="4"/>
  <c r="Q77" i="4" s="1"/>
  <c r="I78" i="4"/>
  <c r="Q78" i="4" s="1"/>
  <c r="I79" i="4"/>
  <c r="Q79" i="4" s="1"/>
  <c r="I80" i="4"/>
  <c r="Q80" i="4" s="1"/>
  <c r="I81" i="4"/>
  <c r="Q81" i="4" s="1"/>
  <c r="I82" i="4"/>
  <c r="Q82" i="4" s="1"/>
  <c r="I83" i="4"/>
  <c r="Q83" i="4" s="1"/>
  <c r="I84" i="4"/>
  <c r="Q84" i="4" s="1"/>
  <c r="I85" i="4"/>
  <c r="Q85" i="4" s="1"/>
  <c r="I86" i="4"/>
  <c r="Q86" i="4" s="1"/>
  <c r="I87" i="4"/>
  <c r="Q87" i="4" s="1"/>
  <c r="I88" i="4"/>
  <c r="Q88" i="4" s="1"/>
  <c r="I57" i="4"/>
  <c r="Q57" i="4" s="1"/>
  <c r="I58" i="4"/>
  <c r="Q58" i="4" s="1"/>
  <c r="I59" i="4"/>
  <c r="Q59" i="4" s="1"/>
  <c r="I60" i="4"/>
  <c r="Q60" i="4" s="1"/>
  <c r="I61" i="4"/>
  <c r="Q61" i="4" s="1"/>
  <c r="I62" i="4"/>
  <c r="Q62" i="4" s="1"/>
  <c r="I63" i="4"/>
  <c r="Q63" i="4" s="1"/>
  <c r="I64" i="4"/>
  <c r="Q64" i="4" s="1"/>
  <c r="I65" i="4"/>
  <c r="Q65" i="4" s="1"/>
  <c r="I66" i="4"/>
  <c r="Q66" i="4" s="1"/>
  <c r="I67" i="4"/>
  <c r="Q67" i="4" s="1"/>
  <c r="I68" i="4"/>
  <c r="Q68" i="4" s="1"/>
  <c r="I69" i="4"/>
  <c r="Q69" i="4" s="1"/>
  <c r="I43" i="4"/>
  <c r="Q43" i="4" s="1"/>
  <c r="I44" i="4"/>
  <c r="Q44" i="4" s="1"/>
  <c r="I45" i="4"/>
  <c r="Q45" i="4" s="1"/>
  <c r="I46" i="4"/>
  <c r="Q46" i="4" s="1"/>
  <c r="I47" i="4"/>
  <c r="Q47" i="4" s="1"/>
  <c r="I48" i="4"/>
  <c r="Q48" i="4" s="1"/>
  <c r="I49" i="4"/>
  <c r="Q49" i="4" s="1"/>
  <c r="I50" i="4"/>
  <c r="Q50" i="4" s="1"/>
  <c r="I51" i="4"/>
  <c r="Q51" i="4" s="1"/>
  <c r="I52" i="4"/>
  <c r="Q52" i="4" s="1"/>
  <c r="I53" i="4"/>
  <c r="Q53" i="4" s="1"/>
  <c r="I54" i="4"/>
  <c r="Q54" i="4" s="1"/>
  <c r="I55" i="4"/>
  <c r="Q55" i="4" s="1"/>
  <c r="I56" i="4"/>
  <c r="Q56" i="4" s="1"/>
  <c r="I24" i="4"/>
  <c r="Q24" i="4" s="1"/>
  <c r="I25" i="4"/>
  <c r="Q25" i="4" s="1"/>
  <c r="I26" i="4"/>
  <c r="Q26" i="4" s="1"/>
  <c r="I27" i="4"/>
  <c r="Q27" i="4" s="1"/>
  <c r="I28" i="4"/>
  <c r="Q28" i="4" s="1"/>
  <c r="I29" i="4"/>
  <c r="Q29" i="4" s="1"/>
  <c r="I30" i="4"/>
  <c r="Q30" i="4" s="1"/>
  <c r="I31" i="4"/>
  <c r="Q31" i="4" s="1"/>
  <c r="I32" i="4"/>
  <c r="Q32" i="4" s="1"/>
  <c r="I33" i="4"/>
  <c r="Q33" i="4" s="1"/>
  <c r="I34" i="4"/>
  <c r="Q34" i="4" s="1"/>
  <c r="I35" i="4"/>
  <c r="Q35" i="4" s="1"/>
  <c r="I36" i="4"/>
  <c r="Q36" i="4" s="1"/>
  <c r="I37" i="4"/>
  <c r="Q37" i="4" s="1"/>
  <c r="I38" i="4"/>
  <c r="Q38" i="4" s="1"/>
  <c r="I39" i="4"/>
  <c r="Q39" i="4" s="1"/>
  <c r="I40" i="4"/>
  <c r="Q40" i="4" s="1"/>
  <c r="I41" i="4"/>
  <c r="Q41" i="4" s="1"/>
  <c r="I42" i="4"/>
  <c r="Q42" i="4" s="1"/>
  <c r="I5" i="4"/>
  <c r="I6" i="4"/>
  <c r="I7" i="4"/>
  <c r="I8" i="4"/>
  <c r="I9" i="4"/>
  <c r="I10" i="4"/>
  <c r="I11" i="4"/>
  <c r="I12" i="4"/>
  <c r="I13" i="4"/>
  <c r="I14" i="4"/>
  <c r="Q14" i="4" s="1"/>
  <c r="I15" i="4"/>
  <c r="Q15" i="4" s="1"/>
  <c r="I16" i="4"/>
  <c r="Q16" i="4" s="1"/>
  <c r="I17" i="4"/>
  <c r="Q17" i="4" s="1"/>
  <c r="I18" i="4"/>
  <c r="Q18" i="4" s="1"/>
  <c r="I19" i="4"/>
  <c r="Q19" i="4" s="1"/>
  <c r="I20" i="4"/>
  <c r="Q20" i="4" s="1"/>
  <c r="I21" i="4"/>
  <c r="Q21" i="4" s="1"/>
  <c r="I22" i="4"/>
  <c r="Q22" i="4" s="1"/>
  <c r="I23" i="4"/>
  <c r="Q23" i="4" s="1"/>
  <c r="I4" i="4"/>
  <c r="G853" i="4" l="1"/>
  <c r="G556" i="4"/>
  <c r="L97" i="4"/>
  <c r="L98" i="4" s="1"/>
  <c r="L99" i="4" s="1"/>
  <c r="L271" i="4"/>
  <c r="M271" i="4" s="1"/>
  <c r="L125" i="4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M138" i="4" s="1"/>
  <c r="L741" i="4"/>
  <c r="L742" i="4" s="1"/>
  <c r="L743" i="4" s="1"/>
  <c r="M98" i="4"/>
  <c r="L290" i="4"/>
  <c r="E171" i="4"/>
  <c r="E172" i="4" s="1"/>
  <c r="E173" i="4" s="1"/>
  <c r="I170" i="4"/>
  <c r="I169" i="4"/>
  <c r="I160" i="4"/>
  <c r="Q160" i="4" s="1"/>
  <c r="I159" i="4"/>
  <c r="Q159" i="4" s="1"/>
  <c r="M134" i="4" l="1"/>
  <c r="M97" i="4"/>
  <c r="L272" i="4"/>
  <c r="L273" i="4" s="1"/>
  <c r="M742" i="4"/>
  <c r="L139" i="4"/>
  <c r="M139" i="4" s="1"/>
  <c r="M128" i="4"/>
  <c r="M126" i="4"/>
  <c r="M131" i="4"/>
  <c r="M132" i="4"/>
  <c r="M125" i="4"/>
  <c r="M741" i="4"/>
  <c r="M127" i="4"/>
  <c r="M137" i="4"/>
  <c r="M130" i="4"/>
  <c r="M135" i="4"/>
  <c r="M136" i="4"/>
  <c r="M129" i="4"/>
  <c r="M133" i="4"/>
  <c r="G854" i="4"/>
  <c r="G557" i="4"/>
  <c r="L140" i="4"/>
  <c r="L291" i="4"/>
  <c r="M290" i="4"/>
  <c r="L744" i="4"/>
  <c r="M743" i="4"/>
  <c r="L100" i="4"/>
  <c r="M99" i="4"/>
  <c r="E174" i="4"/>
  <c r="I173" i="4"/>
  <c r="I171" i="4"/>
  <c r="I172" i="4"/>
  <c r="I161" i="4"/>
  <c r="Q161" i="4" s="1"/>
  <c r="M272" i="4" l="1"/>
  <c r="G855" i="4"/>
  <c r="G558" i="4"/>
  <c r="L292" i="4"/>
  <c r="M291" i="4"/>
  <c r="L141" i="4"/>
  <c r="M140" i="4"/>
  <c r="L101" i="4"/>
  <c r="M100" i="4"/>
  <c r="L745" i="4"/>
  <c r="M744" i="4"/>
  <c r="L274" i="4"/>
  <c r="M273" i="4"/>
  <c r="E175" i="4"/>
  <c r="I174" i="4"/>
  <c r="I162" i="4"/>
  <c r="G856" i="4" l="1"/>
  <c r="G559" i="4"/>
  <c r="M745" i="4"/>
  <c r="L746" i="4"/>
  <c r="L142" i="4"/>
  <c r="M141" i="4"/>
  <c r="L275" i="4"/>
  <c r="M274" i="4"/>
  <c r="L102" i="4"/>
  <c r="M101" i="4"/>
  <c r="L293" i="4"/>
  <c r="M292" i="4"/>
  <c r="E176" i="4"/>
  <c r="I175" i="4"/>
  <c r="I163" i="4"/>
  <c r="G857" i="4" l="1"/>
  <c r="G560" i="4"/>
  <c r="L294" i="4"/>
  <c r="M293" i="4"/>
  <c r="L276" i="4"/>
  <c r="M275" i="4"/>
  <c r="L143" i="4"/>
  <c r="M142" i="4"/>
  <c r="L103" i="4"/>
  <c r="M102" i="4"/>
  <c r="L747" i="4"/>
  <c r="M746" i="4"/>
  <c r="E177" i="4"/>
  <c r="I176" i="4"/>
  <c r="I164" i="4"/>
  <c r="G858" i="4" l="1"/>
  <c r="G561" i="4"/>
  <c r="L748" i="4"/>
  <c r="M747" i="4"/>
  <c r="L144" i="4"/>
  <c r="M143" i="4"/>
  <c r="L277" i="4"/>
  <c r="M276" i="4"/>
  <c r="L104" i="4"/>
  <c r="M103" i="4"/>
  <c r="L295" i="4"/>
  <c r="M294" i="4"/>
  <c r="E178" i="4"/>
  <c r="I177" i="4"/>
  <c r="I165" i="4"/>
  <c r="G859" i="4" l="1"/>
  <c r="G562" i="4"/>
  <c r="G563" i="4" s="1"/>
  <c r="G564" i="4" s="1"/>
  <c r="G565" i="4" s="1"/>
  <c r="G566" i="4" s="1"/>
  <c r="G567" i="4" s="1"/>
  <c r="G568" i="4" s="1"/>
  <c r="G569" i="4" s="1"/>
  <c r="G570" i="4" s="1"/>
  <c r="G571" i="4" s="1"/>
  <c r="G572" i="4" s="1"/>
  <c r="G573" i="4" s="1"/>
  <c r="G574" i="4" s="1"/>
  <c r="L105" i="4"/>
  <c r="M104" i="4"/>
  <c r="L278" i="4"/>
  <c r="M277" i="4"/>
  <c r="L749" i="4"/>
  <c r="M748" i="4"/>
  <c r="L296" i="4"/>
  <c r="M295" i="4"/>
  <c r="L145" i="4"/>
  <c r="M144" i="4"/>
  <c r="E179" i="4"/>
  <c r="I178" i="4"/>
  <c r="I166" i="4"/>
  <c r="G860" i="4" l="1"/>
  <c r="G861" i="4" s="1"/>
  <c r="G862" i="4" s="1"/>
  <c r="G863" i="4" s="1"/>
  <c r="G864" i="4" s="1"/>
  <c r="G865" i="4" s="1"/>
  <c r="G866" i="4" s="1"/>
  <c r="G867" i="4" s="1"/>
  <c r="G868" i="4" s="1"/>
  <c r="G869" i="4" s="1"/>
  <c r="G870" i="4" s="1"/>
  <c r="G871" i="4" s="1"/>
  <c r="G872" i="4" s="1"/>
  <c r="G873" i="4" s="1"/>
  <c r="G874" i="4" s="1"/>
  <c r="G875" i="4" s="1"/>
  <c r="G876" i="4" s="1"/>
  <c r="L146" i="4"/>
  <c r="M145" i="4"/>
  <c r="L279" i="4"/>
  <c r="M278" i="4"/>
  <c r="L297" i="4"/>
  <c r="M296" i="4"/>
  <c r="L750" i="4"/>
  <c r="M749" i="4"/>
  <c r="L106" i="4"/>
  <c r="M105" i="4"/>
  <c r="E180" i="4"/>
  <c r="I179" i="4"/>
  <c r="I167" i="4"/>
  <c r="I168" i="4"/>
  <c r="L751" i="4" l="1"/>
  <c r="M750" i="4"/>
  <c r="M146" i="4"/>
  <c r="L147" i="4"/>
  <c r="L107" i="4"/>
  <c r="M106" i="4"/>
  <c r="L298" i="4"/>
  <c r="M297" i="4"/>
  <c r="L280" i="4"/>
  <c r="M279" i="4"/>
  <c r="I180" i="4"/>
  <c r="E181" i="4"/>
  <c r="M147" i="4" l="1"/>
  <c r="M148" i="4"/>
  <c r="L752" i="4"/>
  <c r="M751" i="4"/>
  <c r="L299" i="4"/>
  <c r="M298" i="4"/>
  <c r="L281" i="4"/>
  <c r="M280" i="4"/>
  <c r="L108" i="4"/>
  <c r="M107" i="4"/>
  <c r="I181" i="4"/>
  <c r="E182" i="4"/>
  <c r="L282" i="4" l="1"/>
  <c r="M281" i="4"/>
  <c r="M752" i="4"/>
  <c r="L753" i="4"/>
  <c r="L109" i="4"/>
  <c r="M108" i="4"/>
  <c r="L300" i="4"/>
  <c r="M299" i="4"/>
  <c r="E183" i="4"/>
  <c r="I182" i="4"/>
  <c r="L301" i="4" l="1"/>
  <c r="M300" i="4"/>
  <c r="L283" i="4"/>
  <c r="M282" i="4"/>
  <c r="L110" i="4"/>
  <c r="M109" i="4"/>
  <c r="L754" i="4"/>
  <c r="M753" i="4"/>
  <c r="E184" i="4"/>
  <c r="I183" i="4"/>
  <c r="L111" i="4" l="1"/>
  <c r="M110" i="4"/>
  <c r="L755" i="4"/>
  <c r="M754" i="4"/>
  <c r="L284" i="4"/>
  <c r="M283" i="4"/>
  <c r="L302" i="4"/>
  <c r="M301" i="4"/>
  <c r="E185" i="4"/>
  <c r="I184" i="4"/>
  <c r="L303" i="4" l="1"/>
  <c r="M302" i="4"/>
  <c r="L756" i="4"/>
  <c r="M755" i="4"/>
  <c r="L112" i="4"/>
  <c r="M111" i="4"/>
  <c r="M284" i="4"/>
  <c r="L285" i="4"/>
  <c r="E186" i="4"/>
  <c r="I185" i="4"/>
  <c r="L286" i="4" l="1"/>
  <c r="M285" i="4"/>
  <c r="M112" i="4"/>
  <c r="L113" i="4"/>
  <c r="L304" i="4"/>
  <c r="M303" i="4"/>
  <c r="L757" i="4"/>
  <c r="M756" i="4"/>
  <c r="E187" i="4"/>
  <c r="I186" i="4"/>
  <c r="L114" i="4" l="1"/>
  <c r="M113" i="4"/>
  <c r="L758" i="4"/>
  <c r="M757" i="4"/>
  <c r="L305" i="4"/>
  <c r="M304" i="4"/>
  <c r="L287" i="4"/>
  <c r="M286" i="4"/>
  <c r="E188" i="4"/>
  <c r="I187" i="4"/>
  <c r="M287" i="4" l="1"/>
  <c r="M288" i="4"/>
  <c r="L759" i="4"/>
  <c r="M758" i="4"/>
  <c r="L306" i="4"/>
  <c r="M305" i="4"/>
  <c r="L115" i="4"/>
  <c r="M114" i="4"/>
  <c r="E189" i="4"/>
  <c r="I188" i="4"/>
  <c r="L760" i="4" l="1"/>
  <c r="M759" i="4"/>
  <c r="L116" i="4"/>
  <c r="M115" i="4"/>
  <c r="L307" i="4"/>
  <c r="M306" i="4"/>
  <c r="E190" i="4"/>
  <c r="I189" i="4"/>
  <c r="L117" i="4" l="1"/>
  <c r="M116" i="4"/>
  <c r="L308" i="4"/>
  <c r="M307" i="4"/>
  <c r="L761" i="4"/>
  <c r="M760" i="4"/>
  <c r="I190" i="4"/>
  <c r="I191" i="4"/>
  <c r="G575" i="4" l="1"/>
  <c r="L762" i="4"/>
  <c r="M761" i="4"/>
  <c r="L118" i="4"/>
  <c r="M117" i="4"/>
  <c r="L309" i="4"/>
  <c r="M308" i="4"/>
  <c r="G576" i="4" l="1"/>
  <c r="L310" i="4"/>
  <c r="M309" i="4"/>
  <c r="L119" i="4"/>
  <c r="M118" i="4"/>
  <c r="L763" i="4"/>
  <c r="M762" i="4"/>
  <c r="G577" i="4" l="1"/>
  <c r="L120" i="4"/>
  <c r="M119" i="4"/>
  <c r="L311" i="4"/>
  <c r="M310" i="4"/>
  <c r="L764" i="4"/>
  <c r="M763" i="4"/>
  <c r="G578" i="4" l="1"/>
  <c r="L765" i="4"/>
  <c r="M764" i="4"/>
  <c r="L121" i="4"/>
  <c r="M120" i="4"/>
  <c r="L312" i="4"/>
  <c r="M311" i="4"/>
  <c r="G579" i="4" l="1"/>
  <c r="L766" i="4"/>
  <c r="M765" i="4"/>
  <c r="L313" i="4"/>
  <c r="M312" i="4"/>
  <c r="L122" i="4"/>
  <c r="M121" i="4"/>
  <c r="G877" i="4" l="1"/>
  <c r="G580" i="4"/>
  <c r="M122" i="4"/>
  <c r="M123" i="4"/>
  <c r="L767" i="4"/>
  <c r="M766" i="4"/>
  <c r="L314" i="4"/>
  <c r="M313" i="4"/>
  <c r="G878" i="4" l="1"/>
  <c r="G581" i="4"/>
  <c r="L315" i="4"/>
  <c r="M314" i="4"/>
  <c r="L768" i="4"/>
  <c r="M767" i="4"/>
  <c r="G879" i="4" l="1"/>
  <c r="G582" i="4"/>
  <c r="L769" i="4"/>
  <c r="M768" i="4"/>
  <c r="L316" i="4"/>
  <c r="M315" i="4"/>
  <c r="G880" i="4" l="1"/>
  <c r="G583" i="4"/>
  <c r="L770" i="4"/>
  <c r="M769" i="4"/>
  <c r="L317" i="4"/>
  <c r="M316" i="4"/>
  <c r="G881" i="4" l="1"/>
  <c r="G584" i="4"/>
  <c r="L318" i="4"/>
  <c r="M317" i="4"/>
  <c r="L771" i="4"/>
  <c r="M770" i="4"/>
  <c r="G882" i="4" l="1"/>
  <c r="G585" i="4"/>
  <c r="L319" i="4"/>
  <c r="M318" i="4"/>
  <c r="L772" i="4"/>
  <c r="M771" i="4"/>
  <c r="G883" i="4" l="1"/>
  <c r="G586" i="4"/>
  <c r="L320" i="4"/>
  <c r="M319" i="4"/>
  <c r="L773" i="4"/>
  <c r="M772" i="4"/>
  <c r="G884" i="4" l="1"/>
  <c r="G587" i="4"/>
  <c r="L774" i="4"/>
  <c r="M773" i="4"/>
  <c r="L321" i="4"/>
  <c r="M320" i="4"/>
  <c r="G885" i="4" l="1"/>
  <c r="G588" i="4"/>
  <c r="L775" i="4"/>
  <c r="M774" i="4"/>
  <c r="L322" i="4"/>
  <c r="M321" i="4"/>
  <c r="G886" i="4" l="1"/>
  <c r="G589" i="4"/>
  <c r="L323" i="4"/>
  <c r="M322" i="4"/>
  <c r="L776" i="4"/>
  <c r="M775" i="4"/>
  <c r="G887" i="4" l="1"/>
  <c r="G590" i="4"/>
  <c r="L324" i="4"/>
  <c r="M323" i="4"/>
  <c r="L777" i="4"/>
  <c r="M776" i="4"/>
  <c r="G888" i="4" l="1"/>
  <c r="G591" i="4"/>
  <c r="L778" i="4"/>
  <c r="M777" i="4"/>
  <c r="L325" i="4"/>
  <c r="M324" i="4"/>
  <c r="G889" i="4" l="1"/>
  <c r="G592" i="4"/>
  <c r="L779" i="4"/>
  <c r="M778" i="4"/>
  <c r="L326" i="4"/>
  <c r="M325" i="4"/>
  <c r="G890" i="4" l="1"/>
  <c r="G593" i="4"/>
  <c r="L780" i="4"/>
  <c r="M779" i="4"/>
  <c r="M326" i="4"/>
  <c r="L327" i="4"/>
  <c r="G891" i="4" l="1"/>
  <c r="G594" i="4"/>
  <c r="L781" i="4"/>
  <c r="M780" i="4"/>
  <c r="L328" i="4"/>
  <c r="M327" i="4"/>
  <c r="G892" i="4" l="1"/>
  <c r="G595" i="4"/>
  <c r="L329" i="4"/>
  <c r="M328" i="4"/>
  <c r="L782" i="4"/>
  <c r="M781" i="4"/>
  <c r="G893" i="4" l="1"/>
  <c r="G596" i="4"/>
  <c r="L783" i="4"/>
  <c r="M782" i="4"/>
  <c r="L330" i="4"/>
  <c r="M329" i="4"/>
  <c r="G894" i="4" l="1"/>
  <c r="G597" i="4"/>
  <c r="L331" i="4"/>
  <c r="M330" i="4"/>
  <c r="L784" i="4"/>
  <c r="M783" i="4"/>
  <c r="G895" i="4" l="1"/>
  <c r="G598" i="4"/>
  <c r="L332" i="4"/>
  <c r="M331" i="4"/>
  <c r="L785" i="4"/>
  <c r="M784" i="4"/>
  <c r="G896" i="4" l="1"/>
  <c r="G599" i="4"/>
  <c r="L333" i="4"/>
  <c r="M332" i="4"/>
  <c r="L786" i="4"/>
  <c r="M785" i="4"/>
  <c r="G897" i="4" l="1"/>
  <c r="G600" i="4"/>
  <c r="L334" i="4"/>
  <c r="M333" i="4"/>
  <c r="L787" i="4"/>
  <c r="M786" i="4"/>
  <c r="G898" i="4" l="1"/>
  <c r="G601" i="4"/>
  <c r="L788" i="4"/>
  <c r="M787" i="4"/>
  <c r="L335" i="4"/>
  <c r="M334" i="4"/>
  <c r="G899" i="4" l="1"/>
  <c r="G602" i="4"/>
  <c r="L789" i="4"/>
  <c r="M788" i="4"/>
  <c r="L336" i="4"/>
  <c r="M335" i="4"/>
  <c r="G900" i="4" l="1"/>
  <c r="G603" i="4"/>
  <c r="L790" i="4"/>
  <c r="M789" i="4"/>
  <c r="L337" i="4"/>
  <c r="M336" i="4"/>
  <c r="G901" i="4" l="1"/>
  <c r="G604" i="4"/>
  <c r="L791" i="4"/>
  <c r="M790" i="4"/>
  <c r="L338" i="4"/>
  <c r="M337" i="4"/>
  <c r="G902" i="4" l="1"/>
  <c r="L792" i="4"/>
  <c r="M791" i="4"/>
  <c r="M338" i="4"/>
  <c r="L339" i="4"/>
  <c r="G903" i="4" l="1"/>
  <c r="L793" i="4"/>
  <c r="M792" i="4"/>
  <c r="M339" i="4"/>
  <c r="L340" i="4"/>
  <c r="G904" i="4" l="1"/>
  <c r="L794" i="4"/>
  <c r="M793" i="4"/>
  <c r="L341" i="4"/>
  <c r="M340" i="4"/>
  <c r="G905" i="4" l="1"/>
  <c r="L795" i="4"/>
  <c r="M794" i="4"/>
  <c r="L342" i="4"/>
  <c r="M341" i="4"/>
  <c r="G906" i="4" l="1"/>
  <c r="L796" i="4"/>
  <c r="M795" i="4"/>
  <c r="L343" i="4"/>
  <c r="M342" i="4"/>
  <c r="G907" i="4" l="1"/>
  <c r="L797" i="4"/>
  <c r="M796" i="4"/>
  <c r="L344" i="4"/>
  <c r="M343" i="4"/>
  <c r="G908" i="4" l="1"/>
  <c r="L798" i="4"/>
  <c r="M797" i="4"/>
  <c r="L345" i="4"/>
  <c r="M344" i="4"/>
  <c r="G909" i="4" l="1"/>
  <c r="M798" i="4"/>
  <c r="L799" i="4"/>
  <c r="L346" i="4"/>
  <c r="M345" i="4"/>
  <c r="G910" i="4" l="1"/>
  <c r="L800" i="4"/>
  <c r="M799" i="4"/>
  <c r="L347" i="4"/>
  <c r="M346" i="4"/>
  <c r="G911" i="4" l="1"/>
  <c r="L348" i="4"/>
  <c r="M347" i="4"/>
  <c r="L801" i="4"/>
  <c r="M800" i="4"/>
  <c r="G912" i="4" l="1"/>
  <c r="L349" i="4"/>
  <c r="M348" i="4"/>
  <c r="L802" i="4"/>
  <c r="M801" i="4"/>
  <c r="G913" i="4" l="1"/>
  <c r="L803" i="4"/>
  <c r="M802" i="4"/>
  <c r="L350" i="4"/>
  <c r="M349" i="4"/>
  <c r="G914" i="4" l="1"/>
  <c r="M803" i="4"/>
  <c r="L804" i="4"/>
  <c r="L351" i="4"/>
  <c r="M350" i="4"/>
  <c r="G915" i="4" l="1"/>
  <c r="L805" i="4"/>
  <c r="M804" i="4"/>
  <c r="L352" i="4"/>
  <c r="M351" i="4"/>
  <c r="G916" i="4" l="1"/>
  <c r="L806" i="4"/>
  <c r="M805" i="4"/>
  <c r="M352" i="4"/>
  <c r="L353" i="4"/>
  <c r="G917" i="4" l="1"/>
  <c r="M806" i="4"/>
  <c r="M807" i="4"/>
  <c r="L354" i="4"/>
  <c r="M353" i="4"/>
  <c r="G918" i="4" l="1"/>
  <c r="L355" i="4"/>
  <c r="M354" i="4"/>
  <c r="G919" i="4" l="1"/>
  <c r="L356" i="4"/>
  <c r="M355" i="4"/>
  <c r="G920" i="4" l="1"/>
  <c r="L357" i="4"/>
  <c r="M356" i="4"/>
  <c r="G921" i="4" l="1"/>
  <c r="L358" i="4"/>
  <c r="M357" i="4"/>
  <c r="G922" i="4" l="1"/>
  <c r="L359" i="4"/>
  <c r="M358" i="4"/>
  <c r="G923" i="4" l="1"/>
  <c r="L360" i="4"/>
  <c r="M359" i="4"/>
  <c r="G924" i="4" l="1"/>
  <c r="L361" i="4"/>
  <c r="M360" i="4"/>
  <c r="G925" i="4" l="1"/>
  <c r="L362" i="4"/>
  <c r="M361" i="4"/>
  <c r="G926" i="4" l="1"/>
  <c r="L363" i="4"/>
  <c r="M362" i="4"/>
  <c r="G927" i="4" l="1"/>
  <c r="L364" i="4"/>
  <c r="M363" i="4"/>
  <c r="G928" i="4" l="1"/>
  <c r="L365" i="4"/>
  <c r="M364" i="4"/>
  <c r="G929" i="4" l="1"/>
  <c r="L366" i="4"/>
  <c r="M365" i="4"/>
  <c r="G930" i="4" l="1"/>
  <c r="L367" i="4"/>
  <c r="M366" i="4"/>
  <c r="G931" i="4" l="1"/>
  <c r="L368" i="4"/>
  <c r="M367" i="4"/>
  <c r="G932" i="4" l="1"/>
  <c r="L369" i="4"/>
  <c r="M368" i="4"/>
  <c r="G933" i="4" l="1"/>
  <c r="L370" i="4"/>
  <c r="M369" i="4"/>
  <c r="G934" i="4" l="1"/>
  <c r="L371" i="4"/>
  <c r="M370" i="4"/>
  <c r="G935" i="4" l="1"/>
  <c r="L372" i="4"/>
  <c r="M371" i="4"/>
  <c r="G936" i="4" l="1"/>
  <c r="L373" i="4"/>
  <c r="M372" i="4"/>
  <c r="G937" i="4" l="1"/>
  <c r="L374" i="4"/>
  <c r="M373" i="4"/>
  <c r="L375" i="4" l="1"/>
  <c r="M374" i="4"/>
  <c r="L376" i="4" l="1"/>
  <c r="M375" i="4"/>
  <c r="L377" i="4" l="1"/>
  <c r="M376" i="4"/>
  <c r="L378" i="4" l="1"/>
  <c r="M377" i="4"/>
  <c r="L379" i="4" l="1"/>
  <c r="M378" i="4"/>
  <c r="L380" i="4" l="1"/>
  <c r="M379" i="4"/>
  <c r="L381" i="4" l="1"/>
  <c r="M380" i="4"/>
  <c r="L382" i="4" l="1"/>
  <c r="M381" i="4"/>
  <c r="L383" i="4" l="1"/>
  <c r="M382" i="4"/>
  <c r="L384" i="4" l="1"/>
  <c r="M383" i="4"/>
  <c r="L385" i="4" l="1"/>
  <c r="M384" i="4"/>
  <c r="L386" i="4" l="1"/>
  <c r="M385" i="4"/>
  <c r="L387" i="4" l="1"/>
  <c r="M386" i="4"/>
  <c r="L388" i="4" l="1"/>
  <c r="M387" i="4"/>
  <c r="L389" i="4" l="1"/>
  <c r="M388" i="4"/>
  <c r="L390" i="4" l="1"/>
  <c r="M389" i="4"/>
  <c r="L391" i="4" l="1"/>
  <c r="M390" i="4"/>
  <c r="L392" i="4" l="1"/>
  <c r="M391" i="4"/>
  <c r="L393" i="4" l="1"/>
  <c r="M392" i="4"/>
  <c r="L394" i="4" l="1"/>
  <c r="M393" i="4"/>
  <c r="L395" i="4" l="1"/>
  <c r="M394" i="4"/>
  <c r="L396" i="4" l="1"/>
  <c r="M395" i="4"/>
  <c r="L397" i="4" l="1"/>
  <c r="M396" i="4"/>
  <c r="L398" i="4" l="1"/>
  <c r="M397" i="4"/>
  <c r="L399" i="4" l="1"/>
  <c r="M398" i="4"/>
  <c r="L400" i="4" l="1"/>
  <c r="M399" i="4"/>
  <c r="L401" i="4" l="1"/>
  <c r="M400" i="4"/>
  <c r="L402" i="4" l="1"/>
  <c r="M401" i="4"/>
  <c r="L403" i="4" l="1"/>
  <c r="M402" i="4"/>
  <c r="L404" i="4" l="1"/>
  <c r="M403" i="4"/>
  <c r="L405" i="4" l="1"/>
  <c r="M404" i="4"/>
  <c r="L406" i="4" l="1"/>
  <c r="M405" i="4"/>
  <c r="L407" i="4" l="1"/>
  <c r="M406" i="4"/>
  <c r="L408" i="4" l="1"/>
  <c r="M407" i="4"/>
  <c r="L409" i="4" l="1"/>
  <c r="M408" i="4"/>
  <c r="L410" i="4" l="1"/>
  <c r="M409" i="4"/>
  <c r="L411" i="4" l="1"/>
  <c r="M410" i="4"/>
  <c r="L412" i="4" l="1"/>
  <c r="M411" i="4"/>
  <c r="L413" i="4" l="1"/>
  <c r="M412" i="4"/>
  <c r="L414" i="4" l="1"/>
  <c r="M413" i="4"/>
  <c r="L415" i="4" l="1"/>
  <c r="M414" i="4"/>
  <c r="L416" i="4" l="1"/>
  <c r="M415" i="4"/>
  <c r="L417" i="4" l="1"/>
  <c r="M416" i="4"/>
  <c r="L418" i="4" l="1"/>
  <c r="M417" i="4"/>
  <c r="L419" i="4" l="1"/>
  <c r="M418" i="4"/>
  <c r="L420" i="4" l="1"/>
  <c r="M419" i="4"/>
  <c r="L421" i="4" l="1"/>
  <c r="M420" i="4"/>
  <c r="L422" i="4" l="1"/>
  <c r="M421" i="4"/>
  <c r="L423" i="4" l="1"/>
  <c r="M422" i="4"/>
  <c r="L424" i="4" l="1"/>
  <c r="M423" i="4"/>
  <c r="L425" i="4" l="1"/>
  <c r="M424" i="4"/>
  <c r="L426" i="4" l="1"/>
  <c r="M425" i="4"/>
  <c r="L427" i="4" l="1"/>
  <c r="M426" i="4"/>
  <c r="L428" i="4" l="1"/>
  <c r="M427" i="4"/>
  <c r="L429" i="4" l="1"/>
  <c r="M428" i="4"/>
  <c r="L430" i="4" l="1"/>
  <c r="M429" i="4"/>
  <c r="L431" i="4" l="1"/>
  <c r="M430" i="4"/>
  <c r="L432" i="4" l="1"/>
  <c r="M431" i="4"/>
  <c r="L433" i="4" l="1"/>
  <c r="M432" i="4"/>
  <c r="L434" i="4" l="1"/>
  <c r="M433" i="4"/>
  <c r="L435" i="4" l="1"/>
  <c r="M434" i="4"/>
  <c r="L436" i="4" l="1"/>
  <c r="M435" i="4"/>
  <c r="L437" i="4" l="1"/>
  <c r="M436" i="4"/>
  <c r="L438" i="4" l="1"/>
  <c r="M437" i="4"/>
  <c r="L439" i="4" l="1"/>
  <c r="M438" i="4"/>
  <c r="L440" i="4" l="1"/>
  <c r="M439" i="4"/>
  <c r="L441" i="4" l="1"/>
  <c r="M440" i="4"/>
  <c r="L442" i="4" l="1"/>
  <c r="M441" i="4"/>
  <c r="L443" i="4" l="1"/>
  <c r="M442" i="4"/>
  <c r="L444" i="4" l="1"/>
  <c r="M443" i="4"/>
  <c r="L445" i="4" l="1"/>
  <c r="M444" i="4"/>
  <c r="L446" i="4" l="1"/>
  <c r="M445" i="4"/>
  <c r="L447" i="4" l="1"/>
  <c r="M446" i="4"/>
  <c r="L448" i="4" l="1"/>
  <c r="M447" i="4"/>
  <c r="L449" i="4" l="1"/>
  <c r="M448" i="4"/>
  <c r="L450" i="4" l="1"/>
  <c r="M449" i="4"/>
  <c r="L451" i="4" l="1"/>
  <c r="M450" i="4"/>
  <c r="L452" i="4" l="1"/>
  <c r="M451" i="4"/>
  <c r="L453" i="4" l="1"/>
  <c r="M452" i="4"/>
  <c r="L454" i="4" l="1"/>
  <c r="M453" i="4"/>
  <c r="L455" i="4" l="1"/>
  <c r="M454" i="4"/>
  <c r="L456" i="4" l="1"/>
  <c r="M455" i="4"/>
  <c r="L457" i="4" l="1"/>
  <c r="M456" i="4"/>
  <c r="L458" i="4" l="1"/>
  <c r="M457" i="4"/>
  <c r="L459" i="4" l="1"/>
  <c r="M458" i="4"/>
  <c r="L460" i="4" l="1"/>
  <c r="M459" i="4"/>
  <c r="L461" i="4" l="1"/>
  <c r="M460" i="4"/>
  <c r="L462" i="4" l="1"/>
  <c r="M461" i="4"/>
  <c r="L463" i="4" l="1"/>
  <c r="M462" i="4"/>
  <c r="L464" i="4" l="1"/>
  <c r="M463" i="4"/>
  <c r="L465" i="4" l="1"/>
  <c r="M464" i="4"/>
  <c r="L466" i="4" l="1"/>
  <c r="M465" i="4"/>
  <c r="L467" i="4" l="1"/>
  <c r="M466" i="4"/>
  <c r="L468" i="4" l="1"/>
  <c r="M467" i="4"/>
  <c r="L469" i="4" l="1"/>
  <c r="M468" i="4"/>
  <c r="L470" i="4" l="1"/>
  <c r="M469" i="4"/>
  <c r="L471" i="4" l="1"/>
  <c r="M470" i="4"/>
  <c r="L472" i="4" l="1"/>
  <c r="M471" i="4"/>
  <c r="L473" i="4" l="1"/>
  <c r="M472" i="4"/>
  <c r="L474" i="4" l="1"/>
  <c r="M473" i="4"/>
  <c r="L475" i="4" l="1"/>
  <c r="M474" i="4"/>
  <c r="L476" i="4" l="1"/>
  <c r="M475" i="4"/>
  <c r="L477" i="4" l="1"/>
  <c r="M476" i="4"/>
  <c r="L478" i="4" l="1"/>
  <c r="M477" i="4"/>
  <c r="L479" i="4" l="1"/>
  <c r="M478" i="4"/>
  <c r="L480" i="4" l="1"/>
  <c r="M479" i="4"/>
  <c r="L481" i="4" l="1"/>
  <c r="M480" i="4"/>
  <c r="L482" i="4" l="1"/>
  <c r="M481" i="4"/>
  <c r="L483" i="4" l="1"/>
  <c r="M482" i="4"/>
  <c r="L484" i="4" l="1"/>
  <c r="M483" i="4"/>
  <c r="L485" i="4" l="1"/>
  <c r="M484" i="4"/>
  <c r="L486" i="4" l="1"/>
  <c r="M485" i="4"/>
  <c r="L487" i="4" l="1"/>
  <c r="M486" i="4"/>
  <c r="L488" i="4" l="1"/>
  <c r="M487" i="4"/>
  <c r="L489" i="4" l="1"/>
  <c r="M488" i="4"/>
  <c r="L490" i="4" l="1"/>
  <c r="M489" i="4"/>
  <c r="L491" i="4" l="1"/>
  <c r="M490" i="4"/>
  <c r="L492" i="4" l="1"/>
  <c r="M491" i="4"/>
  <c r="L493" i="4" l="1"/>
  <c r="M492" i="4"/>
  <c r="L494" i="4" l="1"/>
  <c r="M493" i="4"/>
  <c r="L495" i="4" l="1"/>
  <c r="M494" i="4"/>
  <c r="L496" i="4" l="1"/>
  <c r="M495" i="4"/>
  <c r="L497" i="4" l="1"/>
  <c r="M496" i="4"/>
  <c r="L498" i="4" l="1"/>
  <c r="M497" i="4"/>
  <c r="L499" i="4" l="1"/>
  <c r="M498" i="4"/>
  <c r="L500" i="4" l="1"/>
  <c r="M499" i="4"/>
  <c r="L501" i="4" l="1"/>
  <c r="M500" i="4"/>
  <c r="L502" i="4" l="1"/>
  <c r="M501" i="4"/>
  <c r="L503" i="4" l="1"/>
  <c r="M502" i="4"/>
  <c r="L504" i="4" l="1"/>
  <c r="M503" i="4"/>
  <c r="L505" i="4" l="1"/>
  <c r="M504" i="4"/>
  <c r="L506" i="4" l="1"/>
  <c r="M505" i="4"/>
  <c r="L507" i="4" l="1"/>
  <c r="M506" i="4"/>
  <c r="L508" i="4" l="1"/>
  <c r="M507" i="4"/>
  <c r="L509" i="4" l="1"/>
  <c r="M508" i="4"/>
  <c r="L510" i="4" l="1"/>
  <c r="M509" i="4"/>
  <c r="L511" i="4" l="1"/>
  <c r="M510" i="4"/>
  <c r="L512" i="4" l="1"/>
  <c r="M511" i="4"/>
  <c r="L513" i="4" l="1"/>
  <c r="M512" i="4"/>
  <c r="L514" i="4" l="1"/>
  <c r="M513" i="4"/>
  <c r="L515" i="4" l="1"/>
  <c r="M514" i="4"/>
  <c r="L516" i="4" l="1"/>
  <c r="M515" i="4"/>
  <c r="L517" i="4" l="1"/>
  <c r="M516" i="4"/>
  <c r="L518" i="4" l="1"/>
  <c r="M517" i="4"/>
  <c r="L519" i="4" l="1"/>
  <c r="M518" i="4"/>
  <c r="L520" i="4" l="1"/>
  <c r="M519" i="4"/>
  <c r="L521" i="4" l="1"/>
  <c r="M520" i="4"/>
  <c r="L522" i="4" l="1"/>
  <c r="M521" i="4"/>
  <c r="L523" i="4" l="1"/>
  <c r="M522" i="4"/>
  <c r="L524" i="4" l="1"/>
  <c r="M523" i="4"/>
  <c r="L525" i="4" l="1"/>
  <c r="M524" i="4"/>
  <c r="L526" i="4" l="1"/>
  <c r="M525" i="4"/>
  <c r="L527" i="4" l="1"/>
  <c r="M526" i="4"/>
  <c r="L528" i="4" l="1"/>
  <c r="M527" i="4"/>
  <c r="L529" i="4" l="1"/>
  <c r="M528" i="4"/>
  <c r="L530" i="4" l="1"/>
  <c r="M529" i="4"/>
  <c r="L531" i="4" l="1"/>
  <c r="M530" i="4"/>
  <c r="L532" i="4" l="1"/>
  <c r="M531" i="4"/>
  <c r="L533" i="4" l="1"/>
  <c r="M532" i="4"/>
  <c r="L534" i="4" l="1"/>
  <c r="M533" i="4"/>
  <c r="L535" i="4" l="1"/>
  <c r="M534" i="4"/>
  <c r="L536" i="4" l="1"/>
  <c r="M535" i="4"/>
  <c r="L537" i="4" l="1"/>
  <c r="M536" i="4"/>
  <c r="L538" i="4" l="1"/>
  <c r="M537" i="4"/>
  <c r="L539" i="4" l="1"/>
  <c r="M538" i="4"/>
  <c r="L540" i="4" l="1"/>
  <c r="M539" i="4"/>
  <c r="L541" i="4" l="1"/>
  <c r="M540" i="4"/>
  <c r="L542" i="4" l="1"/>
  <c r="M541" i="4"/>
  <c r="L543" i="4" l="1"/>
  <c r="M542" i="4"/>
  <c r="L544" i="4" l="1"/>
  <c r="M543" i="4"/>
  <c r="L545" i="4" l="1"/>
  <c r="M544" i="4"/>
  <c r="L546" i="4" l="1"/>
  <c r="M545" i="4"/>
  <c r="L547" i="4" l="1"/>
  <c r="M546" i="4"/>
  <c r="L548" i="4" l="1"/>
  <c r="M547" i="4"/>
  <c r="L549" i="4" l="1"/>
  <c r="M548" i="4"/>
  <c r="L550" i="4" l="1"/>
  <c r="M549" i="4"/>
  <c r="L551" i="4" l="1"/>
  <c r="M550" i="4"/>
  <c r="L552" i="4" l="1"/>
  <c r="M551" i="4"/>
  <c r="L553" i="4" l="1"/>
  <c r="M552" i="4"/>
  <c r="L554" i="4" l="1"/>
  <c r="M553" i="4"/>
  <c r="L555" i="4" l="1"/>
  <c r="M554" i="4"/>
  <c r="L556" i="4" l="1"/>
  <c r="M555" i="4"/>
  <c r="L557" i="4" l="1"/>
  <c r="M556" i="4"/>
  <c r="L558" i="4" l="1"/>
  <c r="M557" i="4"/>
  <c r="L559" i="4" l="1"/>
  <c r="M558" i="4"/>
  <c r="L560" i="4" l="1"/>
  <c r="M559" i="4"/>
  <c r="L561" i="4" l="1"/>
  <c r="M560" i="4"/>
  <c r="L562" i="4" l="1"/>
  <c r="M561" i="4"/>
  <c r="L563" i="4" l="1"/>
  <c r="M562" i="4"/>
  <c r="L564" i="4" l="1"/>
  <c r="M563" i="4"/>
  <c r="L565" i="4" l="1"/>
  <c r="M564" i="4"/>
  <c r="L566" i="4" l="1"/>
  <c r="M565" i="4"/>
  <c r="L567" i="4" l="1"/>
  <c r="M566" i="4"/>
  <c r="L568" i="4" l="1"/>
  <c r="M567" i="4"/>
  <c r="L569" i="4" l="1"/>
  <c r="M568" i="4"/>
  <c r="L570" i="4" l="1"/>
  <c r="M569" i="4"/>
  <c r="L571" i="4" l="1"/>
  <c r="M570" i="4"/>
  <c r="L572" i="4" l="1"/>
  <c r="M571" i="4"/>
  <c r="L573" i="4" l="1"/>
  <c r="M572" i="4"/>
  <c r="L574" i="4" l="1"/>
  <c r="M573" i="4"/>
  <c r="L575" i="4" l="1"/>
  <c r="M574" i="4"/>
  <c r="L576" i="4" l="1"/>
  <c r="M575" i="4"/>
  <c r="L577" i="4" l="1"/>
  <c r="M576" i="4"/>
  <c r="L578" i="4" l="1"/>
  <c r="M577" i="4"/>
  <c r="L579" i="4" l="1"/>
  <c r="M578" i="4"/>
  <c r="L580" i="4" l="1"/>
  <c r="M579" i="4"/>
  <c r="L581" i="4" l="1"/>
  <c r="M580" i="4"/>
  <c r="L582" i="4" l="1"/>
  <c r="M581" i="4"/>
  <c r="L583" i="4" l="1"/>
  <c r="M582" i="4"/>
  <c r="L584" i="4" l="1"/>
  <c r="M583" i="4"/>
  <c r="L585" i="4" l="1"/>
  <c r="M584" i="4"/>
  <c r="L586" i="4" l="1"/>
  <c r="M585" i="4"/>
  <c r="L587" i="4" l="1"/>
  <c r="M586" i="4"/>
  <c r="L588" i="4" l="1"/>
  <c r="M587" i="4"/>
  <c r="L589" i="4" l="1"/>
  <c r="M588" i="4"/>
  <c r="L590" i="4" l="1"/>
  <c r="M589" i="4"/>
  <c r="L591" i="4" l="1"/>
  <c r="M590" i="4"/>
  <c r="L592" i="4" l="1"/>
  <c r="M591" i="4"/>
  <c r="L593" i="4" l="1"/>
  <c r="M592" i="4"/>
  <c r="L594" i="4" l="1"/>
  <c r="M593" i="4"/>
  <c r="L595" i="4" l="1"/>
  <c r="M594" i="4"/>
  <c r="L596" i="4" l="1"/>
  <c r="M595" i="4"/>
  <c r="L597" i="4" l="1"/>
  <c r="M596" i="4"/>
  <c r="L598" i="4" l="1"/>
  <c r="M597" i="4"/>
  <c r="L599" i="4" l="1"/>
  <c r="M598" i="4"/>
  <c r="L600" i="4" l="1"/>
  <c r="M599" i="4"/>
  <c r="L601" i="4" l="1"/>
  <c r="M600" i="4"/>
  <c r="L602" i="4" l="1"/>
  <c r="M601" i="4"/>
  <c r="L603" i="4" l="1"/>
  <c r="M602" i="4"/>
  <c r="L604" i="4" l="1"/>
  <c r="M603" i="4"/>
  <c r="L605" i="4" l="1"/>
  <c r="M604" i="4"/>
  <c r="L606" i="4" l="1"/>
  <c r="M605" i="4"/>
  <c r="L607" i="4" l="1"/>
  <c r="M606" i="4"/>
  <c r="L608" i="4" l="1"/>
  <c r="M607" i="4"/>
  <c r="L609" i="4" l="1"/>
  <c r="M608" i="4"/>
  <c r="L610" i="4" l="1"/>
  <c r="M609" i="4"/>
  <c r="M610" i="4" l="1"/>
  <c r="L611" i="4"/>
  <c r="L612" i="4" l="1"/>
  <c r="M611" i="4"/>
  <c r="L613" i="4" l="1"/>
  <c r="M612" i="4"/>
  <c r="L614" i="4" l="1"/>
  <c r="M613" i="4"/>
  <c r="L615" i="4" l="1"/>
  <c r="M614" i="4"/>
  <c r="L616" i="4" l="1"/>
  <c r="M615" i="4"/>
  <c r="L617" i="4" l="1"/>
  <c r="M616" i="4"/>
  <c r="M617" i="4" l="1"/>
  <c r="L618" i="4"/>
  <c r="M618" i="4" l="1"/>
  <c r="L619" i="4"/>
  <c r="L620" i="4" l="1"/>
  <c r="M619" i="4"/>
  <c r="L621" i="4" l="1"/>
  <c r="M620" i="4"/>
  <c r="L622" i="4" l="1"/>
  <c r="M621" i="4"/>
  <c r="L623" i="4" l="1"/>
  <c r="M622" i="4"/>
  <c r="L624" i="4" l="1"/>
  <c r="M623" i="4"/>
  <c r="L625" i="4" l="1"/>
  <c r="M624" i="4"/>
  <c r="L626" i="4" l="1"/>
  <c r="M625" i="4"/>
  <c r="L627" i="4" l="1"/>
  <c r="M626" i="4"/>
  <c r="L628" i="4" l="1"/>
  <c r="M627" i="4"/>
  <c r="L629" i="4" l="1"/>
  <c r="M628" i="4"/>
  <c r="L630" i="4" l="1"/>
  <c r="M629" i="4"/>
  <c r="M630" i="4" l="1"/>
  <c r="L631" i="4"/>
  <c r="L632" i="4" l="1"/>
  <c r="M631" i="4"/>
  <c r="L633" i="4" l="1"/>
  <c r="M632" i="4"/>
  <c r="L634" i="4" l="1"/>
  <c r="M633" i="4"/>
  <c r="L635" i="4" l="1"/>
  <c r="M634" i="4"/>
  <c r="L636" i="4" l="1"/>
  <c r="M635" i="4"/>
  <c r="L637" i="4" l="1"/>
  <c r="M636" i="4"/>
  <c r="L638" i="4" l="1"/>
  <c r="M637" i="4"/>
  <c r="M638" i="4" l="1"/>
  <c r="M639" i="4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5" i="1"/>
  <c r="K16" i="4" s="1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405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747" i="4"/>
  <c r="J748" i="4"/>
  <c r="J749" i="4"/>
  <c r="J750" i="4"/>
  <c r="J751" i="4"/>
  <c r="J752" i="4"/>
  <c r="J753" i="4"/>
  <c r="J754" i="4"/>
  <c r="J755" i="4"/>
  <c r="J756" i="4"/>
  <c r="J757" i="4"/>
  <c r="J800" i="4"/>
  <c r="J801" i="4"/>
  <c r="J802" i="4"/>
  <c r="J803" i="4"/>
  <c r="J804" i="4"/>
  <c r="J805" i="4"/>
  <c r="J806" i="4"/>
  <c r="J807" i="4"/>
  <c r="J808" i="4"/>
  <c r="J809" i="4"/>
  <c r="J810" i="4"/>
  <c r="J811" i="4"/>
  <c r="J812" i="4"/>
  <c r="J813" i="4"/>
  <c r="J814" i="4"/>
  <c r="J815" i="4"/>
  <c r="J816" i="4"/>
  <c r="J817" i="4"/>
  <c r="J818" i="4"/>
  <c r="J819" i="4"/>
  <c r="J820" i="4"/>
  <c r="J821" i="4"/>
  <c r="J822" i="4"/>
  <c r="J823" i="4"/>
  <c r="J877" i="4"/>
  <c r="J878" i="4"/>
  <c r="J879" i="4"/>
  <c r="J880" i="4"/>
  <c r="J881" i="4"/>
  <c r="J882" i="4"/>
  <c r="J883" i="4"/>
  <c r="J884" i="4"/>
  <c r="J885" i="4"/>
  <c r="J886" i="4"/>
  <c r="J887" i="4"/>
  <c r="J888" i="4"/>
  <c r="J889" i="4"/>
  <c r="J890" i="4"/>
  <c r="J891" i="4"/>
  <c r="J892" i="4"/>
  <c r="J893" i="4"/>
  <c r="J894" i="4"/>
  <c r="J895" i="4"/>
  <c r="J896" i="4"/>
  <c r="J897" i="4"/>
  <c r="J898" i="4"/>
  <c r="J899" i="4"/>
  <c r="J900" i="4"/>
  <c r="J901" i="4"/>
  <c r="J902" i="4"/>
  <c r="J903" i="4"/>
  <c r="J904" i="4"/>
  <c r="J905" i="4"/>
  <c r="J906" i="4"/>
  <c r="J907" i="4"/>
  <c r="J908" i="4"/>
  <c r="J909" i="4"/>
  <c r="J910" i="4"/>
  <c r="J911" i="4"/>
  <c r="J912" i="4"/>
  <c r="J913" i="4"/>
  <c r="J914" i="4"/>
  <c r="J915" i="4"/>
  <c r="J916" i="4"/>
  <c r="J917" i="4"/>
  <c r="J918" i="4"/>
  <c r="J919" i="4"/>
  <c r="J920" i="4"/>
  <c r="J921" i="4"/>
  <c r="J922" i="4"/>
  <c r="J923" i="4"/>
  <c r="J924" i="4"/>
  <c r="J925" i="4"/>
  <c r="J926" i="4"/>
  <c r="J927" i="4"/>
  <c r="J928" i="4"/>
  <c r="J929" i="4"/>
  <c r="J930" i="4"/>
  <c r="J931" i="4"/>
  <c r="J932" i="4"/>
  <c r="J933" i="4"/>
  <c r="J934" i="4"/>
  <c r="J935" i="4"/>
  <c r="J936" i="4"/>
  <c r="J937" i="4"/>
  <c r="J944" i="4"/>
  <c r="J945" i="4"/>
  <c r="J946" i="4"/>
  <c r="J947" i="4"/>
  <c r="J948" i="4"/>
  <c r="J949" i="4"/>
  <c r="J950" i="4"/>
  <c r="J951" i="4"/>
  <c r="J952" i="4"/>
  <c r="J953" i="4"/>
  <c r="J954" i="4"/>
  <c r="J955" i="4"/>
  <c r="J956" i="4"/>
  <c r="J957" i="4"/>
  <c r="J958" i="4"/>
  <c r="J959" i="4"/>
  <c r="J960" i="4"/>
  <c r="J961" i="4"/>
  <c r="J962" i="4"/>
  <c r="J963" i="4"/>
  <c r="J964" i="4"/>
  <c r="J965" i="4"/>
  <c r="J966" i="4"/>
  <c r="J967" i="4"/>
  <c r="J968" i="4"/>
  <c r="J969" i="4"/>
  <c r="J970" i="4"/>
  <c r="J971" i="4"/>
  <c r="J972" i="4"/>
  <c r="J1075" i="4"/>
  <c r="J1076" i="4"/>
  <c r="J1077" i="4"/>
  <c r="J1078" i="4"/>
  <c r="J1079" i="4"/>
  <c r="J1080" i="4"/>
  <c r="J1081" i="4"/>
  <c r="J1082" i="4"/>
  <c r="J1083" i="4"/>
  <c r="J1084" i="4"/>
  <c r="J1085" i="4"/>
  <c r="E1086" i="4"/>
  <c r="D1086" i="4" s="1"/>
  <c r="E973" i="4"/>
  <c r="I973" i="4" s="1"/>
  <c r="Q973" i="4" s="1"/>
  <c r="E938" i="4"/>
  <c r="E824" i="4"/>
  <c r="I824" i="4" s="1"/>
  <c r="Q824" i="4" s="1"/>
  <c r="E758" i="4"/>
  <c r="I758" i="4" s="1"/>
  <c r="Q758" i="4" s="1"/>
  <c r="E693" i="4"/>
  <c r="E406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405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747" i="4"/>
  <c r="D748" i="4"/>
  <c r="D749" i="4"/>
  <c r="D750" i="4"/>
  <c r="D751" i="4"/>
  <c r="D752" i="4"/>
  <c r="D753" i="4"/>
  <c r="D754" i="4"/>
  <c r="D755" i="4"/>
  <c r="D756" i="4"/>
  <c r="D757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1075" i="4"/>
  <c r="D1076" i="4"/>
  <c r="D1077" i="4"/>
  <c r="D1078" i="4"/>
  <c r="D1079" i="4"/>
  <c r="D1080" i="4"/>
  <c r="D1081" i="4"/>
  <c r="D1082" i="4"/>
  <c r="D1083" i="4"/>
  <c r="D1084" i="4"/>
  <c r="D1085" i="4"/>
  <c r="E217" i="4"/>
  <c r="I217" i="4" s="1"/>
  <c r="Q217" i="4" s="1"/>
  <c r="D17" i="4"/>
  <c r="D16" i="4"/>
  <c r="J4" i="4"/>
  <c r="J5" i="4"/>
  <c r="J6" i="4"/>
  <c r="J7" i="4"/>
  <c r="J8" i="4"/>
  <c r="D4" i="4"/>
  <c r="D5" i="4"/>
  <c r="D6" i="4"/>
  <c r="D7" i="4"/>
  <c r="D8" i="4"/>
  <c r="D9" i="4"/>
  <c r="D10" i="4"/>
  <c r="D11" i="4"/>
  <c r="D12" i="4"/>
  <c r="D13" i="4"/>
  <c r="D14" i="4"/>
  <c r="D15" i="4"/>
  <c r="D3" i="4"/>
  <c r="J3" i="4"/>
  <c r="K72" i="4"/>
  <c r="K200" i="4"/>
  <c r="K232" i="4"/>
  <c r="K328" i="4"/>
  <c r="C4" i="4"/>
  <c r="K296" i="4" l="1"/>
  <c r="K168" i="4"/>
  <c r="K20" i="4"/>
  <c r="K264" i="4"/>
  <c r="K136" i="4"/>
  <c r="K104" i="4"/>
  <c r="K1108" i="4"/>
  <c r="K288" i="4"/>
  <c r="K224" i="4"/>
  <c r="K160" i="4"/>
  <c r="K96" i="4"/>
  <c r="K64" i="4"/>
  <c r="K1102" i="4"/>
  <c r="K312" i="4"/>
  <c r="K280" i="4"/>
  <c r="K248" i="4"/>
  <c r="K216" i="4"/>
  <c r="K184" i="4"/>
  <c r="K152" i="4"/>
  <c r="K120" i="4"/>
  <c r="K88" i="4"/>
  <c r="K52" i="4"/>
  <c r="K320" i="4"/>
  <c r="K256" i="4"/>
  <c r="K192" i="4"/>
  <c r="K128" i="4"/>
  <c r="K4" i="4"/>
  <c r="K336" i="4"/>
  <c r="K304" i="4"/>
  <c r="K272" i="4"/>
  <c r="K240" i="4"/>
  <c r="K208" i="4"/>
  <c r="K176" i="4"/>
  <c r="K144" i="4"/>
  <c r="K112" i="4"/>
  <c r="K80" i="4"/>
  <c r="K36" i="4"/>
  <c r="D824" i="4"/>
  <c r="K1111" i="4"/>
  <c r="K1106" i="4"/>
  <c r="K1100" i="4"/>
  <c r="K334" i="4"/>
  <c r="K326" i="4"/>
  <c r="K318" i="4"/>
  <c r="K310" i="4"/>
  <c r="K302" i="4"/>
  <c r="K294" i="4"/>
  <c r="K286" i="4"/>
  <c r="K278" i="4"/>
  <c r="K270" i="4"/>
  <c r="K262" i="4"/>
  <c r="K254" i="4"/>
  <c r="K246" i="4"/>
  <c r="K238" i="4"/>
  <c r="K230" i="4"/>
  <c r="K222" i="4"/>
  <c r="K214" i="4"/>
  <c r="K206" i="4"/>
  <c r="K198" i="4"/>
  <c r="K190" i="4"/>
  <c r="K182" i="4"/>
  <c r="K174" i="4"/>
  <c r="K166" i="4"/>
  <c r="K158" i="4"/>
  <c r="K150" i="4"/>
  <c r="K142" i="4"/>
  <c r="K134" i="4"/>
  <c r="K126" i="4"/>
  <c r="K118" i="4"/>
  <c r="K110" i="4"/>
  <c r="K102" i="4"/>
  <c r="K94" i="4"/>
  <c r="K86" i="4"/>
  <c r="K78" i="4"/>
  <c r="K70" i="4"/>
  <c r="K62" i="4"/>
  <c r="K48" i="4"/>
  <c r="K32" i="4"/>
  <c r="K5" i="4"/>
  <c r="K9" i="4"/>
  <c r="K13" i="4"/>
  <c r="K17" i="4"/>
  <c r="K21" i="4"/>
  <c r="K25" i="4"/>
  <c r="K29" i="4"/>
  <c r="K33" i="4"/>
  <c r="K37" i="4"/>
  <c r="K41" i="4"/>
  <c r="K45" i="4"/>
  <c r="K49" i="4"/>
  <c r="K53" i="4"/>
  <c r="K57" i="4"/>
  <c r="K61" i="4"/>
  <c r="K65" i="4"/>
  <c r="K69" i="4"/>
  <c r="K73" i="4"/>
  <c r="K77" i="4"/>
  <c r="K81" i="4"/>
  <c r="K85" i="4"/>
  <c r="K89" i="4"/>
  <c r="K93" i="4"/>
  <c r="K97" i="4"/>
  <c r="K101" i="4"/>
  <c r="K105" i="4"/>
  <c r="K109" i="4"/>
  <c r="K113" i="4"/>
  <c r="K117" i="4"/>
  <c r="K121" i="4"/>
  <c r="K125" i="4"/>
  <c r="K129" i="4"/>
  <c r="K133" i="4"/>
  <c r="K137" i="4"/>
  <c r="K141" i="4"/>
  <c r="K145" i="4"/>
  <c r="K149" i="4"/>
  <c r="K153" i="4"/>
  <c r="K157" i="4"/>
  <c r="K161" i="4"/>
  <c r="K165" i="4"/>
  <c r="K169" i="4"/>
  <c r="K173" i="4"/>
  <c r="K177" i="4"/>
  <c r="K181" i="4"/>
  <c r="K185" i="4"/>
  <c r="K189" i="4"/>
  <c r="K193" i="4"/>
  <c r="K197" i="4"/>
  <c r="K201" i="4"/>
  <c r="K205" i="4"/>
  <c r="K209" i="4"/>
  <c r="K213" i="4"/>
  <c r="K217" i="4"/>
  <c r="K221" i="4"/>
  <c r="K225" i="4"/>
  <c r="K229" i="4"/>
  <c r="K233" i="4"/>
  <c r="K237" i="4"/>
  <c r="K241" i="4"/>
  <c r="K245" i="4"/>
  <c r="K249" i="4"/>
  <c r="K253" i="4"/>
  <c r="K257" i="4"/>
  <c r="K261" i="4"/>
  <c r="K265" i="4"/>
  <c r="K269" i="4"/>
  <c r="K273" i="4"/>
  <c r="K277" i="4"/>
  <c r="K281" i="4"/>
  <c r="K285" i="4"/>
  <c r="K289" i="4"/>
  <c r="K293" i="4"/>
  <c r="K297" i="4"/>
  <c r="K301" i="4"/>
  <c r="K305" i="4"/>
  <c r="K309" i="4"/>
  <c r="K313" i="4"/>
  <c r="K317" i="4"/>
  <c r="K321" i="4"/>
  <c r="K325" i="4"/>
  <c r="K329" i="4"/>
  <c r="K333" i="4"/>
  <c r="K337" i="4"/>
  <c r="K1099" i="4"/>
  <c r="K1103" i="4"/>
  <c r="K1107" i="4"/>
  <c r="K6" i="4"/>
  <c r="K10" i="4"/>
  <c r="K14" i="4"/>
  <c r="K18" i="4"/>
  <c r="K22" i="4"/>
  <c r="K26" i="4"/>
  <c r="K30" i="4"/>
  <c r="K34" i="4"/>
  <c r="K38" i="4"/>
  <c r="K42" i="4"/>
  <c r="K46" i="4"/>
  <c r="K50" i="4"/>
  <c r="K54" i="4"/>
  <c r="K58" i="4"/>
  <c r="K7" i="4"/>
  <c r="K11" i="4"/>
  <c r="K15" i="4"/>
  <c r="K19" i="4"/>
  <c r="K23" i="4"/>
  <c r="K27" i="4"/>
  <c r="K31" i="4"/>
  <c r="K35" i="4"/>
  <c r="K39" i="4"/>
  <c r="K43" i="4"/>
  <c r="K47" i="4"/>
  <c r="K51" i="4"/>
  <c r="K55" i="4"/>
  <c r="K59" i="4"/>
  <c r="K63" i="4"/>
  <c r="K67" i="4"/>
  <c r="K71" i="4"/>
  <c r="K75" i="4"/>
  <c r="K79" i="4"/>
  <c r="K83" i="4"/>
  <c r="K87" i="4"/>
  <c r="K91" i="4"/>
  <c r="K95" i="4"/>
  <c r="K99" i="4"/>
  <c r="K103" i="4"/>
  <c r="K107" i="4"/>
  <c r="K111" i="4"/>
  <c r="K115" i="4"/>
  <c r="K119" i="4"/>
  <c r="K123" i="4"/>
  <c r="K127" i="4"/>
  <c r="K131" i="4"/>
  <c r="K135" i="4"/>
  <c r="K139" i="4"/>
  <c r="K143" i="4"/>
  <c r="K147" i="4"/>
  <c r="K151" i="4"/>
  <c r="K155" i="4"/>
  <c r="K159" i="4"/>
  <c r="K163" i="4"/>
  <c r="K167" i="4"/>
  <c r="K171" i="4"/>
  <c r="K175" i="4"/>
  <c r="K179" i="4"/>
  <c r="K183" i="4"/>
  <c r="K187" i="4"/>
  <c r="K191" i="4"/>
  <c r="K195" i="4"/>
  <c r="K199" i="4"/>
  <c r="K203" i="4"/>
  <c r="K207" i="4"/>
  <c r="K211" i="4"/>
  <c r="K215" i="4"/>
  <c r="K219" i="4"/>
  <c r="K223" i="4"/>
  <c r="K227" i="4"/>
  <c r="K231" i="4"/>
  <c r="K235" i="4"/>
  <c r="K239" i="4"/>
  <c r="K243" i="4"/>
  <c r="K247" i="4"/>
  <c r="K251" i="4"/>
  <c r="K255" i="4"/>
  <c r="K259" i="4"/>
  <c r="K263" i="4"/>
  <c r="K267" i="4"/>
  <c r="K271" i="4"/>
  <c r="K275" i="4"/>
  <c r="K279" i="4"/>
  <c r="K283" i="4"/>
  <c r="K287" i="4"/>
  <c r="K291" i="4"/>
  <c r="K295" i="4"/>
  <c r="K299" i="4"/>
  <c r="K303" i="4"/>
  <c r="K307" i="4"/>
  <c r="K311" i="4"/>
  <c r="K315" i="4"/>
  <c r="K319" i="4"/>
  <c r="K323" i="4"/>
  <c r="K327" i="4"/>
  <c r="K331" i="4"/>
  <c r="K335" i="4"/>
  <c r="K1097" i="4"/>
  <c r="K1101" i="4"/>
  <c r="K1110" i="4"/>
  <c r="K1105" i="4"/>
  <c r="K1098" i="4"/>
  <c r="K332" i="4"/>
  <c r="K324" i="4"/>
  <c r="K316" i="4"/>
  <c r="K308" i="4"/>
  <c r="K300" i="4"/>
  <c r="K292" i="4"/>
  <c r="K284" i="4"/>
  <c r="K276" i="4"/>
  <c r="K268" i="4"/>
  <c r="K260" i="4"/>
  <c r="K252" i="4"/>
  <c r="K244" i="4"/>
  <c r="K236" i="4"/>
  <c r="K228" i="4"/>
  <c r="K220" i="4"/>
  <c r="K212" i="4"/>
  <c r="K204" i="4"/>
  <c r="K196" i="4"/>
  <c r="K188" i="4"/>
  <c r="K180" i="4"/>
  <c r="K172" i="4"/>
  <c r="K164" i="4"/>
  <c r="K156" i="4"/>
  <c r="K148" i="4"/>
  <c r="K140" i="4"/>
  <c r="K132" i="4"/>
  <c r="K124" i="4"/>
  <c r="K116" i="4"/>
  <c r="K108" i="4"/>
  <c r="K100" i="4"/>
  <c r="K92" i="4"/>
  <c r="K84" i="4"/>
  <c r="K76" i="4"/>
  <c r="K68" i="4"/>
  <c r="K60" i="4"/>
  <c r="K44" i="4"/>
  <c r="K28" i="4"/>
  <c r="K12" i="4"/>
  <c r="K1109" i="4"/>
  <c r="K1104" i="4"/>
  <c r="K1096" i="4"/>
  <c r="K330" i="4"/>
  <c r="K322" i="4"/>
  <c r="K314" i="4"/>
  <c r="K306" i="4"/>
  <c r="K298" i="4"/>
  <c r="K290" i="4"/>
  <c r="K282" i="4"/>
  <c r="K274" i="4"/>
  <c r="K266" i="4"/>
  <c r="K258" i="4"/>
  <c r="K250" i="4"/>
  <c r="K242" i="4"/>
  <c r="K234" i="4"/>
  <c r="K226" i="4"/>
  <c r="K218" i="4"/>
  <c r="K210" i="4"/>
  <c r="K202" i="4"/>
  <c r="K194" i="4"/>
  <c r="K186" i="4"/>
  <c r="K178" i="4"/>
  <c r="K170" i="4"/>
  <c r="K162" i="4"/>
  <c r="K154" i="4"/>
  <c r="K146" i="4"/>
  <c r="K138" i="4"/>
  <c r="K130" i="4"/>
  <c r="K122" i="4"/>
  <c r="K114" i="4"/>
  <c r="K106" i="4"/>
  <c r="K98" i="4"/>
  <c r="K90" i="4"/>
  <c r="K82" i="4"/>
  <c r="K74" i="4"/>
  <c r="K66" i="4"/>
  <c r="K56" i="4"/>
  <c r="K40" i="4"/>
  <c r="K24" i="4"/>
  <c r="K8" i="4"/>
  <c r="E218" i="4"/>
  <c r="I218" i="4" s="1"/>
  <c r="Q218" i="4" s="1"/>
  <c r="D758" i="4"/>
  <c r="F4" i="4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N3" i="4"/>
  <c r="N289" i="4"/>
  <c r="N270" i="4"/>
  <c r="N1109" i="4"/>
  <c r="N1093" i="4"/>
  <c r="N1077" i="4"/>
  <c r="N1061" i="4"/>
  <c r="N1045" i="4"/>
  <c r="N1029" i="4"/>
  <c r="N1013" i="4"/>
  <c r="N997" i="4"/>
  <c r="N981" i="4"/>
  <c r="N965" i="4"/>
  <c r="N949" i="4"/>
  <c r="N933" i="4"/>
  <c r="N917" i="4"/>
  <c r="N901" i="4"/>
  <c r="N885" i="4"/>
  <c r="N869" i="4"/>
  <c r="N853" i="4"/>
  <c r="N837" i="4"/>
  <c r="N821" i="4"/>
  <c r="N725" i="4"/>
  <c r="N709" i="4"/>
  <c r="N693" i="4"/>
  <c r="N677" i="4"/>
  <c r="N661" i="4"/>
  <c r="N645" i="4"/>
  <c r="N261" i="4"/>
  <c r="N245" i="4"/>
  <c r="N229" i="4"/>
  <c r="N213" i="4"/>
  <c r="N197" i="4"/>
  <c r="N181" i="4"/>
  <c r="N165" i="4"/>
  <c r="N149" i="4"/>
  <c r="N85" i="4"/>
  <c r="N69" i="4"/>
  <c r="N53" i="4"/>
  <c r="N37" i="4"/>
  <c r="N21" i="4"/>
  <c r="N5" i="4"/>
  <c r="N1104" i="4"/>
  <c r="N1088" i="4"/>
  <c r="N1072" i="4"/>
  <c r="N1056" i="4"/>
  <c r="N1040" i="4"/>
  <c r="N1024" i="4"/>
  <c r="N1008" i="4"/>
  <c r="N992" i="4"/>
  <c r="N976" i="4"/>
  <c r="N960" i="4"/>
  <c r="N944" i="4"/>
  <c r="N928" i="4"/>
  <c r="N912" i="4"/>
  <c r="N896" i="4"/>
  <c r="N880" i="4"/>
  <c r="N864" i="4"/>
  <c r="N848" i="4"/>
  <c r="N832" i="4"/>
  <c r="N816" i="4"/>
  <c r="N732" i="4"/>
  <c r="N716" i="4"/>
  <c r="N700" i="4"/>
  <c r="N684" i="4"/>
  <c r="N668" i="4"/>
  <c r="N652" i="4"/>
  <c r="N268" i="4"/>
  <c r="N252" i="4"/>
  <c r="N236" i="4"/>
  <c r="N220" i="4"/>
  <c r="N204" i="4"/>
  <c r="N188" i="4"/>
  <c r="N172" i="4"/>
  <c r="N156" i="4"/>
  <c r="N80" i="4"/>
  <c r="N64" i="4"/>
  <c r="N48" i="4"/>
  <c r="N32" i="4"/>
  <c r="N16" i="4"/>
  <c r="N1111" i="4"/>
  <c r="N1095" i="4"/>
  <c r="N1079" i="4"/>
  <c r="N1063" i="4"/>
  <c r="N1047" i="4"/>
  <c r="N1031" i="4"/>
  <c r="N1015" i="4"/>
  <c r="N999" i="4"/>
  <c r="N983" i="4"/>
  <c r="N967" i="4"/>
  <c r="N951" i="4"/>
  <c r="N935" i="4"/>
  <c r="N919" i="4"/>
  <c r="N903" i="4"/>
  <c r="N887" i="4"/>
  <c r="N871" i="4"/>
  <c r="N855" i="4"/>
  <c r="N839" i="4"/>
  <c r="N823" i="4"/>
  <c r="N739" i="4"/>
  <c r="N723" i="4"/>
  <c r="N707" i="4"/>
  <c r="N691" i="4"/>
  <c r="N675" i="4"/>
  <c r="N659" i="4"/>
  <c r="N643" i="4"/>
  <c r="N255" i="4"/>
  <c r="N239" i="4"/>
  <c r="N223" i="4"/>
  <c r="N207" i="4"/>
  <c r="N191" i="4"/>
  <c r="N175" i="4"/>
  <c r="N159" i="4"/>
  <c r="N87" i="4"/>
  <c r="N71" i="4"/>
  <c r="N55" i="4"/>
  <c r="N39" i="4"/>
  <c r="N23" i="4"/>
  <c r="N7" i="4"/>
  <c r="N1098" i="4"/>
  <c r="N1082" i="4"/>
  <c r="N1066" i="4"/>
  <c r="N1050" i="4"/>
  <c r="N1034" i="4"/>
  <c r="N1018" i="4"/>
  <c r="N1002" i="4"/>
  <c r="N986" i="4"/>
  <c r="N970" i="4"/>
  <c r="N954" i="4"/>
  <c r="N938" i="4"/>
  <c r="N922" i="4"/>
  <c r="N906" i="4"/>
  <c r="N874" i="4"/>
  <c r="N858" i="4"/>
  <c r="N826" i="4"/>
  <c r="N726" i="4"/>
  <c r="N678" i="4"/>
  <c r="N258" i="4"/>
  <c r="N210" i="4"/>
  <c r="N162" i="4"/>
  <c r="N90" i="4"/>
  <c r="N58" i="4"/>
  <c r="N10" i="4"/>
  <c r="N658" i="4"/>
  <c r="N254" i="4"/>
  <c r="N206" i="4"/>
  <c r="N174" i="4"/>
  <c r="N38" i="4"/>
  <c r="N138" i="4"/>
  <c r="N1105" i="4"/>
  <c r="N1089" i="4"/>
  <c r="N1073" i="4"/>
  <c r="N1057" i="4"/>
  <c r="N1041" i="4"/>
  <c r="N1025" i="4"/>
  <c r="N1009" i="4"/>
  <c r="N993" i="4"/>
  <c r="N977" i="4"/>
  <c r="N961" i="4"/>
  <c r="N945" i="4"/>
  <c r="N929" i="4"/>
  <c r="N913" i="4"/>
  <c r="N897" i="4"/>
  <c r="N881" i="4"/>
  <c r="N865" i="4"/>
  <c r="N849" i="4"/>
  <c r="N833" i="4"/>
  <c r="N817" i="4"/>
  <c r="N737" i="4"/>
  <c r="N721" i="4"/>
  <c r="N705" i="4"/>
  <c r="N689" i="4"/>
  <c r="N673" i="4"/>
  <c r="N657" i="4"/>
  <c r="N641" i="4"/>
  <c r="N257" i="4"/>
  <c r="N241" i="4"/>
  <c r="N225" i="4"/>
  <c r="N209" i="4"/>
  <c r="N193" i="4"/>
  <c r="N177" i="4"/>
  <c r="N161" i="4"/>
  <c r="N81" i="4"/>
  <c r="N65" i="4"/>
  <c r="N49" i="4"/>
  <c r="N33" i="4"/>
  <c r="N17" i="4"/>
  <c r="N1100" i="4"/>
  <c r="N1084" i="4"/>
  <c r="N1068" i="4"/>
  <c r="N1052" i="4"/>
  <c r="N1036" i="4"/>
  <c r="N1020" i="4"/>
  <c r="N1004" i="4"/>
  <c r="N988" i="4"/>
  <c r="N972" i="4"/>
  <c r="N956" i="4"/>
  <c r="N940" i="4"/>
  <c r="N924" i="4"/>
  <c r="N908" i="4"/>
  <c r="N892" i="4"/>
  <c r="N876" i="4"/>
  <c r="N860" i="4"/>
  <c r="N844" i="4"/>
  <c r="N828" i="4"/>
  <c r="N812" i="4"/>
  <c r="N728" i="4"/>
  <c r="N712" i="4"/>
  <c r="N696" i="4"/>
  <c r="N680" i="4"/>
  <c r="N664" i="4"/>
  <c r="N648" i="4"/>
  <c r="N264" i="4"/>
  <c r="N248" i="4"/>
  <c r="N232" i="4"/>
  <c r="N216" i="4"/>
  <c r="N200" i="4"/>
  <c r="N184" i="4"/>
  <c r="N168" i="4"/>
  <c r="N152" i="4"/>
  <c r="N92" i="4"/>
  <c r="N76" i="4"/>
  <c r="N60" i="4"/>
  <c r="N44" i="4"/>
  <c r="N28" i="4"/>
  <c r="N12" i="4"/>
  <c r="N1107" i="4"/>
  <c r="N1091" i="4"/>
  <c r="N1075" i="4"/>
  <c r="N1059" i="4"/>
  <c r="N1043" i="4"/>
  <c r="N1027" i="4"/>
  <c r="N1011" i="4"/>
  <c r="N995" i="4"/>
  <c r="N979" i="4"/>
  <c r="N963" i="4"/>
  <c r="N947" i="4"/>
  <c r="N931" i="4"/>
  <c r="N915" i="4"/>
  <c r="N899" i="4"/>
  <c r="N883" i="4"/>
  <c r="N867" i="4"/>
  <c r="N851" i="4"/>
  <c r="N835" i="4"/>
  <c r="N819" i="4"/>
  <c r="N735" i="4"/>
  <c r="N719" i="4"/>
  <c r="N703" i="4"/>
  <c r="N687" i="4"/>
  <c r="N671" i="4"/>
  <c r="N655" i="4"/>
  <c r="N267" i="4"/>
  <c r="N251" i="4"/>
  <c r="N235" i="4"/>
  <c r="N219" i="4"/>
  <c r="N203" i="4"/>
  <c r="N187" i="4"/>
  <c r="N171" i="4"/>
  <c r="N155" i="4"/>
  <c r="N83" i="4"/>
  <c r="N67" i="4"/>
  <c r="N51" i="4"/>
  <c r="N35" i="4"/>
  <c r="N19" i="4"/>
  <c r="N1110" i="4"/>
  <c r="N1094" i="4"/>
  <c r="N1078" i="4"/>
  <c r="N1062" i="4"/>
  <c r="N1046" i="4"/>
  <c r="N1030" i="4"/>
  <c r="N1014" i="4"/>
  <c r="N998" i="4"/>
  <c r="N982" i="4"/>
  <c r="N966" i="4"/>
  <c r="N950" i="4"/>
  <c r="N934" i="4"/>
  <c r="N918" i="4"/>
  <c r="N902" i="4"/>
  <c r="N886" i="4"/>
  <c r="N870" i="4"/>
  <c r="N854" i="4"/>
  <c r="N838" i="4"/>
  <c r="N822" i="4"/>
  <c r="N738" i="4"/>
  <c r="N722" i="4"/>
  <c r="N706" i="4"/>
  <c r="N690" i="4"/>
  <c r="N674" i="4"/>
  <c r="N642" i="4"/>
  <c r="N238" i="4"/>
  <c r="N190" i="4"/>
  <c r="N70" i="4"/>
  <c r="N22" i="4"/>
  <c r="N18" i="4"/>
  <c r="N271" i="4"/>
  <c r="N740" i="4"/>
  <c r="N1101" i="4"/>
  <c r="N1085" i="4"/>
  <c r="N1069" i="4"/>
  <c r="N1053" i="4"/>
  <c r="N1037" i="4"/>
  <c r="N1021" i="4"/>
  <c r="N1005" i="4"/>
  <c r="N989" i="4"/>
  <c r="N973" i="4"/>
  <c r="N957" i="4"/>
  <c r="N941" i="4"/>
  <c r="N925" i="4"/>
  <c r="N909" i="4"/>
  <c r="N893" i="4"/>
  <c r="N877" i="4"/>
  <c r="N861" i="4"/>
  <c r="N845" i="4"/>
  <c r="N829" i="4"/>
  <c r="N813" i="4"/>
  <c r="N733" i="4"/>
  <c r="N717" i="4"/>
  <c r="N701" i="4"/>
  <c r="N685" i="4"/>
  <c r="N669" i="4"/>
  <c r="N653" i="4"/>
  <c r="N269" i="4"/>
  <c r="N253" i="4"/>
  <c r="N237" i="4"/>
  <c r="N221" i="4"/>
  <c r="N205" i="4"/>
  <c r="N189" i="4"/>
  <c r="N173" i="4"/>
  <c r="N157" i="4"/>
  <c r="N93" i="4"/>
  <c r="N77" i="4"/>
  <c r="N61" i="4"/>
  <c r="N45" i="4"/>
  <c r="N29" i="4"/>
  <c r="N13" i="4"/>
  <c r="N4" i="4"/>
  <c r="N1096" i="4"/>
  <c r="N1080" i="4"/>
  <c r="N1064" i="4"/>
  <c r="N1048" i="4"/>
  <c r="N1032" i="4"/>
  <c r="N1016" i="4"/>
  <c r="N1000" i="4"/>
  <c r="N984" i="4"/>
  <c r="N968" i="4"/>
  <c r="N952" i="4"/>
  <c r="N936" i="4"/>
  <c r="N920" i="4"/>
  <c r="N904" i="4"/>
  <c r="N888" i="4"/>
  <c r="N872" i="4"/>
  <c r="N856" i="4"/>
  <c r="N840" i="4"/>
  <c r="N824" i="4"/>
  <c r="N808" i="4"/>
  <c r="N724" i="4"/>
  <c r="N708" i="4"/>
  <c r="N692" i="4"/>
  <c r="N676" i="4"/>
  <c r="N660" i="4"/>
  <c r="N644" i="4"/>
  <c r="N260" i="4"/>
  <c r="N244" i="4"/>
  <c r="N228" i="4"/>
  <c r="N212" i="4"/>
  <c r="N196" i="4"/>
  <c r="N180" i="4"/>
  <c r="N164" i="4"/>
  <c r="N88" i="4"/>
  <c r="N72" i="4"/>
  <c r="N56" i="4"/>
  <c r="N40" i="4"/>
  <c r="N24" i="4"/>
  <c r="N8" i="4"/>
  <c r="N1103" i="4"/>
  <c r="N1087" i="4"/>
  <c r="N1071" i="4"/>
  <c r="N1055" i="4"/>
  <c r="N1039" i="4"/>
  <c r="N1023" i="4"/>
  <c r="N1007" i="4"/>
  <c r="N991" i="4"/>
  <c r="N975" i="4"/>
  <c r="N959" i="4"/>
  <c r="N943" i="4"/>
  <c r="N927" i="4"/>
  <c r="N911" i="4"/>
  <c r="N895" i="4"/>
  <c r="N879" i="4"/>
  <c r="N863" i="4"/>
  <c r="N847" i="4"/>
  <c r="N831" i="4"/>
  <c r="N815" i="4"/>
  <c r="N731" i="4"/>
  <c r="N715" i="4"/>
  <c r="N699" i="4"/>
  <c r="N683" i="4"/>
  <c r="N667" i="4"/>
  <c r="N651" i="4"/>
  <c r="N263" i="4"/>
  <c r="N247" i="4"/>
  <c r="N231" i="4"/>
  <c r="N215" i="4"/>
  <c r="N199" i="4"/>
  <c r="N183" i="4"/>
  <c r="N167" i="4"/>
  <c r="N151" i="4"/>
  <c r="N95" i="4"/>
  <c r="N79" i="4"/>
  <c r="N63" i="4"/>
  <c r="N47" i="4"/>
  <c r="N31" i="4"/>
  <c r="N15" i="4"/>
  <c r="N1106" i="4"/>
  <c r="N1090" i="4"/>
  <c r="N1074" i="4"/>
  <c r="N1058" i="4"/>
  <c r="N1042" i="4"/>
  <c r="N1026" i="4"/>
  <c r="N1010" i="4"/>
  <c r="N994" i="4"/>
  <c r="N978" i="4"/>
  <c r="N962" i="4"/>
  <c r="N946" i="4"/>
  <c r="N930" i="4"/>
  <c r="N914" i="4"/>
  <c r="N898" i="4"/>
  <c r="N882" i="4"/>
  <c r="N866" i="4"/>
  <c r="N850" i="4"/>
  <c r="N834" i="4"/>
  <c r="N818" i="4"/>
  <c r="N734" i="4"/>
  <c r="N718" i="4"/>
  <c r="N702" i="4"/>
  <c r="N686" i="4"/>
  <c r="N670" i="4"/>
  <c r="N654" i="4"/>
  <c r="N266" i="4"/>
  <c r="N250" i="4"/>
  <c r="N234" i="4"/>
  <c r="N218" i="4"/>
  <c r="N202" i="4"/>
  <c r="N186" i="4"/>
  <c r="N170" i="4"/>
  <c r="N154" i="4"/>
  <c r="N82" i="4"/>
  <c r="N66" i="4"/>
  <c r="N50" i="4"/>
  <c r="N34" i="4"/>
  <c r="N124" i="4"/>
  <c r="N96" i="4"/>
  <c r="N1097" i="4"/>
  <c r="N1081" i="4"/>
  <c r="N1065" i="4"/>
  <c r="N1049" i="4"/>
  <c r="N1033" i="4"/>
  <c r="N1017" i="4"/>
  <c r="N1001" i="4"/>
  <c r="N985" i="4"/>
  <c r="N969" i="4"/>
  <c r="N953" i="4"/>
  <c r="N937" i="4"/>
  <c r="N921" i="4"/>
  <c r="N905" i="4"/>
  <c r="N889" i="4"/>
  <c r="N873" i="4"/>
  <c r="N857" i="4"/>
  <c r="N841" i="4"/>
  <c r="N825" i="4"/>
  <c r="N809" i="4"/>
  <c r="N729" i="4"/>
  <c r="N713" i="4"/>
  <c r="N697" i="4"/>
  <c r="N681" i="4"/>
  <c r="N665" i="4"/>
  <c r="N649" i="4"/>
  <c r="N265" i="4"/>
  <c r="N249" i="4"/>
  <c r="N233" i="4"/>
  <c r="N217" i="4"/>
  <c r="N201" i="4"/>
  <c r="N185" i="4"/>
  <c r="N169" i="4"/>
  <c r="N153" i="4"/>
  <c r="N89" i="4"/>
  <c r="N73" i="4"/>
  <c r="N57" i="4"/>
  <c r="N41" i="4"/>
  <c r="N25" i="4"/>
  <c r="N9" i="4"/>
  <c r="N1108" i="4"/>
  <c r="N1092" i="4"/>
  <c r="N1076" i="4"/>
  <c r="N1060" i="4"/>
  <c r="N1044" i="4"/>
  <c r="N1028" i="4"/>
  <c r="N1012" i="4"/>
  <c r="N996" i="4"/>
  <c r="N980" i="4"/>
  <c r="N964" i="4"/>
  <c r="N948" i="4"/>
  <c r="N932" i="4"/>
  <c r="N916" i="4"/>
  <c r="N900" i="4"/>
  <c r="N884" i="4"/>
  <c r="N868" i="4"/>
  <c r="N852" i="4"/>
  <c r="N836" i="4"/>
  <c r="N820" i="4"/>
  <c r="N736" i="4"/>
  <c r="N720" i="4"/>
  <c r="N704" i="4"/>
  <c r="N688" i="4"/>
  <c r="N672" i="4"/>
  <c r="N656" i="4"/>
  <c r="N640" i="4"/>
  <c r="N256" i="4"/>
  <c r="N240" i="4"/>
  <c r="N224" i="4"/>
  <c r="N208" i="4"/>
  <c r="N192" i="4"/>
  <c r="N176" i="4"/>
  <c r="N160" i="4"/>
  <c r="N84" i="4"/>
  <c r="N68" i="4"/>
  <c r="N52" i="4"/>
  <c r="N36" i="4"/>
  <c r="N20" i="4"/>
  <c r="N1099" i="4"/>
  <c r="N1083" i="4"/>
  <c r="N1067" i="4"/>
  <c r="N1051" i="4"/>
  <c r="N1035" i="4"/>
  <c r="N1019" i="4"/>
  <c r="N1003" i="4"/>
  <c r="N987" i="4"/>
  <c r="N971" i="4"/>
  <c r="N955" i="4"/>
  <c r="N939" i="4"/>
  <c r="N923" i="4"/>
  <c r="N907" i="4"/>
  <c r="N891" i="4"/>
  <c r="N875" i="4"/>
  <c r="N859" i="4"/>
  <c r="N843" i="4"/>
  <c r="N827" i="4"/>
  <c r="N811" i="4"/>
  <c r="N727" i="4"/>
  <c r="N711" i="4"/>
  <c r="N695" i="4"/>
  <c r="N679" i="4"/>
  <c r="N663" i="4"/>
  <c r="N647" i="4"/>
  <c r="N259" i="4"/>
  <c r="N243" i="4"/>
  <c r="N227" i="4"/>
  <c r="N211" i="4"/>
  <c r="N195" i="4"/>
  <c r="N179" i="4"/>
  <c r="N163" i="4"/>
  <c r="N91" i="4"/>
  <c r="N75" i="4"/>
  <c r="N59" i="4"/>
  <c r="N43" i="4"/>
  <c r="N27" i="4"/>
  <c r="N11" i="4"/>
  <c r="N1102" i="4"/>
  <c r="N1086" i="4"/>
  <c r="N1070" i="4"/>
  <c r="N1054" i="4"/>
  <c r="N1038" i="4"/>
  <c r="N1022" i="4"/>
  <c r="N1006" i="4"/>
  <c r="N990" i="4"/>
  <c r="N974" i="4"/>
  <c r="N958" i="4"/>
  <c r="N942" i="4"/>
  <c r="N926" i="4"/>
  <c r="N910" i="4"/>
  <c r="N894" i="4"/>
  <c r="N878" i="4"/>
  <c r="N862" i="4"/>
  <c r="N846" i="4"/>
  <c r="N830" i="4"/>
  <c r="N814" i="4"/>
  <c r="N730" i="4"/>
  <c r="N714" i="4"/>
  <c r="N698" i="4"/>
  <c r="N682" i="4"/>
  <c r="N666" i="4"/>
  <c r="N650" i="4"/>
  <c r="N262" i="4"/>
  <c r="N246" i="4"/>
  <c r="N230" i="4"/>
  <c r="N214" i="4"/>
  <c r="N198" i="4"/>
  <c r="N182" i="4"/>
  <c r="N166" i="4"/>
  <c r="N150" i="4"/>
  <c r="N94" i="4"/>
  <c r="N78" i="4"/>
  <c r="N62" i="4"/>
  <c r="N46" i="4"/>
  <c r="N30" i="4"/>
  <c r="N14" i="4"/>
  <c r="N890" i="4"/>
  <c r="N842" i="4"/>
  <c r="N810" i="4"/>
  <c r="N710" i="4"/>
  <c r="N694" i="4"/>
  <c r="N662" i="4"/>
  <c r="N646" i="4"/>
  <c r="N242" i="4"/>
  <c r="N226" i="4"/>
  <c r="N194" i="4"/>
  <c r="N178" i="4"/>
  <c r="N74" i="4"/>
  <c r="N42" i="4"/>
  <c r="N26" i="4"/>
  <c r="N222" i="4"/>
  <c r="N158" i="4"/>
  <c r="N86" i="4"/>
  <c r="N54" i="4"/>
  <c r="N6" i="4"/>
  <c r="N134" i="4"/>
  <c r="N132" i="4"/>
  <c r="N126" i="4"/>
  <c r="N127" i="4"/>
  <c r="N137" i="4"/>
  <c r="N130" i="4"/>
  <c r="N741" i="4"/>
  <c r="N135" i="4"/>
  <c r="N129" i="4"/>
  <c r="N136" i="4"/>
  <c r="N131" i="4"/>
  <c r="N133" i="4"/>
  <c r="N128" i="4"/>
  <c r="N742" i="4"/>
  <c r="N97" i="4"/>
  <c r="N98" i="4"/>
  <c r="N125" i="4"/>
  <c r="N290" i="4"/>
  <c r="N272" i="4"/>
  <c r="N139" i="4"/>
  <c r="N99" i="4"/>
  <c r="N743" i="4"/>
  <c r="N273" i="4"/>
  <c r="N100" i="4"/>
  <c r="N744" i="4"/>
  <c r="N291" i="4"/>
  <c r="N140" i="4"/>
  <c r="N141" i="4"/>
  <c r="N292" i="4"/>
  <c r="N101" i="4"/>
  <c r="N274" i="4"/>
  <c r="N745" i="4"/>
  <c r="N746" i="4"/>
  <c r="N142" i="4"/>
  <c r="N102" i="4"/>
  <c r="N275" i="4"/>
  <c r="N293" i="4"/>
  <c r="N103" i="4"/>
  <c r="N276" i="4"/>
  <c r="N294" i="4"/>
  <c r="N747" i="4"/>
  <c r="N143" i="4"/>
  <c r="N144" i="4"/>
  <c r="N748" i="4"/>
  <c r="N277" i="4"/>
  <c r="N295" i="4"/>
  <c r="N104" i="4"/>
  <c r="N296" i="4"/>
  <c r="N749" i="4"/>
  <c r="N105" i="4"/>
  <c r="N145" i="4"/>
  <c r="N278" i="4"/>
  <c r="N279" i="4"/>
  <c r="N750" i="4"/>
  <c r="N297" i="4"/>
  <c r="N146" i="4"/>
  <c r="N106" i="4"/>
  <c r="N751" i="4"/>
  <c r="N107" i="4"/>
  <c r="N280" i="4"/>
  <c r="N147" i="4"/>
  <c r="N298" i="4"/>
  <c r="N148" i="4"/>
  <c r="N299" i="4"/>
  <c r="N281" i="4"/>
  <c r="N108" i="4"/>
  <c r="N752" i="4"/>
  <c r="N109" i="4"/>
  <c r="N300" i="4"/>
  <c r="N753" i="4"/>
  <c r="N282" i="4"/>
  <c r="N301" i="4"/>
  <c r="N283" i="4"/>
  <c r="N754" i="4"/>
  <c r="N110" i="4"/>
  <c r="N284" i="4"/>
  <c r="N111" i="4"/>
  <c r="N755" i="4"/>
  <c r="N302" i="4"/>
  <c r="N285" i="4"/>
  <c r="N303" i="4"/>
  <c r="N112" i="4"/>
  <c r="N756" i="4"/>
  <c r="N286" i="4"/>
  <c r="N113" i="4"/>
  <c r="N757" i="4"/>
  <c r="N304" i="4"/>
  <c r="N288" i="4"/>
  <c r="N114" i="4"/>
  <c r="N305" i="4"/>
  <c r="N758" i="4"/>
  <c r="N287" i="4"/>
  <c r="N306" i="4"/>
  <c r="N759" i="4"/>
  <c r="N115" i="4"/>
  <c r="N760" i="4"/>
  <c r="N116" i="4"/>
  <c r="N307" i="4"/>
  <c r="N308" i="4"/>
  <c r="N117" i="4"/>
  <c r="N761" i="4"/>
  <c r="N309" i="4"/>
  <c r="N762" i="4"/>
  <c r="N118" i="4"/>
  <c r="N119" i="4"/>
  <c r="N763" i="4"/>
  <c r="N310" i="4"/>
  <c r="N764" i="4"/>
  <c r="N311" i="4"/>
  <c r="N120" i="4"/>
  <c r="N765" i="4"/>
  <c r="N312" i="4"/>
  <c r="N121" i="4"/>
  <c r="N123" i="4"/>
  <c r="N313" i="4"/>
  <c r="N766" i="4"/>
  <c r="N122" i="4"/>
  <c r="N314" i="4"/>
  <c r="N767" i="4"/>
  <c r="N315" i="4"/>
  <c r="N768" i="4"/>
  <c r="N316" i="4"/>
  <c r="N769" i="4"/>
  <c r="N317" i="4"/>
  <c r="N770" i="4"/>
  <c r="N771" i="4"/>
  <c r="N318" i="4"/>
  <c r="N772" i="4"/>
  <c r="N319" i="4"/>
  <c r="N320" i="4"/>
  <c r="N773" i="4"/>
  <c r="N321" i="4"/>
  <c r="N774" i="4"/>
  <c r="N775" i="4"/>
  <c r="N322" i="4"/>
  <c r="N776" i="4"/>
  <c r="N323" i="4"/>
  <c r="N777" i="4"/>
  <c r="N324" i="4"/>
  <c r="N778" i="4"/>
  <c r="N325" i="4"/>
  <c r="N779" i="4"/>
  <c r="N326" i="4"/>
  <c r="N327" i="4"/>
  <c r="N780" i="4"/>
  <c r="N781" i="4"/>
  <c r="N328" i="4"/>
  <c r="N329" i="4"/>
  <c r="N782" i="4"/>
  <c r="N330" i="4"/>
  <c r="N783" i="4"/>
  <c r="N331" i="4"/>
  <c r="N784" i="4"/>
  <c r="N332" i="4"/>
  <c r="N785" i="4"/>
  <c r="N786" i="4"/>
  <c r="N333" i="4"/>
  <c r="N787" i="4"/>
  <c r="N334" i="4"/>
  <c r="N788" i="4"/>
  <c r="N335" i="4"/>
  <c r="N789" i="4"/>
  <c r="N336" i="4"/>
  <c r="N790" i="4"/>
  <c r="N337" i="4"/>
  <c r="N791" i="4"/>
  <c r="N338" i="4"/>
  <c r="N339" i="4"/>
  <c r="N792" i="4"/>
  <c r="N793" i="4"/>
  <c r="N340" i="4"/>
  <c r="N794" i="4"/>
  <c r="N341" i="4"/>
  <c r="N795" i="4"/>
  <c r="N342" i="4"/>
  <c r="N796" i="4"/>
  <c r="N343" i="4"/>
  <c r="N797" i="4"/>
  <c r="N344" i="4"/>
  <c r="N798" i="4"/>
  <c r="N345" i="4"/>
  <c r="N346" i="4"/>
  <c r="N799" i="4"/>
  <c r="N347" i="4"/>
  <c r="N800" i="4"/>
  <c r="N348" i="4"/>
  <c r="N801" i="4"/>
  <c r="N802" i="4"/>
  <c r="N349" i="4"/>
  <c r="N350" i="4"/>
  <c r="N803" i="4"/>
  <c r="N804" i="4"/>
  <c r="N351" i="4"/>
  <c r="N352" i="4"/>
  <c r="N805" i="4"/>
  <c r="N806" i="4"/>
  <c r="N807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9" i="4"/>
  <c r="N638" i="4"/>
  <c r="D406" i="4"/>
  <c r="I406" i="4"/>
  <c r="E939" i="4"/>
  <c r="E940" i="4" s="1"/>
  <c r="I938" i="4"/>
  <c r="Q938" i="4" s="1"/>
  <c r="D693" i="4"/>
  <c r="I693" i="4"/>
  <c r="Q693" i="4" s="1"/>
  <c r="E1087" i="4"/>
  <c r="D1087" i="4" s="1"/>
  <c r="I1086" i="4"/>
  <c r="D938" i="4"/>
  <c r="J938" i="4"/>
  <c r="C5" i="4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J217" i="4"/>
  <c r="D217" i="4"/>
  <c r="J1086" i="4"/>
  <c r="E219" i="4"/>
  <c r="I219" i="4" s="1"/>
  <c r="Q219" i="4" s="1"/>
  <c r="J218" i="4"/>
  <c r="D218" i="4"/>
  <c r="E407" i="4"/>
  <c r="J406" i="4"/>
  <c r="E694" i="4"/>
  <c r="E695" i="4" s="1"/>
  <c r="J693" i="4"/>
  <c r="E759" i="4"/>
  <c r="J758" i="4"/>
  <c r="E825" i="4"/>
  <c r="E826" i="4" s="1"/>
  <c r="J824" i="4"/>
  <c r="E974" i="4"/>
  <c r="D974" i="4" s="1"/>
  <c r="J973" i="4"/>
  <c r="D825" i="4" l="1"/>
  <c r="E1088" i="4"/>
  <c r="F219" i="4"/>
  <c r="J939" i="4"/>
  <c r="D940" i="4"/>
  <c r="E941" i="4"/>
  <c r="O639" i="4"/>
  <c r="O634" i="4"/>
  <c r="O630" i="4"/>
  <c r="O626" i="4"/>
  <c r="O622" i="4"/>
  <c r="O618" i="4"/>
  <c r="O614" i="4"/>
  <c r="O610" i="4"/>
  <c r="O606" i="4"/>
  <c r="O602" i="4"/>
  <c r="O598" i="4"/>
  <c r="O594" i="4"/>
  <c r="O590" i="4"/>
  <c r="O586" i="4"/>
  <c r="O582" i="4"/>
  <c r="O578" i="4"/>
  <c r="O574" i="4"/>
  <c r="O570" i="4"/>
  <c r="O566" i="4"/>
  <c r="O562" i="4"/>
  <c r="O558" i="4"/>
  <c r="O554" i="4"/>
  <c r="O550" i="4"/>
  <c r="O546" i="4"/>
  <c r="O542" i="4"/>
  <c r="O538" i="4"/>
  <c r="O534" i="4"/>
  <c r="O530" i="4"/>
  <c r="O526" i="4"/>
  <c r="O522" i="4"/>
  <c r="O518" i="4"/>
  <c r="O514" i="4"/>
  <c r="O510" i="4"/>
  <c r="O506" i="4"/>
  <c r="O502" i="4"/>
  <c r="O498" i="4"/>
  <c r="O494" i="4"/>
  <c r="O490" i="4"/>
  <c r="O486" i="4"/>
  <c r="O482" i="4"/>
  <c r="O478" i="4"/>
  <c r="O474" i="4"/>
  <c r="O470" i="4"/>
  <c r="O466" i="4"/>
  <c r="O462" i="4"/>
  <c r="O458" i="4"/>
  <c r="O454" i="4"/>
  <c r="O450" i="4"/>
  <c r="O446" i="4"/>
  <c r="O442" i="4"/>
  <c r="O438" i="4"/>
  <c r="O434" i="4"/>
  <c r="O430" i="4"/>
  <c r="O426" i="4"/>
  <c r="O422" i="4"/>
  <c r="O418" i="4"/>
  <c r="O414" i="4"/>
  <c r="O410" i="4"/>
  <c r="O406" i="4"/>
  <c r="O402" i="4"/>
  <c r="O398" i="4"/>
  <c r="O394" i="4"/>
  <c r="O390" i="4"/>
  <c r="O386" i="4"/>
  <c r="O382" i="4"/>
  <c r="O378" i="4"/>
  <c r="O374" i="4"/>
  <c r="O370" i="4"/>
  <c r="O366" i="4"/>
  <c r="O362" i="4"/>
  <c r="O358" i="4"/>
  <c r="O354" i="4"/>
  <c r="O805" i="4"/>
  <c r="O803" i="4"/>
  <c r="O801" i="4"/>
  <c r="O799" i="4"/>
  <c r="O344" i="4"/>
  <c r="O342" i="4"/>
  <c r="O340" i="4"/>
  <c r="O338" i="4"/>
  <c r="O336" i="4"/>
  <c r="O334" i="4"/>
  <c r="O785" i="4"/>
  <c r="O783" i="4"/>
  <c r="O328" i="4"/>
  <c r="O326" i="4"/>
  <c r="O324" i="4"/>
  <c r="O322" i="4"/>
  <c r="O773" i="4"/>
  <c r="O318" i="4"/>
  <c r="O769" i="4"/>
  <c r="O767" i="4"/>
  <c r="O313" i="4"/>
  <c r="O765" i="4"/>
  <c r="O310" i="4"/>
  <c r="O762" i="4"/>
  <c r="O308" i="4"/>
  <c r="O115" i="4"/>
  <c r="R115" i="4" s="1"/>
  <c r="S115" i="4" s="1"/>
  <c r="O758" i="4"/>
  <c r="O304" i="4"/>
  <c r="O756" i="4"/>
  <c r="O302" i="4"/>
  <c r="O110" i="4"/>
  <c r="O282" i="4"/>
  <c r="O752" i="4"/>
  <c r="O148" i="4"/>
  <c r="R148" i="4" s="1"/>
  <c r="S148" i="4" s="1"/>
  <c r="O107" i="4"/>
  <c r="O297" i="4"/>
  <c r="O145" i="4"/>
  <c r="R145" i="4" s="1"/>
  <c r="S145" i="4" s="1"/>
  <c r="O104" i="4"/>
  <c r="O144" i="4"/>
  <c r="R144" i="4" s="1"/>
  <c r="S144" i="4" s="1"/>
  <c r="O276" i="4"/>
  <c r="O102" i="4"/>
  <c r="O274" i="4"/>
  <c r="O140" i="4"/>
  <c r="R140" i="4" s="1"/>
  <c r="S140" i="4" s="1"/>
  <c r="O273" i="4"/>
  <c r="O272" i="4"/>
  <c r="O97" i="4"/>
  <c r="O131" i="4"/>
  <c r="R131" i="4" s="1"/>
  <c r="S131" i="4" s="1"/>
  <c r="O741" i="4"/>
  <c r="O126" i="4"/>
  <c r="R126" i="4" s="1"/>
  <c r="S126" i="4" s="1"/>
  <c r="O54" i="4"/>
  <c r="R54" i="4" s="1"/>
  <c r="S54" i="4" s="1"/>
  <c r="O26" i="4"/>
  <c r="R26" i="4" s="1"/>
  <c r="S26" i="4" s="1"/>
  <c r="O194" i="4"/>
  <c r="O662" i="4"/>
  <c r="O842" i="4"/>
  <c r="O46" i="4"/>
  <c r="R46" i="4" s="1"/>
  <c r="S46" i="4" s="1"/>
  <c r="O150" i="4"/>
  <c r="R150" i="4" s="1"/>
  <c r="S150" i="4" s="1"/>
  <c r="O214" i="4"/>
  <c r="R214" i="4" s="1"/>
  <c r="S214" i="4" s="1"/>
  <c r="O650" i="4"/>
  <c r="O714" i="4"/>
  <c r="O846" i="4"/>
  <c r="O910" i="4"/>
  <c r="O974" i="4"/>
  <c r="O1038" i="4"/>
  <c r="O1102" i="4"/>
  <c r="O59" i="4"/>
  <c r="R59" i="4" s="1"/>
  <c r="S59" i="4" s="1"/>
  <c r="O179" i="4"/>
  <c r="O243" i="4"/>
  <c r="O679" i="4"/>
  <c r="O811" i="4"/>
  <c r="O875" i="4"/>
  <c r="O939" i="4"/>
  <c r="O1003" i="4"/>
  <c r="O1067" i="4"/>
  <c r="O36" i="4"/>
  <c r="R36" i="4" s="1"/>
  <c r="S36" i="4" s="1"/>
  <c r="O160" i="4"/>
  <c r="R160" i="4" s="1"/>
  <c r="S160" i="4" s="1"/>
  <c r="O224" i="4"/>
  <c r="O656" i="4"/>
  <c r="O720" i="4"/>
  <c r="O852" i="4"/>
  <c r="O916" i="4"/>
  <c r="O980" i="4"/>
  <c r="O1044" i="4"/>
  <c r="O1108" i="4"/>
  <c r="O57" i="4"/>
  <c r="R57" i="4" s="1"/>
  <c r="S57" i="4" s="1"/>
  <c r="O169" i="4"/>
  <c r="O233" i="4"/>
  <c r="O665" i="4"/>
  <c r="O729" i="4"/>
  <c r="O857" i="4"/>
  <c r="O921" i="4"/>
  <c r="O985" i="4"/>
  <c r="O1049" i="4"/>
  <c r="O96" i="4"/>
  <c r="O66" i="4"/>
  <c r="R66" i="4" s="1"/>
  <c r="S66" i="4" s="1"/>
  <c r="O186" i="4"/>
  <c r="O250" i="4"/>
  <c r="O686" i="4"/>
  <c r="O818" i="4"/>
  <c r="O882" i="4"/>
  <c r="O946" i="4"/>
  <c r="O1010" i="4"/>
  <c r="O1074" i="4"/>
  <c r="O31" i="4"/>
  <c r="R31" i="4" s="1"/>
  <c r="S31" i="4" s="1"/>
  <c r="O95" i="4"/>
  <c r="R95" i="4" s="1"/>
  <c r="S95" i="4" s="1"/>
  <c r="O199" i="4"/>
  <c r="O263" i="4"/>
  <c r="O699" i="4"/>
  <c r="O831" i="4"/>
  <c r="O895" i="4"/>
  <c r="O959" i="4"/>
  <c r="O1023" i="4"/>
  <c r="O1087" i="4"/>
  <c r="O40" i="4"/>
  <c r="R40" i="4" s="1"/>
  <c r="S40" i="4" s="1"/>
  <c r="O164" i="4"/>
  <c r="O228" i="4"/>
  <c r="O660" i="4"/>
  <c r="O724" i="4"/>
  <c r="O856" i="4"/>
  <c r="O920" i="4"/>
  <c r="O984" i="4"/>
  <c r="O1048" i="4"/>
  <c r="O4" i="4"/>
  <c r="O61" i="4"/>
  <c r="R61" i="4" s="1"/>
  <c r="S61" i="4" s="1"/>
  <c r="O173" i="4"/>
  <c r="O237" i="4"/>
  <c r="O669" i="4"/>
  <c r="O733" i="4"/>
  <c r="O861" i="4"/>
  <c r="O925" i="4"/>
  <c r="O989" i="4"/>
  <c r="O1053" i="4"/>
  <c r="O740" i="4"/>
  <c r="O70" i="4"/>
  <c r="R70" i="4" s="1"/>
  <c r="S70" i="4" s="1"/>
  <c r="O674" i="4"/>
  <c r="O738" i="4"/>
  <c r="O870" i="4"/>
  <c r="O934" i="4"/>
  <c r="O998" i="4"/>
  <c r="O1062" i="4"/>
  <c r="O19" i="4"/>
  <c r="R19" i="4" s="1"/>
  <c r="S19" i="4" s="1"/>
  <c r="O83" i="4"/>
  <c r="R83" i="4" s="1"/>
  <c r="S83" i="4" s="1"/>
  <c r="O203" i="4"/>
  <c r="O267" i="4"/>
  <c r="O703" i="4"/>
  <c r="O835" i="4"/>
  <c r="O899" i="4"/>
  <c r="O963" i="4"/>
  <c r="O1027" i="4"/>
  <c r="O1091" i="4"/>
  <c r="O44" i="4"/>
  <c r="R44" i="4" s="1"/>
  <c r="S44" i="4" s="1"/>
  <c r="O152" i="4"/>
  <c r="R152" i="4" s="1"/>
  <c r="S152" i="4" s="1"/>
  <c r="O216" i="4"/>
  <c r="R216" i="4" s="1"/>
  <c r="S216" i="4" s="1"/>
  <c r="O648" i="4"/>
  <c r="O712" i="4"/>
  <c r="O844" i="4"/>
  <c r="O908" i="4"/>
  <c r="O972" i="4"/>
  <c r="O1036" i="4"/>
  <c r="O1100" i="4"/>
  <c r="O65" i="4"/>
  <c r="R65" i="4" s="1"/>
  <c r="S65" i="4" s="1"/>
  <c r="O193" i="4"/>
  <c r="O257" i="4"/>
  <c r="O689" i="4"/>
  <c r="O817" i="4"/>
  <c r="O881" i="4"/>
  <c r="O945" i="4"/>
  <c r="O1009" i="4"/>
  <c r="O1073" i="4"/>
  <c r="O38" i="4"/>
  <c r="R38" i="4" s="1"/>
  <c r="S38" i="4" s="1"/>
  <c r="O658" i="4"/>
  <c r="O162" i="4"/>
  <c r="O726" i="4"/>
  <c r="O906" i="4"/>
  <c r="O970" i="4"/>
  <c r="O1034" i="4"/>
  <c r="O1098" i="4"/>
  <c r="O55" i="4"/>
  <c r="R55" i="4" s="1"/>
  <c r="S55" i="4" s="1"/>
  <c r="O175" i="4"/>
  <c r="O239" i="4"/>
  <c r="O675" i="4"/>
  <c r="O739" i="4"/>
  <c r="O871" i="4"/>
  <c r="O935" i="4"/>
  <c r="O999" i="4"/>
  <c r="O1063" i="4"/>
  <c r="O16" i="4"/>
  <c r="R16" i="4" s="1"/>
  <c r="S16" i="4" s="1"/>
  <c r="O80" i="4"/>
  <c r="R80" i="4" s="1"/>
  <c r="S80" i="4" s="1"/>
  <c r="O204" i="4"/>
  <c r="O268" i="4"/>
  <c r="O700" i="4"/>
  <c r="O832" i="4"/>
  <c r="O896" i="4"/>
  <c r="O960" i="4"/>
  <c r="O1024" i="4"/>
  <c r="O1088" i="4"/>
  <c r="O37" i="4"/>
  <c r="R37" i="4" s="1"/>
  <c r="S37" i="4" s="1"/>
  <c r="O149" i="4"/>
  <c r="R149" i="4" s="1"/>
  <c r="S149" i="4" s="1"/>
  <c r="O213" i="4"/>
  <c r="R213" i="4" s="1"/>
  <c r="S213" i="4" s="1"/>
  <c r="O645" i="4"/>
  <c r="O709" i="4"/>
  <c r="O853" i="4"/>
  <c r="O917" i="4"/>
  <c r="O981" i="4"/>
  <c r="O1045" i="4"/>
  <c r="O1109" i="4"/>
  <c r="O637" i="4"/>
  <c r="O633" i="4"/>
  <c r="O629" i="4"/>
  <c r="O625" i="4"/>
  <c r="O621" i="4"/>
  <c r="O617" i="4"/>
  <c r="O613" i="4"/>
  <c r="O609" i="4"/>
  <c r="O605" i="4"/>
  <c r="O601" i="4"/>
  <c r="O597" i="4"/>
  <c r="O593" i="4"/>
  <c r="O589" i="4"/>
  <c r="O585" i="4"/>
  <c r="O581" i="4"/>
  <c r="O577" i="4"/>
  <c r="O573" i="4"/>
  <c r="O569" i="4"/>
  <c r="O565" i="4"/>
  <c r="O561" i="4"/>
  <c r="O557" i="4"/>
  <c r="O553" i="4"/>
  <c r="O549" i="4"/>
  <c r="O545" i="4"/>
  <c r="O541" i="4"/>
  <c r="O537" i="4"/>
  <c r="O533" i="4"/>
  <c r="O529" i="4"/>
  <c r="O525" i="4"/>
  <c r="O521" i="4"/>
  <c r="O517" i="4"/>
  <c r="O513" i="4"/>
  <c r="O509" i="4"/>
  <c r="O505" i="4"/>
  <c r="O501" i="4"/>
  <c r="O497" i="4"/>
  <c r="O493" i="4"/>
  <c r="O489" i="4"/>
  <c r="O485" i="4"/>
  <c r="O481" i="4"/>
  <c r="O477" i="4"/>
  <c r="O473" i="4"/>
  <c r="O469" i="4"/>
  <c r="O465" i="4"/>
  <c r="O461" i="4"/>
  <c r="O457" i="4"/>
  <c r="O453" i="4"/>
  <c r="O449" i="4"/>
  <c r="O445" i="4"/>
  <c r="O441" i="4"/>
  <c r="O437" i="4"/>
  <c r="O433" i="4"/>
  <c r="O429" i="4"/>
  <c r="O425" i="4"/>
  <c r="O421" i="4"/>
  <c r="O417" i="4"/>
  <c r="O413" i="4"/>
  <c r="O409" i="4"/>
  <c r="O405" i="4"/>
  <c r="O401" i="4"/>
  <c r="O397" i="4"/>
  <c r="O393" i="4"/>
  <c r="O389" i="4"/>
  <c r="O385" i="4"/>
  <c r="O381" i="4"/>
  <c r="O377" i="4"/>
  <c r="O373" i="4"/>
  <c r="O369" i="4"/>
  <c r="O365" i="4"/>
  <c r="O361" i="4"/>
  <c r="O357" i="4"/>
  <c r="O353" i="4"/>
  <c r="O352" i="4"/>
  <c r="O350" i="4"/>
  <c r="O348" i="4"/>
  <c r="O346" i="4"/>
  <c r="O797" i="4"/>
  <c r="O795" i="4"/>
  <c r="O793" i="4"/>
  <c r="O791" i="4"/>
  <c r="O789" i="4"/>
  <c r="O787" i="4"/>
  <c r="O332" i="4"/>
  <c r="O330" i="4"/>
  <c r="O781" i="4"/>
  <c r="O779" i="4"/>
  <c r="O777" i="4"/>
  <c r="O775" i="4"/>
  <c r="O320" i="4"/>
  <c r="O771" i="4"/>
  <c r="O316" i="4"/>
  <c r="O314" i="4"/>
  <c r="O123" i="4"/>
  <c r="R123" i="4" s="1"/>
  <c r="S123" i="4" s="1"/>
  <c r="O120" i="4"/>
  <c r="R120" i="4" s="1"/>
  <c r="S120" i="4" s="1"/>
  <c r="O763" i="4"/>
  <c r="O309" i="4"/>
  <c r="O307" i="4"/>
  <c r="O759" i="4"/>
  <c r="O305" i="4"/>
  <c r="O757" i="4"/>
  <c r="O112" i="4"/>
  <c r="O755" i="4"/>
  <c r="O754" i="4"/>
  <c r="O753" i="4"/>
  <c r="O108" i="4"/>
  <c r="O298" i="4"/>
  <c r="O751" i="4"/>
  <c r="O750" i="4"/>
  <c r="O105" i="4"/>
  <c r="O295" i="4"/>
  <c r="O143" i="4"/>
  <c r="R143" i="4" s="1"/>
  <c r="S143" i="4" s="1"/>
  <c r="O103" i="4"/>
  <c r="O142" i="4"/>
  <c r="R142" i="4" s="1"/>
  <c r="S142" i="4" s="1"/>
  <c r="O101" i="4"/>
  <c r="O291" i="4"/>
  <c r="O743" i="4"/>
  <c r="O290" i="4"/>
  <c r="O742" i="4"/>
  <c r="O136" i="4"/>
  <c r="R136" i="4" s="1"/>
  <c r="S136" i="4" s="1"/>
  <c r="O130" i="4"/>
  <c r="R130" i="4" s="1"/>
  <c r="S130" i="4" s="1"/>
  <c r="O132" i="4"/>
  <c r="R132" i="4" s="1"/>
  <c r="S132" i="4" s="1"/>
  <c r="O86" i="4"/>
  <c r="R86" i="4" s="1"/>
  <c r="S86" i="4" s="1"/>
  <c r="O42" i="4"/>
  <c r="R42" i="4" s="1"/>
  <c r="S42" i="4" s="1"/>
  <c r="O226" i="4"/>
  <c r="O694" i="4"/>
  <c r="O890" i="4"/>
  <c r="O62" i="4"/>
  <c r="R62" i="4" s="1"/>
  <c r="S62" i="4" s="1"/>
  <c r="O166" i="4"/>
  <c r="O230" i="4"/>
  <c r="O666" i="4"/>
  <c r="O730" i="4"/>
  <c r="O862" i="4"/>
  <c r="O926" i="4"/>
  <c r="O990" i="4"/>
  <c r="O1054" i="4"/>
  <c r="O11" i="4"/>
  <c r="O75" i="4"/>
  <c r="R75" i="4" s="1"/>
  <c r="S75" i="4" s="1"/>
  <c r="O195" i="4"/>
  <c r="O259" i="4"/>
  <c r="O695" i="4"/>
  <c r="O827" i="4"/>
  <c r="O891" i="4"/>
  <c r="O955" i="4"/>
  <c r="O1019" i="4"/>
  <c r="O1083" i="4"/>
  <c r="O52" i="4"/>
  <c r="R52" i="4" s="1"/>
  <c r="S52" i="4" s="1"/>
  <c r="O176" i="4"/>
  <c r="O240" i="4"/>
  <c r="O672" i="4"/>
  <c r="O736" i="4"/>
  <c r="O868" i="4"/>
  <c r="O932" i="4"/>
  <c r="O996" i="4"/>
  <c r="O1060" i="4"/>
  <c r="O9" i="4"/>
  <c r="O73" i="4"/>
  <c r="R73" i="4" s="1"/>
  <c r="S73" i="4" s="1"/>
  <c r="O185" i="4"/>
  <c r="O249" i="4"/>
  <c r="O681" i="4"/>
  <c r="O809" i="4"/>
  <c r="O873" i="4"/>
  <c r="O937" i="4"/>
  <c r="O1001" i="4"/>
  <c r="O1065" i="4"/>
  <c r="O124" i="4"/>
  <c r="R124" i="4" s="1"/>
  <c r="S124" i="4" s="1"/>
  <c r="O82" i="4"/>
  <c r="R82" i="4" s="1"/>
  <c r="S82" i="4" s="1"/>
  <c r="O202" i="4"/>
  <c r="O266" i="4"/>
  <c r="O702" i="4"/>
  <c r="O834" i="4"/>
  <c r="O898" i="4"/>
  <c r="O962" i="4"/>
  <c r="O1026" i="4"/>
  <c r="O1090" i="4"/>
  <c r="O47" i="4"/>
  <c r="R47" i="4" s="1"/>
  <c r="S47" i="4" s="1"/>
  <c r="O151" i="4"/>
  <c r="R151" i="4" s="1"/>
  <c r="S151" i="4" s="1"/>
  <c r="O215" i="4"/>
  <c r="R215" i="4" s="1"/>
  <c r="S215" i="4" s="1"/>
  <c r="O651" i="4"/>
  <c r="O715" i="4"/>
  <c r="O847" i="4"/>
  <c r="O911" i="4"/>
  <c r="O975" i="4"/>
  <c r="O1039" i="4"/>
  <c r="O1103" i="4"/>
  <c r="O56" i="4"/>
  <c r="R56" i="4" s="1"/>
  <c r="S56" i="4" s="1"/>
  <c r="O180" i="4"/>
  <c r="O244" i="4"/>
  <c r="O676" i="4"/>
  <c r="O808" i="4"/>
  <c r="O872" i="4"/>
  <c r="O936" i="4"/>
  <c r="O1000" i="4"/>
  <c r="O1064" i="4"/>
  <c r="O13" i="4"/>
  <c r="O77" i="4"/>
  <c r="R77" i="4" s="1"/>
  <c r="S77" i="4" s="1"/>
  <c r="O189" i="4"/>
  <c r="O253" i="4"/>
  <c r="O685" i="4"/>
  <c r="O813" i="4"/>
  <c r="O877" i="4"/>
  <c r="O941" i="4"/>
  <c r="O1005" i="4"/>
  <c r="O1069" i="4"/>
  <c r="O271" i="4"/>
  <c r="O190" i="4"/>
  <c r="O690" i="4"/>
  <c r="O822" i="4"/>
  <c r="O886" i="4"/>
  <c r="O950" i="4"/>
  <c r="O1014" i="4"/>
  <c r="O1078" i="4"/>
  <c r="O35" i="4"/>
  <c r="R35" i="4" s="1"/>
  <c r="S35" i="4" s="1"/>
  <c r="O155" i="4"/>
  <c r="R155" i="4" s="1"/>
  <c r="S155" i="4" s="1"/>
  <c r="O219" i="4"/>
  <c r="O655" i="4"/>
  <c r="O719" i="4"/>
  <c r="O851" i="4"/>
  <c r="O915" i="4"/>
  <c r="O979" i="4"/>
  <c r="O1043" i="4"/>
  <c r="O1107" i="4"/>
  <c r="O60" i="4"/>
  <c r="R60" i="4" s="1"/>
  <c r="S60" i="4" s="1"/>
  <c r="O168" i="4"/>
  <c r="O232" i="4"/>
  <c r="O664" i="4"/>
  <c r="O728" i="4"/>
  <c r="O860" i="4"/>
  <c r="O924" i="4"/>
  <c r="O988" i="4"/>
  <c r="O1052" i="4"/>
  <c r="O17" i="4"/>
  <c r="R17" i="4" s="1"/>
  <c r="S17" i="4" s="1"/>
  <c r="O81" i="4"/>
  <c r="R81" i="4" s="1"/>
  <c r="S81" i="4" s="1"/>
  <c r="O209" i="4"/>
  <c r="R209" i="4" s="1"/>
  <c r="S209" i="4" s="1"/>
  <c r="O641" i="4"/>
  <c r="O705" i="4"/>
  <c r="O833" i="4"/>
  <c r="O897" i="4"/>
  <c r="O961" i="4"/>
  <c r="O1025" i="4"/>
  <c r="O1089" i="4"/>
  <c r="O174" i="4"/>
  <c r="O10" i="4"/>
  <c r="O210" i="4"/>
  <c r="R210" i="4" s="1"/>
  <c r="S210" i="4" s="1"/>
  <c r="O826" i="4"/>
  <c r="O922" i="4"/>
  <c r="O986" i="4"/>
  <c r="O1050" i="4"/>
  <c r="O7" i="4"/>
  <c r="O71" i="4"/>
  <c r="R71" i="4" s="1"/>
  <c r="S71" i="4" s="1"/>
  <c r="O191" i="4"/>
  <c r="O255" i="4"/>
  <c r="O691" i="4"/>
  <c r="O823" i="4"/>
  <c r="O887" i="4"/>
  <c r="O951" i="4"/>
  <c r="O1015" i="4"/>
  <c r="O1079" i="4"/>
  <c r="O32" i="4"/>
  <c r="R32" i="4" s="1"/>
  <c r="S32" i="4" s="1"/>
  <c r="O156" i="4"/>
  <c r="R156" i="4" s="1"/>
  <c r="S156" i="4" s="1"/>
  <c r="O220" i="4"/>
  <c r="O652" i="4"/>
  <c r="O716" i="4"/>
  <c r="O848" i="4"/>
  <c r="O912" i="4"/>
  <c r="O976" i="4"/>
  <c r="O1040" i="4"/>
  <c r="O1104" i="4"/>
  <c r="O53" i="4"/>
  <c r="R53" i="4" s="1"/>
  <c r="S53" i="4" s="1"/>
  <c r="O165" i="4"/>
  <c r="O229" i="4"/>
  <c r="O661" i="4"/>
  <c r="O725" i="4"/>
  <c r="O869" i="4"/>
  <c r="O933" i="4"/>
  <c r="O997" i="4"/>
  <c r="O1061" i="4"/>
  <c r="O270" i="4"/>
  <c r="O636" i="4"/>
  <c r="O632" i="4"/>
  <c r="O628" i="4"/>
  <c r="O624" i="4"/>
  <c r="O620" i="4"/>
  <c r="O616" i="4"/>
  <c r="O612" i="4"/>
  <c r="O608" i="4"/>
  <c r="O604" i="4"/>
  <c r="O600" i="4"/>
  <c r="O596" i="4"/>
  <c r="O592" i="4"/>
  <c r="O588" i="4"/>
  <c r="O584" i="4"/>
  <c r="O580" i="4"/>
  <c r="O576" i="4"/>
  <c r="O572" i="4"/>
  <c r="O568" i="4"/>
  <c r="O564" i="4"/>
  <c r="O560" i="4"/>
  <c r="O556" i="4"/>
  <c r="O552" i="4"/>
  <c r="O548" i="4"/>
  <c r="O544" i="4"/>
  <c r="O540" i="4"/>
  <c r="O536" i="4"/>
  <c r="O532" i="4"/>
  <c r="O528" i="4"/>
  <c r="O524" i="4"/>
  <c r="O520" i="4"/>
  <c r="O516" i="4"/>
  <c r="O512" i="4"/>
  <c r="O508" i="4"/>
  <c r="O504" i="4"/>
  <c r="O500" i="4"/>
  <c r="O496" i="4"/>
  <c r="O492" i="4"/>
  <c r="O488" i="4"/>
  <c r="O484" i="4"/>
  <c r="O480" i="4"/>
  <c r="O476" i="4"/>
  <c r="O472" i="4"/>
  <c r="O468" i="4"/>
  <c r="O464" i="4"/>
  <c r="O460" i="4"/>
  <c r="O456" i="4"/>
  <c r="O452" i="4"/>
  <c r="O448" i="4"/>
  <c r="O444" i="4"/>
  <c r="O440" i="4"/>
  <c r="O436" i="4"/>
  <c r="O432" i="4"/>
  <c r="O428" i="4"/>
  <c r="O424" i="4"/>
  <c r="O420" i="4"/>
  <c r="O416" i="4"/>
  <c r="O412" i="4"/>
  <c r="O408" i="4"/>
  <c r="O404" i="4"/>
  <c r="O400" i="4"/>
  <c r="O396" i="4"/>
  <c r="O392" i="4"/>
  <c r="O388" i="4"/>
  <c r="O384" i="4"/>
  <c r="O380" i="4"/>
  <c r="O376" i="4"/>
  <c r="O372" i="4"/>
  <c r="O368" i="4"/>
  <c r="O364" i="4"/>
  <c r="O360" i="4"/>
  <c r="O356" i="4"/>
  <c r="O807" i="4"/>
  <c r="O351" i="4"/>
  <c r="O349" i="4"/>
  <c r="O800" i="4"/>
  <c r="O345" i="4"/>
  <c r="O343" i="4"/>
  <c r="O341" i="4"/>
  <c r="O792" i="4"/>
  <c r="O337" i="4"/>
  <c r="O335" i="4"/>
  <c r="O333" i="4"/>
  <c r="O784" i="4"/>
  <c r="O782" i="4"/>
  <c r="O780" i="4"/>
  <c r="O325" i="4"/>
  <c r="O323" i="4"/>
  <c r="O774" i="4"/>
  <c r="O319" i="4"/>
  <c r="O770" i="4"/>
  <c r="O768" i="4"/>
  <c r="O122" i="4"/>
  <c r="R122" i="4" s="1"/>
  <c r="S122" i="4" s="1"/>
  <c r="O121" i="4"/>
  <c r="R121" i="4" s="1"/>
  <c r="S121" i="4" s="1"/>
  <c r="O311" i="4"/>
  <c r="O119" i="4"/>
  <c r="R119" i="4" s="1"/>
  <c r="S119" i="4" s="1"/>
  <c r="O761" i="4"/>
  <c r="O116" i="4"/>
  <c r="R116" i="4" s="1"/>
  <c r="S116" i="4" s="1"/>
  <c r="O306" i="4"/>
  <c r="O114" i="4"/>
  <c r="R114" i="4" s="1"/>
  <c r="S114" i="4" s="1"/>
  <c r="O113" i="4"/>
  <c r="R113" i="4" s="1"/>
  <c r="S113" i="4" s="1"/>
  <c r="O303" i="4"/>
  <c r="O111" i="4"/>
  <c r="O283" i="4"/>
  <c r="O300" i="4"/>
  <c r="O281" i="4"/>
  <c r="O147" i="4"/>
  <c r="R147" i="4" s="1"/>
  <c r="S147" i="4" s="1"/>
  <c r="O106" i="4"/>
  <c r="O279" i="4"/>
  <c r="O749" i="4"/>
  <c r="O277" i="4"/>
  <c r="O747" i="4"/>
  <c r="O293" i="4"/>
  <c r="O746" i="4"/>
  <c r="O292" i="4"/>
  <c r="O744" i="4"/>
  <c r="O99" i="4"/>
  <c r="O125" i="4"/>
  <c r="R125" i="4" s="1"/>
  <c r="S125" i="4" s="1"/>
  <c r="O128" i="4"/>
  <c r="R128" i="4" s="1"/>
  <c r="S128" i="4" s="1"/>
  <c r="O129" i="4"/>
  <c r="R129" i="4" s="1"/>
  <c r="S129" i="4" s="1"/>
  <c r="O137" i="4"/>
  <c r="R137" i="4" s="1"/>
  <c r="S137" i="4" s="1"/>
  <c r="O134" i="4"/>
  <c r="R134" i="4" s="1"/>
  <c r="S134" i="4" s="1"/>
  <c r="O158" i="4"/>
  <c r="R158" i="4" s="1"/>
  <c r="S158" i="4" s="1"/>
  <c r="O74" i="4"/>
  <c r="R74" i="4" s="1"/>
  <c r="S74" i="4" s="1"/>
  <c r="O242" i="4"/>
  <c r="O710" i="4"/>
  <c r="O14" i="4"/>
  <c r="R14" i="4" s="1"/>
  <c r="S14" i="4" s="1"/>
  <c r="O78" i="4"/>
  <c r="R78" i="4" s="1"/>
  <c r="S78" i="4" s="1"/>
  <c r="O182" i="4"/>
  <c r="O246" i="4"/>
  <c r="O682" i="4"/>
  <c r="O814" i="4"/>
  <c r="O878" i="4"/>
  <c r="O942" i="4"/>
  <c r="O1006" i="4"/>
  <c r="O1070" i="4"/>
  <c r="O27" i="4"/>
  <c r="R27" i="4" s="1"/>
  <c r="S27" i="4" s="1"/>
  <c r="O91" i="4"/>
  <c r="R91" i="4" s="1"/>
  <c r="S91" i="4" s="1"/>
  <c r="O211" i="4"/>
  <c r="R211" i="4" s="1"/>
  <c r="S211" i="4" s="1"/>
  <c r="O647" i="4"/>
  <c r="O711" i="4"/>
  <c r="O843" i="4"/>
  <c r="O907" i="4"/>
  <c r="O971" i="4"/>
  <c r="O1035" i="4"/>
  <c r="O1099" i="4"/>
  <c r="O68" i="4"/>
  <c r="R68" i="4" s="1"/>
  <c r="S68" i="4" s="1"/>
  <c r="O192" i="4"/>
  <c r="O256" i="4"/>
  <c r="O688" i="4"/>
  <c r="O820" i="4"/>
  <c r="O884" i="4"/>
  <c r="O948" i="4"/>
  <c r="O1012" i="4"/>
  <c r="O1076" i="4"/>
  <c r="O25" i="4"/>
  <c r="R25" i="4" s="1"/>
  <c r="S25" i="4" s="1"/>
  <c r="O89" i="4"/>
  <c r="R89" i="4" s="1"/>
  <c r="S89" i="4" s="1"/>
  <c r="O201" i="4"/>
  <c r="O265" i="4"/>
  <c r="O697" i="4"/>
  <c r="O825" i="4"/>
  <c r="O889" i="4"/>
  <c r="O953" i="4"/>
  <c r="O1017" i="4"/>
  <c r="O1081" i="4"/>
  <c r="O34" i="4"/>
  <c r="R34" i="4" s="1"/>
  <c r="S34" i="4" s="1"/>
  <c r="O154" i="4"/>
  <c r="R154" i="4" s="1"/>
  <c r="S154" i="4" s="1"/>
  <c r="O218" i="4"/>
  <c r="P218" i="4" s="1"/>
  <c r="O654" i="4"/>
  <c r="O718" i="4"/>
  <c r="O850" i="4"/>
  <c r="O914" i="4"/>
  <c r="O978" i="4"/>
  <c r="O1042" i="4"/>
  <c r="O1106" i="4"/>
  <c r="O63" i="4"/>
  <c r="R63" i="4" s="1"/>
  <c r="S63" i="4" s="1"/>
  <c r="O167" i="4"/>
  <c r="O231" i="4"/>
  <c r="O667" i="4"/>
  <c r="O731" i="4"/>
  <c r="O863" i="4"/>
  <c r="O927" i="4"/>
  <c r="O991" i="4"/>
  <c r="O1055" i="4"/>
  <c r="O8" i="4"/>
  <c r="O72" i="4"/>
  <c r="R72" i="4" s="1"/>
  <c r="S72" i="4" s="1"/>
  <c r="O196" i="4"/>
  <c r="O260" i="4"/>
  <c r="O692" i="4"/>
  <c r="O824" i="4"/>
  <c r="O888" i="4"/>
  <c r="O952" i="4"/>
  <c r="O1016" i="4"/>
  <c r="O1080" i="4"/>
  <c r="O29" i="4"/>
  <c r="R29" i="4" s="1"/>
  <c r="S29" i="4" s="1"/>
  <c r="O93" i="4"/>
  <c r="R93" i="4" s="1"/>
  <c r="S93" i="4" s="1"/>
  <c r="O205" i="4"/>
  <c r="R205" i="4" s="1"/>
  <c r="S205" i="4" s="1"/>
  <c r="O269" i="4"/>
  <c r="O701" i="4"/>
  <c r="O829" i="4"/>
  <c r="O893" i="4"/>
  <c r="O957" i="4"/>
  <c r="O1021" i="4"/>
  <c r="O1085" i="4"/>
  <c r="O18" i="4"/>
  <c r="R18" i="4" s="1"/>
  <c r="S18" i="4" s="1"/>
  <c r="O238" i="4"/>
  <c r="O706" i="4"/>
  <c r="O838" i="4"/>
  <c r="O902" i="4"/>
  <c r="O966" i="4"/>
  <c r="O1030" i="4"/>
  <c r="O1094" i="4"/>
  <c r="O51" i="4"/>
  <c r="R51" i="4" s="1"/>
  <c r="S51" i="4" s="1"/>
  <c r="O171" i="4"/>
  <c r="O235" i="4"/>
  <c r="O671" i="4"/>
  <c r="O735" i="4"/>
  <c r="O867" i="4"/>
  <c r="O931" i="4"/>
  <c r="O995" i="4"/>
  <c r="O1059" i="4"/>
  <c r="O12" i="4"/>
  <c r="O76" i="4"/>
  <c r="R76" i="4" s="1"/>
  <c r="S76" i="4" s="1"/>
  <c r="O184" i="4"/>
  <c r="O248" i="4"/>
  <c r="O680" i="4"/>
  <c r="O812" i="4"/>
  <c r="O876" i="4"/>
  <c r="O940" i="4"/>
  <c r="O1004" i="4"/>
  <c r="O1068" i="4"/>
  <c r="O33" i="4"/>
  <c r="R33" i="4" s="1"/>
  <c r="S33" i="4" s="1"/>
  <c r="O161" i="4"/>
  <c r="R161" i="4" s="1"/>
  <c r="S161" i="4" s="1"/>
  <c r="O225" i="4"/>
  <c r="O657" i="4"/>
  <c r="O721" i="4"/>
  <c r="O849" i="4"/>
  <c r="O913" i="4"/>
  <c r="O977" i="4"/>
  <c r="O1041" i="4"/>
  <c r="O1105" i="4"/>
  <c r="O206" i="4"/>
  <c r="R206" i="4" s="1"/>
  <c r="S206" i="4" s="1"/>
  <c r="O58" i="4"/>
  <c r="R58" i="4" s="1"/>
  <c r="S58" i="4" s="1"/>
  <c r="O258" i="4"/>
  <c r="O858" i="4"/>
  <c r="O938" i="4"/>
  <c r="O1002" i="4"/>
  <c r="O1066" i="4"/>
  <c r="O23" i="4"/>
  <c r="R23" i="4" s="1"/>
  <c r="S23" i="4" s="1"/>
  <c r="O87" i="4"/>
  <c r="R87" i="4" s="1"/>
  <c r="S87" i="4" s="1"/>
  <c r="O207" i="4"/>
  <c r="R207" i="4" s="1"/>
  <c r="S207" i="4" s="1"/>
  <c r="O643" i="4"/>
  <c r="O707" i="4"/>
  <c r="O839" i="4"/>
  <c r="O903" i="4"/>
  <c r="O967" i="4"/>
  <c r="O1031" i="4"/>
  <c r="O1095" i="4"/>
  <c r="O48" i="4"/>
  <c r="R48" i="4" s="1"/>
  <c r="S48" i="4" s="1"/>
  <c r="O172" i="4"/>
  <c r="O236" i="4"/>
  <c r="O668" i="4"/>
  <c r="O732" i="4"/>
  <c r="O864" i="4"/>
  <c r="O928" i="4"/>
  <c r="O992" i="4"/>
  <c r="O1056" i="4"/>
  <c r="O5" i="4"/>
  <c r="O69" i="4"/>
  <c r="R69" i="4" s="1"/>
  <c r="S69" i="4" s="1"/>
  <c r="O181" i="4"/>
  <c r="O245" i="4"/>
  <c r="O677" i="4"/>
  <c r="O821" i="4"/>
  <c r="O885" i="4"/>
  <c r="O949" i="4"/>
  <c r="O1013" i="4"/>
  <c r="O1077" i="4"/>
  <c r="O289" i="4"/>
  <c r="O638" i="4"/>
  <c r="O635" i="4"/>
  <c r="O631" i="4"/>
  <c r="O627" i="4"/>
  <c r="O623" i="4"/>
  <c r="O619" i="4"/>
  <c r="O615" i="4"/>
  <c r="O611" i="4"/>
  <c r="O607" i="4"/>
  <c r="O603" i="4"/>
  <c r="O599" i="4"/>
  <c r="O595" i="4"/>
  <c r="O591" i="4"/>
  <c r="O587" i="4"/>
  <c r="O583" i="4"/>
  <c r="O579" i="4"/>
  <c r="O575" i="4"/>
  <c r="O571" i="4"/>
  <c r="O567" i="4"/>
  <c r="O563" i="4"/>
  <c r="O559" i="4"/>
  <c r="O555" i="4"/>
  <c r="O551" i="4"/>
  <c r="O547" i="4"/>
  <c r="O543" i="4"/>
  <c r="O539" i="4"/>
  <c r="O535" i="4"/>
  <c r="O531" i="4"/>
  <c r="O527" i="4"/>
  <c r="O523" i="4"/>
  <c r="O519" i="4"/>
  <c r="O515" i="4"/>
  <c r="O511" i="4"/>
  <c r="O507" i="4"/>
  <c r="O503" i="4"/>
  <c r="O499" i="4"/>
  <c r="O495" i="4"/>
  <c r="O491" i="4"/>
  <c r="O487" i="4"/>
  <c r="O483" i="4"/>
  <c r="O479" i="4"/>
  <c r="O475" i="4"/>
  <c r="O471" i="4"/>
  <c r="O467" i="4"/>
  <c r="O463" i="4"/>
  <c r="O459" i="4"/>
  <c r="O455" i="4"/>
  <c r="O451" i="4"/>
  <c r="O447" i="4"/>
  <c r="O443" i="4"/>
  <c r="O439" i="4"/>
  <c r="O435" i="4"/>
  <c r="O431" i="4"/>
  <c r="O427" i="4"/>
  <c r="O423" i="4"/>
  <c r="O419" i="4"/>
  <c r="O415" i="4"/>
  <c r="O411" i="4"/>
  <c r="O407" i="4"/>
  <c r="O403" i="4"/>
  <c r="O399" i="4"/>
  <c r="O395" i="4"/>
  <c r="O391" i="4"/>
  <c r="O387" i="4"/>
  <c r="O383" i="4"/>
  <c r="O379" i="4"/>
  <c r="O375" i="4"/>
  <c r="O371" i="4"/>
  <c r="O367" i="4"/>
  <c r="O363" i="4"/>
  <c r="O359" i="4"/>
  <c r="O355" i="4"/>
  <c r="O806" i="4"/>
  <c r="O804" i="4"/>
  <c r="O802" i="4"/>
  <c r="O347" i="4"/>
  <c r="O798" i="4"/>
  <c r="O796" i="4"/>
  <c r="O794" i="4"/>
  <c r="O339" i="4"/>
  <c r="O790" i="4"/>
  <c r="O788" i="4"/>
  <c r="O786" i="4"/>
  <c r="O331" i="4"/>
  <c r="O329" i="4"/>
  <c r="O327" i="4"/>
  <c r="O778" i="4"/>
  <c r="O776" i="4"/>
  <c r="O321" i="4"/>
  <c r="O772" i="4"/>
  <c r="O317" i="4"/>
  <c r="O315" i="4"/>
  <c r="O766" i="4"/>
  <c r="O312" i="4"/>
  <c r="O764" i="4"/>
  <c r="O118" i="4"/>
  <c r="R118" i="4" s="1"/>
  <c r="S118" i="4" s="1"/>
  <c r="O117" i="4"/>
  <c r="R117" i="4" s="1"/>
  <c r="S117" i="4" s="1"/>
  <c r="O760" i="4"/>
  <c r="O287" i="4"/>
  <c r="O288" i="4"/>
  <c r="O286" i="4"/>
  <c r="O285" i="4"/>
  <c r="O284" i="4"/>
  <c r="O301" i="4"/>
  <c r="O109" i="4"/>
  <c r="O299" i="4"/>
  <c r="O280" i="4"/>
  <c r="O146" i="4"/>
  <c r="R146" i="4" s="1"/>
  <c r="S146" i="4" s="1"/>
  <c r="O278" i="4"/>
  <c r="O296" i="4"/>
  <c r="O748" i="4"/>
  <c r="O294" i="4"/>
  <c r="O275" i="4"/>
  <c r="O745" i="4"/>
  <c r="O141" i="4"/>
  <c r="R141" i="4" s="1"/>
  <c r="S141" i="4" s="1"/>
  <c r="O100" i="4"/>
  <c r="O139" i="4"/>
  <c r="R139" i="4" s="1"/>
  <c r="S139" i="4" s="1"/>
  <c r="O98" i="4"/>
  <c r="O133" i="4"/>
  <c r="R133" i="4" s="1"/>
  <c r="S133" i="4" s="1"/>
  <c r="O135" i="4"/>
  <c r="R135" i="4" s="1"/>
  <c r="S135" i="4" s="1"/>
  <c r="O127" i="4"/>
  <c r="R127" i="4" s="1"/>
  <c r="S127" i="4" s="1"/>
  <c r="O6" i="4"/>
  <c r="O222" i="4"/>
  <c r="O178" i="4"/>
  <c r="O646" i="4"/>
  <c r="O810" i="4"/>
  <c r="O30" i="4"/>
  <c r="R30" i="4" s="1"/>
  <c r="S30" i="4" s="1"/>
  <c r="O94" i="4"/>
  <c r="R94" i="4" s="1"/>
  <c r="S94" i="4" s="1"/>
  <c r="O198" i="4"/>
  <c r="O262" i="4"/>
  <c r="O698" i="4"/>
  <c r="O830" i="4"/>
  <c r="O894" i="4"/>
  <c r="O958" i="4"/>
  <c r="O1022" i="4"/>
  <c r="O1086" i="4"/>
  <c r="O43" i="4"/>
  <c r="R43" i="4" s="1"/>
  <c r="S43" i="4" s="1"/>
  <c r="O163" i="4"/>
  <c r="O227" i="4"/>
  <c r="O663" i="4"/>
  <c r="O727" i="4"/>
  <c r="O859" i="4"/>
  <c r="O923" i="4"/>
  <c r="O987" i="4"/>
  <c r="O1051" i="4"/>
  <c r="O20" i="4"/>
  <c r="R20" i="4" s="1"/>
  <c r="S20" i="4" s="1"/>
  <c r="O84" i="4"/>
  <c r="R84" i="4" s="1"/>
  <c r="S84" i="4" s="1"/>
  <c r="O208" i="4"/>
  <c r="R208" i="4" s="1"/>
  <c r="S208" i="4" s="1"/>
  <c r="O640" i="4"/>
  <c r="O704" i="4"/>
  <c r="O836" i="4"/>
  <c r="O900" i="4"/>
  <c r="O964" i="4"/>
  <c r="O1028" i="4"/>
  <c r="O1092" i="4"/>
  <c r="O41" i="4"/>
  <c r="R41" i="4" s="1"/>
  <c r="S41" i="4" s="1"/>
  <c r="O153" i="4"/>
  <c r="R153" i="4" s="1"/>
  <c r="S153" i="4" s="1"/>
  <c r="O217" i="4"/>
  <c r="P217" i="4" s="1"/>
  <c r="O649" i="4"/>
  <c r="O713" i="4"/>
  <c r="O841" i="4"/>
  <c r="O905" i="4"/>
  <c r="O969" i="4"/>
  <c r="O1033" i="4"/>
  <c r="O1097" i="4"/>
  <c r="O50" i="4"/>
  <c r="R50" i="4" s="1"/>
  <c r="S50" i="4" s="1"/>
  <c r="O170" i="4"/>
  <c r="O234" i="4"/>
  <c r="O670" i="4"/>
  <c r="O734" i="4"/>
  <c r="O866" i="4"/>
  <c r="O930" i="4"/>
  <c r="O994" i="4"/>
  <c r="O1058" i="4"/>
  <c r="O15" i="4"/>
  <c r="R15" i="4" s="1"/>
  <c r="S15" i="4" s="1"/>
  <c r="O79" i="4"/>
  <c r="R79" i="4" s="1"/>
  <c r="S79" i="4" s="1"/>
  <c r="O183" i="4"/>
  <c r="O247" i="4"/>
  <c r="O683" i="4"/>
  <c r="O815" i="4"/>
  <c r="O879" i="4"/>
  <c r="O943" i="4"/>
  <c r="O1007" i="4"/>
  <c r="O1071" i="4"/>
  <c r="O24" i="4"/>
  <c r="R24" i="4" s="1"/>
  <c r="S24" i="4" s="1"/>
  <c r="O88" i="4"/>
  <c r="R88" i="4" s="1"/>
  <c r="S88" i="4" s="1"/>
  <c r="O212" i="4"/>
  <c r="R212" i="4" s="1"/>
  <c r="S212" i="4" s="1"/>
  <c r="O644" i="4"/>
  <c r="O708" i="4"/>
  <c r="O840" i="4"/>
  <c r="O904" i="4"/>
  <c r="O968" i="4"/>
  <c r="O1032" i="4"/>
  <c r="O1096" i="4"/>
  <c r="O45" i="4"/>
  <c r="R45" i="4" s="1"/>
  <c r="S45" i="4" s="1"/>
  <c r="O157" i="4"/>
  <c r="R157" i="4" s="1"/>
  <c r="S157" i="4" s="1"/>
  <c r="O221" i="4"/>
  <c r="O653" i="4"/>
  <c r="O717" i="4"/>
  <c r="O845" i="4"/>
  <c r="O909" i="4"/>
  <c r="O973" i="4"/>
  <c r="O1037" i="4"/>
  <c r="O1101" i="4"/>
  <c r="O22" i="4"/>
  <c r="R22" i="4" s="1"/>
  <c r="S22" i="4" s="1"/>
  <c r="O642" i="4"/>
  <c r="O722" i="4"/>
  <c r="O854" i="4"/>
  <c r="O918" i="4"/>
  <c r="O982" i="4"/>
  <c r="O1046" i="4"/>
  <c r="O1110" i="4"/>
  <c r="O67" i="4"/>
  <c r="R67" i="4" s="1"/>
  <c r="S67" i="4" s="1"/>
  <c r="O187" i="4"/>
  <c r="O251" i="4"/>
  <c r="O687" i="4"/>
  <c r="O819" i="4"/>
  <c r="O883" i="4"/>
  <c r="O947" i="4"/>
  <c r="O1011" i="4"/>
  <c r="O1075" i="4"/>
  <c r="O28" i="4"/>
  <c r="R28" i="4" s="1"/>
  <c r="S28" i="4" s="1"/>
  <c r="O92" i="4"/>
  <c r="R92" i="4" s="1"/>
  <c r="S92" i="4" s="1"/>
  <c r="O200" i="4"/>
  <c r="O264" i="4"/>
  <c r="O696" i="4"/>
  <c r="O828" i="4"/>
  <c r="O892" i="4"/>
  <c r="O956" i="4"/>
  <c r="O1020" i="4"/>
  <c r="O1084" i="4"/>
  <c r="O49" i="4"/>
  <c r="R49" i="4" s="1"/>
  <c r="S49" i="4" s="1"/>
  <c r="O177" i="4"/>
  <c r="O241" i="4"/>
  <c r="O673" i="4"/>
  <c r="O737" i="4"/>
  <c r="O865" i="4"/>
  <c r="O929" i="4"/>
  <c r="O993" i="4"/>
  <c r="O1057" i="4"/>
  <c r="O138" i="4"/>
  <c r="R138" i="4" s="1"/>
  <c r="S138" i="4" s="1"/>
  <c r="O254" i="4"/>
  <c r="O90" i="4"/>
  <c r="R90" i="4" s="1"/>
  <c r="S90" i="4" s="1"/>
  <c r="O678" i="4"/>
  <c r="O874" i="4"/>
  <c r="O954" i="4"/>
  <c r="O1018" i="4"/>
  <c r="O1082" i="4"/>
  <c r="O39" i="4"/>
  <c r="R39" i="4" s="1"/>
  <c r="S39" i="4" s="1"/>
  <c r="O159" i="4"/>
  <c r="R159" i="4" s="1"/>
  <c r="S159" i="4" s="1"/>
  <c r="O223" i="4"/>
  <c r="O659" i="4"/>
  <c r="O723" i="4"/>
  <c r="O855" i="4"/>
  <c r="O919" i="4"/>
  <c r="O983" i="4"/>
  <c r="O1047" i="4"/>
  <c r="O1111" i="4"/>
  <c r="O64" i="4"/>
  <c r="R64" i="4" s="1"/>
  <c r="S64" i="4" s="1"/>
  <c r="O188" i="4"/>
  <c r="O252" i="4"/>
  <c r="O684" i="4"/>
  <c r="O816" i="4"/>
  <c r="O880" i="4"/>
  <c r="O944" i="4"/>
  <c r="O1008" i="4"/>
  <c r="O1072" i="4"/>
  <c r="O21" i="4"/>
  <c r="R21" i="4" s="1"/>
  <c r="S21" i="4" s="1"/>
  <c r="O85" i="4"/>
  <c r="R85" i="4" s="1"/>
  <c r="S85" i="4" s="1"/>
  <c r="O197" i="4"/>
  <c r="O261" i="4"/>
  <c r="O693" i="4"/>
  <c r="O837" i="4"/>
  <c r="O901" i="4"/>
  <c r="O965" i="4"/>
  <c r="O1029" i="4"/>
  <c r="O1093" i="4"/>
  <c r="O3" i="4"/>
  <c r="J826" i="4"/>
  <c r="I826" i="4"/>
  <c r="J974" i="4"/>
  <c r="I974" i="4"/>
  <c r="Q974" i="4" s="1"/>
  <c r="J759" i="4"/>
  <c r="I759" i="4"/>
  <c r="Q759" i="4" s="1"/>
  <c r="J407" i="4"/>
  <c r="I407" i="4"/>
  <c r="J1087" i="4"/>
  <c r="I1087" i="4"/>
  <c r="D939" i="4"/>
  <c r="I939" i="4"/>
  <c r="Q939" i="4" s="1"/>
  <c r="J941" i="4"/>
  <c r="I941" i="4"/>
  <c r="Q941" i="4" s="1"/>
  <c r="J825" i="4"/>
  <c r="I825" i="4"/>
  <c r="Q825" i="4" s="1"/>
  <c r="J694" i="4"/>
  <c r="I694" i="4"/>
  <c r="Q694" i="4" s="1"/>
  <c r="J940" i="4"/>
  <c r="I940" i="4"/>
  <c r="Q940" i="4" s="1"/>
  <c r="J1088" i="4"/>
  <c r="I1088" i="4"/>
  <c r="J695" i="4"/>
  <c r="I695" i="4"/>
  <c r="Q695" i="4" s="1"/>
  <c r="E408" i="4"/>
  <c r="J408" i="4" s="1"/>
  <c r="D407" i="4"/>
  <c r="D694" i="4"/>
  <c r="C48" i="4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6" i="4" s="1"/>
  <c r="C107" i="4" s="1"/>
  <c r="C108" i="4" s="1"/>
  <c r="C109" i="4" s="1"/>
  <c r="C110" i="4" s="1"/>
  <c r="C111" i="4" s="1"/>
  <c r="C112" i="4" s="1"/>
  <c r="C113" i="4" s="1"/>
  <c r="C114" i="4" s="1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0" i="4" s="1"/>
  <c r="C141" i="4" s="1"/>
  <c r="C142" i="4" s="1"/>
  <c r="C143" i="4" s="1"/>
  <c r="C144" i="4" s="1"/>
  <c r="C145" i="4" s="1"/>
  <c r="C146" i="4" s="1"/>
  <c r="C147" i="4" s="1"/>
  <c r="C148" i="4" s="1"/>
  <c r="C149" i="4" s="1"/>
  <c r="C150" i="4" s="1"/>
  <c r="C151" i="4" s="1"/>
  <c r="C152" i="4" s="1"/>
  <c r="C153" i="4" s="1"/>
  <c r="C154" i="4" s="1"/>
  <c r="C155" i="4" s="1"/>
  <c r="C156" i="4" s="1"/>
  <c r="C157" i="4" s="1"/>
  <c r="C158" i="4" s="1"/>
  <c r="C159" i="4" s="1"/>
  <c r="C160" i="4" s="1"/>
  <c r="C161" i="4" s="1"/>
  <c r="C162" i="4" s="1"/>
  <c r="C163" i="4" s="1"/>
  <c r="C164" i="4" s="1"/>
  <c r="C165" i="4" s="1"/>
  <c r="C166" i="4" s="1"/>
  <c r="C167" i="4" s="1"/>
  <c r="C168" i="4" s="1"/>
  <c r="C169" i="4" s="1"/>
  <c r="C170" i="4" s="1"/>
  <c r="C171" i="4" s="1"/>
  <c r="C172" i="4" s="1"/>
  <c r="C173" i="4" s="1"/>
  <c r="C174" i="4" s="1"/>
  <c r="C175" i="4" s="1"/>
  <c r="C176" i="4" s="1"/>
  <c r="C177" i="4" s="1"/>
  <c r="C178" i="4" s="1"/>
  <c r="C179" i="4" s="1"/>
  <c r="C180" i="4" s="1"/>
  <c r="C181" i="4" s="1"/>
  <c r="C182" i="4" s="1"/>
  <c r="C183" i="4" s="1"/>
  <c r="C184" i="4" s="1"/>
  <c r="C185" i="4" s="1"/>
  <c r="C186" i="4" s="1"/>
  <c r="C187" i="4" s="1"/>
  <c r="C188" i="4" s="1"/>
  <c r="C189" i="4" s="1"/>
  <c r="C190" i="4" s="1"/>
  <c r="C191" i="4" s="1"/>
  <c r="C192" i="4" s="1"/>
  <c r="C193" i="4" s="1"/>
  <c r="C194" i="4" s="1"/>
  <c r="C195" i="4" s="1"/>
  <c r="C196" i="4" s="1"/>
  <c r="C197" i="4" s="1"/>
  <c r="C198" i="4" s="1"/>
  <c r="C199" i="4" s="1"/>
  <c r="C200" i="4" s="1"/>
  <c r="C201" i="4" s="1"/>
  <c r="C202" i="4" s="1"/>
  <c r="C203" i="4" s="1"/>
  <c r="C204" i="4" s="1"/>
  <c r="C205" i="4" s="1"/>
  <c r="C206" i="4" s="1"/>
  <c r="C207" i="4" s="1"/>
  <c r="C208" i="4" s="1"/>
  <c r="C209" i="4" s="1"/>
  <c r="C210" i="4" s="1"/>
  <c r="C211" i="4" s="1"/>
  <c r="C212" i="4" s="1"/>
  <c r="C213" i="4" s="1"/>
  <c r="C214" i="4" s="1"/>
  <c r="C215" i="4" s="1"/>
  <c r="C216" i="4" s="1"/>
  <c r="C217" i="4" s="1"/>
  <c r="C218" i="4" s="1"/>
  <c r="C219" i="4" s="1"/>
  <c r="C220" i="4" s="1"/>
  <c r="C221" i="4" s="1"/>
  <c r="C222" i="4" s="1"/>
  <c r="C223" i="4" s="1"/>
  <c r="C224" i="4" s="1"/>
  <c r="C225" i="4" s="1"/>
  <c r="C226" i="4" s="1"/>
  <c r="C227" i="4" s="1"/>
  <c r="C228" i="4" s="1"/>
  <c r="C229" i="4" s="1"/>
  <c r="C230" i="4" s="1"/>
  <c r="C231" i="4" s="1"/>
  <c r="C232" i="4" s="1"/>
  <c r="C233" i="4" s="1"/>
  <c r="C234" i="4" s="1"/>
  <c r="C235" i="4" s="1"/>
  <c r="C236" i="4" s="1"/>
  <c r="C237" i="4" s="1"/>
  <c r="C238" i="4" s="1"/>
  <c r="C239" i="4" s="1"/>
  <c r="C240" i="4" s="1"/>
  <c r="C241" i="4" s="1"/>
  <c r="C242" i="4" s="1"/>
  <c r="C243" i="4" s="1"/>
  <c r="C244" i="4" s="1"/>
  <c r="C245" i="4" s="1"/>
  <c r="C246" i="4" s="1"/>
  <c r="C247" i="4" s="1"/>
  <c r="C248" i="4" s="1"/>
  <c r="C249" i="4" s="1"/>
  <c r="C250" i="4" s="1"/>
  <c r="C251" i="4" s="1"/>
  <c r="C252" i="4" s="1"/>
  <c r="C253" i="4" s="1"/>
  <c r="C254" i="4" s="1"/>
  <c r="C255" i="4" s="1"/>
  <c r="C256" i="4" s="1"/>
  <c r="C257" i="4" s="1"/>
  <c r="C258" i="4" s="1"/>
  <c r="C259" i="4" s="1"/>
  <c r="C260" i="4" s="1"/>
  <c r="C261" i="4" s="1"/>
  <c r="C262" i="4" s="1"/>
  <c r="C263" i="4" s="1"/>
  <c r="C264" i="4" s="1"/>
  <c r="C265" i="4" s="1"/>
  <c r="C266" i="4" s="1"/>
  <c r="C267" i="4" s="1"/>
  <c r="C268" i="4" s="1"/>
  <c r="C269" i="4" s="1"/>
  <c r="C270" i="4" s="1"/>
  <c r="C271" i="4" s="1"/>
  <c r="C272" i="4" s="1"/>
  <c r="C273" i="4" s="1"/>
  <c r="C274" i="4" s="1"/>
  <c r="C275" i="4" s="1"/>
  <c r="C276" i="4" s="1"/>
  <c r="C277" i="4" s="1"/>
  <c r="C278" i="4" s="1"/>
  <c r="C279" i="4" s="1"/>
  <c r="C280" i="4" s="1"/>
  <c r="C281" i="4" s="1"/>
  <c r="C282" i="4" s="1"/>
  <c r="C283" i="4" s="1"/>
  <c r="C284" i="4" s="1"/>
  <c r="C285" i="4" s="1"/>
  <c r="C286" i="4" s="1"/>
  <c r="C287" i="4" s="1"/>
  <c r="C288" i="4" s="1"/>
  <c r="C289" i="4" s="1"/>
  <c r="C290" i="4" s="1"/>
  <c r="C291" i="4" s="1"/>
  <c r="C292" i="4" s="1"/>
  <c r="C293" i="4" s="1"/>
  <c r="C294" i="4" s="1"/>
  <c r="C295" i="4" s="1"/>
  <c r="C296" i="4" s="1"/>
  <c r="C297" i="4" s="1"/>
  <c r="C298" i="4" s="1"/>
  <c r="C299" i="4" s="1"/>
  <c r="C300" i="4" s="1"/>
  <c r="C301" i="4" s="1"/>
  <c r="C302" i="4" s="1"/>
  <c r="C303" i="4" s="1"/>
  <c r="C304" i="4" s="1"/>
  <c r="C305" i="4" s="1"/>
  <c r="C306" i="4" s="1"/>
  <c r="C307" i="4" s="1"/>
  <c r="C308" i="4" s="1"/>
  <c r="C309" i="4" s="1"/>
  <c r="C310" i="4" s="1"/>
  <c r="C311" i="4" s="1"/>
  <c r="C312" i="4" s="1"/>
  <c r="C313" i="4" s="1"/>
  <c r="C314" i="4" s="1"/>
  <c r="C315" i="4" s="1"/>
  <c r="C316" i="4" s="1"/>
  <c r="C317" i="4" s="1"/>
  <c r="C318" i="4" s="1"/>
  <c r="C319" i="4" s="1"/>
  <c r="C320" i="4" s="1"/>
  <c r="C321" i="4" s="1"/>
  <c r="C322" i="4" s="1"/>
  <c r="C323" i="4" s="1"/>
  <c r="C324" i="4" s="1"/>
  <c r="C325" i="4" s="1"/>
  <c r="C326" i="4" s="1"/>
  <c r="C327" i="4" s="1"/>
  <c r="C328" i="4" s="1"/>
  <c r="C329" i="4" s="1"/>
  <c r="C330" i="4" s="1"/>
  <c r="C331" i="4" s="1"/>
  <c r="C332" i="4" s="1"/>
  <c r="C333" i="4" s="1"/>
  <c r="C334" i="4" s="1"/>
  <c r="C335" i="4" s="1"/>
  <c r="C336" i="4" s="1"/>
  <c r="C337" i="4" s="1"/>
  <c r="C338" i="4" s="1"/>
  <c r="C339" i="4" s="1"/>
  <c r="C340" i="4" s="1"/>
  <c r="C341" i="4" s="1"/>
  <c r="C342" i="4" s="1"/>
  <c r="C343" i="4" s="1"/>
  <c r="C344" i="4" s="1"/>
  <c r="C345" i="4" s="1"/>
  <c r="C346" i="4" s="1"/>
  <c r="C347" i="4" s="1"/>
  <c r="C348" i="4" s="1"/>
  <c r="C349" i="4" s="1"/>
  <c r="C350" i="4" s="1"/>
  <c r="C351" i="4" s="1"/>
  <c r="C352" i="4" s="1"/>
  <c r="C353" i="4" s="1"/>
  <c r="C354" i="4" s="1"/>
  <c r="C355" i="4" s="1"/>
  <c r="C356" i="4" s="1"/>
  <c r="C357" i="4" s="1"/>
  <c r="C358" i="4" s="1"/>
  <c r="C359" i="4" s="1"/>
  <c r="C360" i="4" s="1"/>
  <c r="C361" i="4" s="1"/>
  <c r="C362" i="4" s="1"/>
  <c r="C363" i="4" s="1"/>
  <c r="C364" i="4" s="1"/>
  <c r="C365" i="4" s="1"/>
  <c r="C366" i="4" s="1"/>
  <c r="C367" i="4" s="1"/>
  <c r="C368" i="4" s="1"/>
  <c r="C369" i="4" s="1"/>
  <c r="C370" i="4" s="1"/>
  <c r="C371" i="4" s="1"/>
  <c r="C372" i="4" s="1"/>
  <c r="C373" i="4" s="1"/>
  <c r="C374" i="4" s="1"/>
  <c r="C375" i="4" s="1"/>
  <c r="C376" i="4" s="1"/>
  <c r="C377" i="4" s="1"/>
  <c r="C378" i="4" s="1"/>
  <c r="C379" i="4" s="1"/>
  <c r="C380" i="4" s="1"/>
  <c r="C381" i="4" s="1"/>
  <c r="C382" i="4" s="1"/>
  <c r="C383" i="4" s="1"/>
  <c r="C384" i="4" s="1"/>
  <c r="C385" i="4" s="1"/>
  <c r="C386" i="4" s="1"/>
  <c r="C387" i="4" s="1"/>
  <c r="C388" i="4" s="1"/>
  <c r="C389" i="4" s="1"/>
  <c r="C390" i="4" s="1"/>
  <c r="C391" i="4" s="1"/>
  <c r="C392" i="4" s="1"/>
  <c r="C393" i="4" s="1"/>
  <c r="C394" i="4" s="1"/>
  <c r="C395" i="4" s="1"/>
  <c r="C396" i="4" s="1"/>
  <c r="C397" i="4" s="1"/>
  <c r="C398" i="4" s="1"/>
  <c r="C399" i="4" s="1"/>
  <c r="C400" i="4" s="1"/>
  <c r="C401" i="4" s="1"/>
  <c r="C402" i="4" s="1"/>
  <c r="C403" i="4" s="1"/>
  <c r="C404" i="4" s="1"/>
  <c r="C405" i="4" s="1"/>
  <c r="C406" i="4" s="1"/>
  <c r="C407" i="4" s="1"/>
  <c r="C408" i="4" s="1"/>
  <c r="C409" i="4" s="1"/>
  <c r="C410" i="4" s="1"/>
  <c r="C411" i="4" s="1"/>
  <c r="C412" i="4" s="1"/>
  <c r="C413" i="4" s="1"/>
  <c r="C414" i="4" s="1"/>
  <c r="C415" i="4" s="1"/>
  <c r="C416" i="4" s="1"/>
  <c r="C417" i="4" s="1"/>
  <c r="C418" i="4" s="1"/>
  <c r="C419" i="4" s="1"/>
  <c r="C420" i="4" s="1"/>
  <c r="C421" i="4" s="1"/>
  <c r="C422" i="4" s="1"/>
  <c r="C423" i="4" s="1"/>
  <c r="C424" i="4" s="1"/>
  <c r="C425" i="4" s="1"/>
  <c r="C426" i="4" s="1"/>
  <c r="C427" i="4" s="1"/>
  <c r="C428" i="4" s="1"/>
  <c r="C429" i="4" s="1"/>
  <c r="C430" i="4" s="1"/>
  <c r="C431" i="4" s="1"/>
  <c r="C432" i="4" s="1"/>
  <c r="C433" i="4" s="1"/>
  <c r="C434" i="4" s="1"/>
  <c r="C435" i="4" s="1"/>
  <c r="C436" i="4" s="1"/>
  <c r="C437" i="4" s="1"/>
  <c r="C438" i="4" s="1"/>
  <c r="C439" i="4" s="1"/>
  <c r="C440" i="4" s="1"/>
  <c r="C441" i="4" s="1"/>
  <c r="C442" i="4" s="1"/>
  <c r="C443" i="4" s="1"/>
  <c r="C444" i="4" s="1"/>
  <c r="C445" i="4" s="1"/>
  <c r="C446" i="4" s="1"/>
  <c r="C447" i="4" s="1"/>
  <c r="C448" i="4" s="1"/>
  <c r="C449" i="4" s="1"/>
  <c r="C450" i="4" s="1"/>
  <c r="C451" i="4" s="1"/>
  <c r="C452" i="4" s="1"/>
  <c r="C453" i="4" s="1"/>
  <c r="C454" i="4" s="1"/>
  <c r="C455" i="4" s="1"/>
  <c r="C456" i="4" s="1"/>
  <c r="C457" i="4" s="1"/>
  <c r="C458" i="4" s="1"/>
  <c r="C459" i="4" s="1"/>
  <c r="C460" i="4" s="1"/>
  <c r="C461" i="4" s="1"/>
  <c r="C462" i="4" s="1"/>
  <c r="C463" i="4" s="1"/>
  <c r="C464" i="4" s="1"/>
  <c r="C465" i="4" s="1"/>
  <c r="C466" i="4" s="1"/>
  <c r="C467" i="4" s="1"/>
  <c r="C468" i="4" s="1"/>
  <c r="C469" i="4" s="1"/>
  <c r="C470" i="4" s="1"/>
  <c r="C471" i="4" s="1"/>
  <c r="C472" i="4" s="1"/>
  <c r="C473" i="4" s="1"/>
  <c r="C474" i="4" s="1"/>
  <c r="C475" i="4" s="1"/>
  <c r="C476" i="4" s="1"/>
  <c r="C477" i="4" s="1"/>
  <c r="C478" i="4" s="1"/>
  <c r="C479" i="4" s="1"/>
  <c r="C480" i="4" s="1"/>
  <c r="C481" i="4" s="1"/>
  <c r="C482" i="4" s="1"/>
  <c r="C483" i="4" s="1"/>
  <c r="C484" i="4" s="1"/>
  <c r="C485" i="4" s="1"/>
  <c r="C486" i="4" s="1"/>
  <c r="C487" i="4" s="1"/>
  <c r="C488" i="4" s="1"/>
  <c r="C489" i="4" s="1"/>
  <c r="C490" i="4" s="1"/>
  <c r="C491" i="4" s="1"/>
  <c r="C492" i="4" s="1"/>
  <c r="C493" i="4" s="1"/>
  <c r="C494" i="4" s="1"/>
  <c r="C495" i="4" s="1"/>
  <c r="C496" i="4" s="1"/>
  <c r="C497" i="4" s="1"/>
  <c r="C498" i="4" s="1"/>
  <c r="C499" i="4" s="1"/>
  <c r="C500" i="4" s="1"/>
  <c r="C501" i="4" s="1"/>
  <c r="C502" i="4" s="1"/>
  <c r="C503" i="4" s="1"/>
  <c r="C504" i="4" s="1"/>
  <c r="C505" i="4" s="1"/>
  <c r="C506" i="4" s="1"/>
  <c r="C507" i="4" s="1"/>
  <c r="C508" i="4" s="1"/>
  <c r="C509" i="4" s="1"/>
  <c r="C510" i="4" s="1"/>
  <c r="C511" i="4" s="1"/>
  <c r="C512" i="4" s="1"/>
  <c r="C513" i="4" s="1"/>
  <c r="C514" i="4" s="1"/>
  <c r="C515" i="4" s="1"/>
  <c r="C516" i="4" s="1"/>
  <c r="C517" i="4" s="1"/>
  <c r="C518" i="4" s="1"/>
  <c r="C519" i="4" s="1"/>
  <c r="C520" i="4" s="1"/>
  <c r="C521" i="4" s="1"/>
  <c r="C522" i="4" s="1"/>
  <c r="C523" i="4" s="1"/>
  <c r="C524" i="4" s="1"/>
  <c r="C525" i="4" s="1"/>
  <c r="C526" i="4" s="1"/>
  <c r="C527" i="4" s="1"/>
  <c r="C528" i="4" s="1"/>
  <c r="C529" i="4" s="1"/>
  <c r="C530" i="4" s="1"/>
  <c r="C531" i="4" s="1"/>
  <c r="C532" i="4" s="1"/>
  <c r="C533" i="4" s="1"/>
  <c r="C534" i="4" s="1"/>
  <c r="C535" i="4" s="1"/>
  <c r="C536" i="4" s="1"/>
  <c r="C537" i="4" s="1"/>
  <c r="C538" i="4" s="1"/>
  <c r="C539" i="4" s="1"/>
  <c r="C540" i="4" s="1"/>
  <c r="C541" i="4" s="1"/>
  <c r="C542" i="4" s="1"/>
  <c r="C543" i="4" s="1"/>
  <c r="C544" i="4" s="1"/>
  <c r="C545" i="4" s="1"/>
  <c r="C546" i="4" s="1"/>
  <c r="C547" i="4" s="1"/>
  <c r="C548" i="4" s="1"/>
  <c r="C549" i="4" s="1"/>
  <c r="C550" i="4" s="1"/>
  <c r="C551" i="4" s="1"/>
  <c r="C552" i="4" s="1"/>
  <c r="C553" i="4" s="1"/>
  <c r="C554" i="4" s="1"/>
  <c r="C555" i="4" s="1"/>
  <c r="C556" i="4" s="1"/>
  <c r="C557" i="4" s="1"/>
  <c r="C558" i="4" s="1"/>
  <c r="C559" i="4" s="1"/>
  <c r="C560" i="4" s="1"/>
  <c r="C561" i="4" s="1"/>
  <c r="C562" i="4" s="1"/>
  <c r="C563" i="4" s="1"/>
  <c r="C564" i="4" s="1"/>
  <c r="C565" i="4" s="1"/>
  <c r="C566" i="4" s="1"/>
  <c r="C567" i="4" s="1"/>
  <c r="C568" i="4" s="1"/>
  <c r="C569" i="4" s="1"/>
  <c r="C570" i="4" s="1"/>
  <c r="C571" i="4" s="1"/>
  <c r="C572" i="4" s="1"/>
  <c r="C573" i="4" s="1"/>
  <c r="C574" i="4" s="1"/>
  <c r="C575" i="4" s="1"/>
  <c r="C576" i="4" s="1"/>
  <c r="C577" i="4" s="1"/>
  <c r="C578" i="4" s="1"/>
  <c r="C579" i="4" s="1"/>
  <c r="C580" i="4" s="1"/>
  <c r="C581" i="4" s="1"/>
  <c r="C582" i="4" s="1"/>
  <c r="C583" i="4" s="1"/>
  <c r="C584" i="4" s="1"/>
  <c r="C585" i="4" s="1"/>
  <c r="C586" i="4" s="1"/>
  <c r="C587" i="4" s="1"/>
  <c r="C588" i="4" s="1"/>
  <c r="C589" i="4" s="1"/>
  <c r="C590" i="4" s="1"/>
  <c r="C591" i="4" s="1"/>
  <c r="C592" i="4" s="1"/>
  <c r="C593" i="4" s="1"/>
  <c r="C594" i="4" s="1"/>
  <c r="C595" i="4" s="1"/>
  <c r="C596" i="4" s="1"/>
  <c r="C597" i="4" s="1"/>
  <c r="C598" i="4" s="1"/>
  <c r="C599" i="4" s="1"/>
  <c r="C600" i="4" s="1"/>
  <c r="C601" i="4" s="1"/>
  <c r="C602" i="4" s="1"/>
  <c r="C603" i="4" s="1"/>
  <c r="C604" i="4" s="1"/>
  <c r="C605" i="4" s="1"/>
  <c r="C606" i="4" s="1"/>
  <c r="C607" i="4" s="1"/>
  <c r="C608" i="4" s="1"/>
  <c r="C609" i="4" s="1"/>
  <c r="C610" i="4" s="1"/>
  <c r="C611" i="4" s="1"/>
  <c r="C612" i="4" s="1"/>
  <c r="C613" i="4" s="1"/>
  <c r="C614" i="4" s="1"/>
  <c r="C615" i="4" s="1"/>
  <c r="C616" i="4" s="1"/>
  <c r="C617" i="4" s="1"/>
  <c r="C618" i="4" s="1"/>
  <c r="C619" i="4" s="1"/>
  <c r="C620" i="4" s="1"/>
  <c r="C621" i="4" s="1"/>
  <c r="C622" i="4" s="1"/>
  <c r="C623" i="4" s="1"/>
  <c r="C624" i="4" s="1"/>
  <c r="C625" i="4" s="1"/>
  <c r="C626" i="4" s="1"/>
  <c r="C627" i="4" s="1"/>
  <c r="C628" i="4" s="1"/>
  <c r="C629" i="4" s="1"/>
  <c r="C630" i="4" s="1"/>
  <c r="C631" i="4" s="1"/>
  <c r="C632" i="4" s="1"/>
  <c r="C633" i="4" s="1"/>
  <c r="C634" i="4" s="1"/>
  <c r="C635" i="4" s="1"/>
  <c r="C636" i="4" s="1"/>
  <c r="C637" i="4" s="1"/>
  <c r="C638" i="4" s="1"/>
  <c r="C639" i="4" s="1"/>
  <c r="C640" i="4" s="1"/>
  <c r="C641" i="4" s="1"/>
  <c r="C642" i="4" s="1"/>
  <c r="C643" i="4" s="1"/>
  <c r="C644" i="4" s="1"/>
  <c r="C645" i="4" s="1"/>
  <c r="C646" i="4" s="1"/>
  <c r="C647" i="4" s="1"/>
  <c r="C648" i="4" s="1"/>
  <c r="C649" i="4" s="1"/>
  <c r="C650" i="4" s="1"/>
  <c r="C651" i="4" s="1"/>
  <c r="C652" i="4" s="1"/>
  <c r="C653" i="4" s="1"/>
  <c r="C654" i="4" s="1"/>
  <c r="C655" i="4" s="1"/>
  <c r="C656" i="4" s="1"/>
  <c r="C657" i="4" s="1"/>
  <c r="C658" i="4" s="1"/>
  <c r="C659" i="4" s="1"/>
  <c r="C660" i="4" s="1"/>
  <c r="C661" i="4" s="1"/>
  <c r="C662" i="4" s="1"/>
  <c r="C663" i="4" s="1"/>
  <c r="C664" i="4" s="1"/>
  <c r="C665" i="4" s="1"/>
  <c r="C666" i="4" s="1"/>
  <c r="C667" i="4" s="1"/>
  <c r="C668" i="4" s="1"/>
  <c r="C669" i="4" s="1"/>
  <c r="C670" i="4" s="1"/>
  <c r="C671" i="4" s="1"/>
  <c r="C672" i="4" s="1"/>
  <c r="C673" i="4" s="1"/>
  <c r="C674" i="4" s="1"/>
  <c r="C675" i="4" s="1"/>
  <c r="C676" i="4" s="1"/>
  <c r="C677" i="4" s="1"/>
  <c r="C678" i="4" s="1"/>
  <c r="C679" i="4" s="1"/>
  <c r="C680" i="4" s="1"/>
  <c r="C681" i="4" s="1"/>
  <c r="C682" i="4" s="1"/>
  <c r="C683" i="4" s="1"/>
  <c r="C684" i="4" s="1"/>
  <c r="C685" i="4" s="1"/>
  <c r="C686" i="4" s="1"/>
  <c r="C687" i="4" s="1"/>
  <c r="C688" i="4" s="1"/>
  <c r="C689" i="4" s="1"/>
  <c r="C690" i="4" s="1"/>
  <c r="C691" i="4" s="1"/>
  <c r="C692" i="4" s="1"/>
  <c r="C693" i="4" s="1"/>
  <c r="C694" i="4" s="1"/>
  <c r="C695" i="4" s="1"/>
  <c r="C696" i="4" s="1"/>
  <c r="C697" i="4" s="1"/>
  <c r="C698" i="4" s="1"/>
  <c r="C699" i="4" s="1"/>
  <c r="C700" i="4" s="1"/>
  <c r="C701" i="4" s="1"/>
  <c r="C702" i="4" s="1"/>
  <c r="C703" i="4" s="1"/>
  <c r="C704" i="4" s="1"/>
  <c r="C705" i="4" s="1"/>
  <c r="C706" i="4" s="1"/>
  <c r="C707" i="4" s="1"/>
  <c r="C708" i="4" s="1"/>
  <c r="C709" i="4" s="1"/>
  <c r="C710" i="4" s="1"/>
  <c r="C711" i="4" s="1"/>
  <c r="C712" i="4" s="1"/>
  <c r="C713" i="4" s="1"/>
  <c r="C714" i="4" s="1"/>
  <c r="C715" i="4" s="1"/>
  <c r="C716" i="4" s="1"/>
  <c r="C717" i="4" s="1"/>
  <c r="C718" i="4" s="1"/>
  <c r="C719" i="4" s="1"/>
  <c r="C720" i="4" s="1"/>
  <c r="C721" i="4" s="1"/>
  <c r="C722" i="4" s="1"/>
  <c r="C723" i="4" s="1"/>
  <c r="C724" i="4" s="1"/>
  <c r="C725" i="4" s="1"/>
  <c r="C726" i="4" s="1"/>
  <c r="C727" i="4" s="1"/>
  <c r="C728" i="4" s="1"/>
  <c r="C729" i="4" s="1"/>
  <c r="C730" i="4" s="1"/>
  <c r="C731" i="4" s="1"/>
  <c r="C732" i="4" s="1"/>
  <c r="C733" i="4" s="1"/>
  <c r="C734" i="4" s="1"/>
  <c r="C735" i="4" s="1"/>
  <c r="C736" i="4" s="1"/>
  <c r="C737" i="4" s="1"/>
  <c r="C738" i="4" s="1"/>
  <c r="C739" i="4" s="1"/>
  <c r="C740" i="4" s="1"/>
  <c r="C741" i="4" s="1"/>
  <c r="C742" i="4" s="1"/>
  <c r="C743" i="4" s="1"/>
  <c r="C744" i="4" s="1"/>
  <c r="C745" i="4" s="1"/>
  <c r="C746" i="4" s="1"/>
  <c r="C747" i="4" s="1"/>
  <c r="C748" i="4" s="1"/>
  <c r="C749" i="4" s="1"/>
  <c r="C750" i="4" s="1"/>
  <c r="C751" i="4" s="1"/>
  <c r="C752" i="4" s="1"/>
  <c r="C753" i="4" s="1"/>
  <c r="C754" i="4" s="1"/>
  <c r="C755" i="4" s="1"/>
  <c r="C756" i="4" s="1"/>
  <c r="C757" i="4" s="1"/>
  <c r="C758" i="4" s="1"/>
  <c r="C759" i="4" s="1"/>
  <c r="C760" i="4" s="1"/>
  <c r="C761" i="4" s="1"/>
  <c r="C762" i="4" s="1"/>
  <c r="C763" i="4" s="1"/>
  <c r="C764" i="4" s="1"/>
  <c r="C765" i="4" s="1"/>
  <c r="C766" i="4" s="1"/>
  <c r="C767" i="4" s="1"/>
  <c r="C768" i="4" s="1"/>
  <c r="C769" i="4" s="1"/>
  <c r="C770" i="4" s="1"/>
  <c r="C771" i="4" s="1"/>
  <c r="C772" i="4" s="1"/>
  <c r="C773" i="4" s="1"/>
  <c r="C774" i="4" s="1"/>
  <c r="C775" i="4" s="1"/>
  <c r="C776" i="4" s="1"/>
  <c r="C777" i="4" s="1"/>
  <c r="C778" i="4" s="1"/>
  <c r="C779" i="4" s="1"/>
  <c r="C780" i="4" s="1"/>
  <c r="C781" i="4" s="1"/>
  <c r="C782" i="4" s="1"/>
  <c r="C783" i="4" s="1"/>
  <c r="C784" i="4" s="1"/>
  <c r="C785" i="4" s="1"/>
  <c r="C786" i="4" s="1"/>
  <c r="C787" i="4" s="1"/>
  <c r="C788" i="4" s="1"/>
  <c r="C789" i="4" s="1"/>
  <c r="C790" i="4" s="1"/>
  <c r="C791" i="4" s="1"/>
  <c r="C792" i="4" s="1"/>
  <c r="C793" i="4" s="1"/>
  <c r="C794" i="4" s="1"/>
  <c r="C795" i="4" s="1"/>
  <c r="C796" i="4" s="1"/>
  <c r="C797" i="4" s="1"/>
  <c r="C798" i="4" s="1"/>
  <c r="C799" i="4" s="1"/>
  <c r="C800" i="4" s="1"/>
  <c r="C801" i="4" s="1"/>
  <c r="C802" i="4" s="1"/>
  <c r="C803" i="4" s="1"/>
  <c r="C804" i="4" s="1"/>
  <c r="C805" i="4" s="1"/>
  <c r="C806" i="4" s="1"/>
  <c r="C807" i="4" s="1"/>
  <c r="C808" i="4" s="1"/>
  <c r="C809" i="4" s="1"/>
  <c r="C810" i="4" s="1"/>
  <c r="C811" i="4" s="1"/>
  <c r="C812" i="4" s="1"/>
  <c r="C813" i="4" s="1"/>
  <c r="C814" i="4" s="1"/>
  <c r="C815" i="4" s="1"/>
  <c r="C816" i="4" s="1"/>
  <c r="C817" i="4" s="1"/>
  <c r="C818" i="4" s="1"/>
  <c r="C819" i="4" s="1"/>
  <c r="C820" i="4" s="1"/>
  <c r="C821" i="4" s="1"/>
  <c r="C822" i="4" s="1"/>
  <c r="C823" i="4" s="1"/>
  <c r="C824" i="4" s="1"/>
  <c r="C825" i="4" s="1"/>
  <c r="C826" i="4" s="1"/>
  <c r="C827" i="4" s="1"/>
  <c r="C828" i="4" s="1"/>
  <c r="C829" i="4" s="1"/>
  <c r="C830" i="4" s="1"/>
  <c r="C831" i="4" s="1"/>
  <c r="C832" i="4" s="1"/>
  <c r="C833" i="4" s="1"/>
  <c r="C834" i="4" s="1"/>
  <c r="C835" i="4" s="1"/>
  <c r="C836" i="4" s="1"/>
  <c r="C837" i="4" s="1"/>
  <c r="C838" i="4" s="1"/>
  <c r="C839" i="4" s="1"/>
  <c r="C840" i="4" s="1"/>
  <c r="C841" i="4" s="1"/>
  <c r="C842" i="4" s="1"/>
  <c r="C843" i="4" s="1"/>
  <c r="C844" i="4" s="1"/>
  <c r="C845" i="4" s="1"/>
  <c r="C846" i="4" s="1"/>
  <c r="C847" i="4" s="1"/>
  <c r="C848" i="4" s="1"/>
  <c r="C849" i="4" s="1"/>
  <c r="C850" i="4" s="1"/>
  <c r="C851" i="4" s="1"/>
  <c r="C852" i="4" s="1"/>
  <c r="C853" i="4" s="1"/>
  <c r="C854" i="4" s="1"/>
  <c r="C855" i="4" s="1"/>
  <c r="C856" i="4" s="1"/>
  <c r="C857" i="4" s="1"/>
  <c r="C858" i="4" s="1"/>
  <c r="C859" i="4" s="1"/>
  <c r="C860" i="4" s="1"/>
  <c r="C861" i="4" s="1"/>
  <c r="C862" i="4" s="1"/>
  <c r="C863" i="4" s="1"/>
  <c r="C864" i="4" s="1"/>
  <c r="C865" i="4" s="1"/>
  <c r="C866" i="4" s="1"/>
  <c r="C867" i="4" s="1"/>
  <c r="C868" i="4" s="1"/>
  <c r="C869" i="4" s="1"/>
  <c r="C870" i="4" s="1"/>
  <c r="C871" i="4" s="1"/>
  <c r="C872" i="4" s="1"/>
  <c r="C873" i="4" s="1"/>
  <c r="C874" i="4" s="1"/>
  <c r="C875" i="4" s="1"/>
  <c r="C876" i="4" s="1"/>
  <c r="C877" i="4" s="1"/>
  <c r="C878" i="4" s="1"/>
  <c r="C879" i="4" s="1"/>
  <c r="C880" i="4" s="1"/>
  <c r="C881" i="4" s="1"/>
  <c r="C882" i="4" s="1"/>
  <c r="C883" i="4" s="1"/>
  <c r="C884" i="4" s="1"/>
  <c r="C885" i="4" s="1"/>
  <c r="C886" i="4" s="1"/>
  <c r="C887" i="4" s="1"/>
  <c r="C888" i="4" s="1"/>
  <c r="C889" i="4" s="1"/>
  <c r="C890" i="4" s="1"/>
  <c r="C891" i="4" s="1"/>
  <c r="C892" i="4" s="1"/>
  <c r="C893" i="4" s="1"/>
  <c r="C894" i="4" s="1"/>
  <c r="C895" i="4" s="1"/>
  <c r="C896" i="4" s="1"/>
  <c r="C897" i="4" s="1"/>
  <c r="C898" i="4" s="1"/>
  <c r="C899" i="4" s="1"/>
  <c r="C900" i="4" s="1"/>
  <c r="C901" i="4" s="1"/>
  <c r="C902" i="4" s="1"/>
  <c r="C903" i="4" s="1"/>
  <c r="C904" i="4" s="1"/>
  <c r="C905" i="4" s="1"/>
  <c r="C906" i="4" s="1"/>
  <c r="C907" i="4" s="1"/>
  <c r="C908" i="4" s="1"/>
  <c r="C909" i="4" s="1"/>
  <c r="C910" i="4" s="1"/>
  <c r="C911" i="4" s="1"/>
  <c r="C912" i="4" s="1"/>
  <c r="C913" i="4" s="1"/>
  <c r="C914" i="4" s="1"/>
  <c r="C915" i="4" s="1"/>
  <c r="C916" i="4" s="1"/>
  <c r="C917" i="4" s="1"/>
  <c r="C918" i="4" s="1"/>
  <c r="C919" i="4" s="1"/>
  <c r="C920" i="4" s="1"/>
  <c r="C921" i="4" s="1"/>
  <c r="C922" i="4" s="1"/>
  <c r="C923" i="4" s="1"/>
  <c r="C924" i="4" s="1"/>
  <c r="C925" i="4" s="1"/>
  <c r="C926" i="4" s="1"/>
  <c r="C927" i="4" s="1"/>
  <c r="C928" i="4" s="1"/>
  <c r="C929" i="4" s="1"/>
  <c r="C930" i="4" s="1"/>
  <c r="C931" i="4" s="1"/>
  <c r="C932" i="4" s="1"/>
  <c r="C933" i="4" s="1"/>
  <c r="C934" i="4" s="1"/>
  <c r="C935" i="4" s="1"/>
  <c r="C936" i="4" s="1"/>
  <c r="C937" i="4" s="1"/>
  <c r="C938" i="4" s="1"/>
  <c r="C939" i="4" s="1"/>
  <c r="C940" i="4" s="1"/>
  <c r="C941" i="4" s="1"/>
  <c r="C942" i="4" s="1"/>
  <c r="C943" i="4" s="1"/>
  <c r="C944" i="4" s="1"/>
  <c r="C945" i="4" s="1"/>
  <c r="C946" i="4" s="1"/>
  <c r="C947" i="4" s="1"/>
  <c r="C948" i="4" s="1"/>
  <c r="C949" i="4" s="1"/>
  <c r="C950" i="4" s="1"/>
  <c r="C951" i="4" s="1"/>
  <c r="C952" i="4" s="1"/>
  <c r="C953" i="4" s="1"/>
  <c r="C954" i="4" s="1"/>
  <c r="C955" i="4" s="1"/>
  <c r="C956" i="4" s="1"/>
  <c r="C957" i="4" s="1"/>
  <c r="C958" i="4" s="1"/>
  <c r="C959" i="4" s="1"/>
  <c r="C960" i="4" s="1"/>
  <c r="C961" i="4" s="1"/>
  <c r="C962" i="4" s="1"/>
  <c r="C963" i="4" s="1"/>
  <c r="C964" i="4" s="1"/>
  <c r="C965" i="4" s="1"/>
  <c r="C966" i="4" s="1"/>
  <c r="C967" i="4" s="1"/>
  <c r="C968" i="4" s="1"/>
  <c r="C969" i="4" s="1"/>
  <c r="C970" i="4" s="1"/>
  <c r="C971" i="4" s="1"/>
  <c r="C972" i="4" s="1"/>
  <c r="C973" i="4" s="1"/>
  <c r="C974" i="4" s="1"/>
  <c r="C975" i="4" s="1"/>
  <c r="C976" i="4" s="1"/>
  <c r="C977" i="4" s="1"/>
  <c r="C978" i="4" s="1"/>
  <c r="C979" i="4" s="1"/>
  <c r="C980" i="4" s="1"/>
  <c r="C981" i="4" s="1"/>
  <c r="C982" i="4" s="1"/>
  <c r="C983" i="4" s="1"/>
  <c r="C984" i="4" s="1"/>
  <c r="C985" i="4" s="1"/>
  <c r="C986" i="4" s="1"/>
  <c r="C987" i="4" s="1"/>
  <c r="C988" i="4" s="1"/>
  <c r="C989" i="4" s="1"/>
  <c r="C990" i="4" s="1"/>
  <c r="C991" i="4" s="1"/>
  <c r="C992" i="4" s="1"/>
  <c r="C993" i="4" s="1"/>
  <c r="C994" i="4" s="1"/>
  <c r="C995" i="4" s="1"/>
  <c r="C996" i="4" s="1"/>
  <c r="C997" i="4" s="1"/>
  <c r="C998" i="4" s="1"/>
  <c r="C999" i="4" s="1"/>
  <c r="C1000" i="4" s="1"/>
  <c r="C1001" i="4" s="1"/>
  <c r="C1002" i="4" s="1"/>
  <c r="C1003" i="4" s="1"/>
  <c r="C1004" i="4" s="1"/>
  <c r="C1005" i="4" s="1"/>
  <c r="C1006" i="4" s="1"/>
  <c r="C1007" i="4" s="1"/>
  <c r="C1008" i="4" s="1"/>
  <c r="C1009" i="4" s="1"/>
  <c r="C1010" i="4" s="1"/>
  <c r="C1011" i="4" s="1"/>
  <c r="C1012" i="4" s="1"/>
  <c r="C1013" i="4" s="1"/>
  <c r="C1014" i="4" s="1"/>
  <c r="C1015" i="4" s="1"/>
  <c r="C1016" i="4" s="1"/>
  <c r="C1017" i="4" s="1"/>
  <c r="C1018" i="4" s="1"/>
  <c r="C1019" i="4" s="1"/>
  <c r="C1020" i="4" s="1"/>
  <c r="C1021" i="4" s="1"/>
  <c r="C1022" i="4" s="1"/>
  <c r="C1023" i="4" s="1"/>
  <c r="C1024" i="4" s="1"/>
  <c r="C1025" i="4" s="1"/>
  <c r="C1026" i="4" s="1"/>
  <c r="C1027" i="4" s="1"/>
  <c r="C1028" i="4" s="1"/>
  <c r="C1029" i="4" s="1"/>
  <c r="C1030" i="4" s="1"/>
  <c r="C1031" i="4" s="1"/>
  <c r="C1032" i="4" s="1"/>
  <c r="C1033" i="4" s="1"/>
  <c r="C1034" i="4" s="1"/>
  <c r="C1035" i="4" s="1"/>
  <c r="C1036" i="4" s="1"/>
  <c r="C1037" i="4" s="1"/>
  <c r="C1038" i="4" s="1"/>
  <c r="C1039" i="4" s="1"/>
  <c r="C1040" i="4" s="1"/>
  <c r="C1041" i="4" s="1"/>
  <c r="C1042" i="4" s="1"/>
  <c r="C1043" i="4" s="1"/>
  <c r="C1044" i="4" s="1"/>
  <c r="C1045" i="4" s="1"/>
  <c r="C1046" i="4" s="1"/>
  <c r="C1047" i="4" s="1"/>
  <c r="C1048" i="4" s="1"/>
  <c r="C1049" i="4" s="1"/>
  <c r="C1050" i="4" s="1"/>
  <c r="C1051" i="4" s="1"/>
  <c r="C1052" i="4" s="1"/>
  <c r="C1053" i="4" s="1"/>
  <c r="C1054" i="4" s="1"/>
  <c r="C1055" i="4" s="1"/>
  <c r="C1056" i="4" s="1"/>
  <c r="C1057" i="4" s="1"/>
  <c r="C1058" i="4" s="1"/>
  <c r="C1059" i="4" s="1"/>
  <c r="C1060" i="4" s="1"/>
  <c r="C1061" i="4" s="1"/>
  <c r="C1062" i="4" s="1"/>
  <c r="C1063" i="4" s="1"/>
  <c r="C1064" i="4" s="1"/>
  <c r="C1065" i="4" s="1"/>
  <c r="C1066" i="4" s="1"/>
  <c r="C1067" i="4" s="1"/>
  <c r="C1068" i="4" s="1"/>
  <c r="C1069" i="4" s="1"/>
  <c r="C1070" i="4" s="1"/>
  <c r="C1071" i="4" s="1"/>
  <c r="C1072" i="4" s="1"/>
  <c r="C1073" i="4" s="1"/>
  <c r="C1074" i="4" s="1"/>
  <c r="C1075" i="4" s="1"/>
  <c r="C1076" i="4" s="1"/>
  <c r="C1077" i="4" s="1"/>
  <c r="C1078" i="4" s="1"/>
  <c r="C1079" i="4" s="1"/>
  <c r="C1080" i="4" s="1"/>
  <c r="C1081" i="4" s="1"/>
  <c r="C1082" i="4" s="1"/>
  <c r="C1083" i="4" s="1"/>
  <c r="C1084" i="4" s="1"/>
  <c r="C1085" i="4" s="1"/>
  <c r="C1086" i="4" s="1"/>
  <c r="C1087" i="4" s="1"/>
  <c r="C1088" i="4" s="1"/>
  <c r="C1089" i="4" s="1"/>
  <c r="C1090" i="4" s="1"/>
  <c r="C1091" i="4" s="1"/>
  <c r="C1092" i="4" s="1"/>
  <c r="C1093" i="4" s="1"/>
  <c r="C1094" i="4" s="1"/>
  <c r="C1095" i="4" s="1"/>
  <c r="C1096" i="4" s="1"/>
  <c r="C1097" i="4" s="1"/>
  <c r="C1098" i="4" s="1"/>
  <c r="C1099" i="4" s="1"/>
  <c r="C1100" i="4" s="1"/>
  <c r="C1101" i="4" s="1"/>
  <c r="C1102" i="4" s="1"/>
  <c r="C1103" i="4" s="1"/>
  <c r="C1104" i="4" s="1"/>
  <c r="C1105" i="4" s="1"/>
  <c r="C1106" i="4" s="1"/>
  <c r="C1107" i="4" s="1"/>
  <c r="C1108" i="4" s="1"/>
  <c r="C1109" i="4" s="1"/>
  <c r="C1110" i="4" s="1"/>
  <c r="C1111" i="4" s="1"/>
  <c r="D408" i="4"/>
  <c r="E220" i="4"/>
  <c r="F220" i="4" s="1"/>
  <c r="J219" i="4"/>
  <c r="R219" i="4" s="1"/>
  <c r="S219" i="4" s="1"/>
  <c r="D219" i="4"/>
  <c r="E760" i="4"/>
  <c r="D759" i="4"/>
  <c r="E975" i="4"/>
  <c r="D1088" i="4"/>
  <c r="E1089" i="4"/>
  <c r="D941" i="4"/>
  <c r="E942" i="4"/>
  <c r="E827" i="4"/>
  <c r="D826" i="4"/>
  <c r="D695" i="4"/>
  <c r="E696" i="4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K59" i="1"/>
  <c r="AJ59" i="1"/>
  <c r="AI59" i="1"/>
  <c r="AH59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K32" i="1"/>
  <c r="AJ32" i="1"/>
  <c r="AI32" i="1"/>
  <c r="AH32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5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6" i="1"/>
  <c r="AK5" i="1"/>
  <c r="D36" i="3"/>
  <c r="J28" i="1"/>
  <c r="I27" i="1"/>
  <c r="E53" i="1"/>
  <c r="E54" i="1"/>
  <c r="E52" i="1"/>
  <c r="C68" i="1" s="1"/>
  <c r="Q3" i="4" s="1"/>
  <c r="C59" i="1"/>
  <c r="C58" i="1"/>
  <c r="E55" i="1"/>
  <c r="E51" i="1"/>
  <c r="C46" i="1"/>
  <c r="C47" i="1" s="1"/>
  <c r="C35" i="1"/>
  <c r="C37" i="1" s="1"/>
  <c r="C38" i="1" s="1"/>
  <c r="C32" i="1"/>
  <c r="C27" i="1"/>
  <c r="C26" i="1"/>
  <c r="C20" i="1"/>
  <c r="C12" i="1"/>
  <c r="R3" i="4" l="1"/>
  <c r="S3" i="4" s="1"/>
  <c r="R218" i="4"/>
  <c r="S218" i="4" s="1"/>
  <c r="R217" i="4"/>
  <c r="S217" i="4" s="1"/>
  <c r="T219" i="4"/>
  <c r="U219" i="4" s="1"/>
  <c r="V219" i="4" s="1"/>
  <c r="W219" i="4" s="1"/>
  <c r="T85" i="4"/>
  <c r="U85" i="4" s="1"/>
  <c r="V85" i="4" s="1"/>
  <c r="W85" i="4" s="1"/>
  <c r="T39" i="4"/>
  <c r="U39" i="4" s="1"/>
  <c r="V39" i="4" s="1"/>
  <c r="W39" i="4" s="1"/>
  <c r="T138" i="4"/>
  <c r="U138" i="4" s="1"/>
  <c r="V138" i="4" s="1"/>
  <c r="W138" i="4" s="1"/>
  <c r="T67" i="4"/>
  <c r="U67" i="4" s="1"/>
  <c r="V67" i="4" s="1"/>
  <c r="W67" i="4" s="1"/>
  <c r="T22" i="4"/>
  <c r="U22" i="4" s="1"/>
  <c r="V22" i="4" s="1"/>
  <c r="W22" i="4" s="1"/>
  <c r="T24" i="4"/>
  <c r="U24" i="4" s="1"/>
  <c r="V24" i="4" s="1"/>
  <c r="W24" i="4" s="1"/>
  <c r="T153" i="4"/>
  <c r="U153" i="4" s="1"/>
  <c r="V153" i="4" s="1"/>
  <c r="W153" i="4" s="1"/>
  <c r="T43" i="4"/>
  <c r="U43" i="4" s="1"/>
  <c r="V43" i="4" s="1"/>
  <c r="W43" i="4" s="1"/>
  <c r="T127" i="4"/>
  <c r="U127" i="4" s="1"/>
  <c r="V127" i="4" s="1"/>
  <c r="W127" i="4" s="1"/>
  <c r="T139" i="4"/>
  <c r="U139" i="4" s="1"/>
  <c r="V139" i="4" s="1"/>
  <c r="W139" i="4" s="1"/>
  <c r="T117" i="4"/>
  <c r="U117" i="4" s="1"/>
  <c r="V117" i="4" s="1"/>
  <c r="W117" i="4" s="1"/>
  <c r="T48" i="4"/>
  <c r="U48" i="4" s="1"/>
  <c r="V48" i="4" s="1"/>
  <c r="W48" i="4" s="1"/>
  <c r="T207" i="4"/>
  <c r="U207" i="4" s="1"/>
  <c r="V207" i="4" s="1"/>
  <c r="W207" i="4" s="1"/>
  <c r="T58" i="4"/>
  <c r="U58" i="4" s="1"/>
  <c r="V58" i="4" s="1"/>
  <c r="W58" i="4" s="1"/>
  <c r="T76" i="4"/>
  <c r="U76" i="4" s="1"/>
  <c r="V76" i="4" s="1"/>
  <c r="W76" i="4" s="1"/>
  <c r="T29" i="4"/>
  <c r="U29" i="4" s="1"/>
  <c r="V29" i="4" s="1"/>
  <c r="W29" i="4" s="1"/>
  <c r="T154" i="4"/>
  <c r="U154" i="4" s="1"/>
  <c r="V154" i="4" s="1"/>
  <c r="W154" i="4" s="1"/>
  <c r="T68" i="4"/>
  <c r="U68" i="4" s="1"/>
  <c r="V68" i="4" s="1"/>
  <c r="W68" i="4" s="1"/>
  <c r="T211" i="4"/>
  <c r="U211" i="4" s="1"/>
  <c r="V211" i="4" s="1"/>
  <c r="W211" i="4" s="1"/>
  <c r="T14" i="4"/>
  <c r="U14" i="4" s="1"/>
  <c r="V14" i="4" s="1"/>
  <c r="W14" i="4" s="1"/>
  <c r="T158" i="4"/>
  <c r="U158" i="4" s="1"/>
  <c r="V158" i="4" s="1"/>
  <c r="W158" i="4" s="1"/>
  <c r="T128" i="4"/>
  <c r="U128" i="4" s="1"/>
  <c r="V128" i="4" s="1"/>
  <c r="W128" i="4" s="1"/>
  <c r="T147" i="4"/>
  <c r="U147" i="4" s="1"/>
  <c r="V147" i="4" s="1"/>
  <c r="W147" i="4" s="1"/>
  <c r="T156" i="4"/>
  <c r="U156" i="4" s="1"/>
  <c r="V156" i="4" s="1"/>
  <c r="W156" i="4" s="1"/>
  <c r="T210" i="4"/>
  <c r="U210" i="4" s="1"/>
  <c r="V210" i="4" s="1"/>
  <c r="W210" i="4" s="1"/>
  <c r="T17" i="4"/>
  <c r="U17" i="4" s="1"/>
  <c r="V17" i="4" s="1"/>
  <c r="W17" i="4" s="1"/>
  <c r="T77" i="4"/>
  <c r="U77" i="4" s="1"/>
  <c r="V77" i="4" s="1"/>
  <c r="W77" i="4" s="1"/>
  <c r="T47" i="4"/>
  <c r="U47" i="4" s="1"/>
  <c r="V47" i="4" s="1"/>
  <c r="W47" i="4" s="1"/>
  <c r="T62" i="4"/>
  <c r="U62" i="4" s="1"/>
  <c r="V62" i="4" s="1"/>
  <c r="W62" i="4" s="1"/>
  <c r="T42" i="4"/>
  <c r="U42" i="4" s="1"/>
  <c r="V42" i="4" s="1"/>
  <c r="W42" i="4" s="1"/>
  <c r="T136" i="4"/>
  <c r="U136" i="4" s="1"/>
  <c r="V136" i="4" s="1"/>
  <c r="W136" i="4" s="1"/>
  <c r="T143" i="4"/>
  <c r="U143" i="4" s="1"/>
  <c r="V143" i="4" s="1"/>
  <c r="W143" i="4" s="1"/>
  <c r="T37" i="4"/>
  <c r="U37" i="4" s="1"/>
  <c r="V37" i="4" s="1"/>
  <c r="W37" i="4" s="1"/>
  <c r="T65" i="4"/>
  <c r="U65" i="4" s="1"/>
  <c r="V65" i="4" s="1"/>
  <c r="W65" i="4" s="1"/>
  <c r="T216" i="4"/>
  <c r="U216" i="4" s="1"/>
  <c r="V216" i="4" s="1"/>
  <c r="W216" i="4" s="1"/>
  <c r="T19" i="4"/>
  <c r="U19" i="4" s="1"/>
  <c r="V19" i="4" s="1"/>
  <c r="W19" i="4" s="1"/>
  <c r="T95" i="4"/>
  <c r="U95" i="4" s="1"/>
  <c r="V95" i="4" s="1"/>
  <c r="W95" i="4" s="1"/>
  <c r="T57" i="4"/>
  <c r="U57" i="4" s="1"/>
  <c r="V57" i="4" s="1"/>
  <c r="W57" i="4" s="1"/>
  <c r="T150" i="4"/>
  <c r="U150" i="4" s="1"/>
  <c r="V150" i="4" s="1"/>
  <c r="W150" i="4" s="1"/>
  <c r="T21" i="4"/>
  <c r="U21" i="4" s="1"/>
  <c r="V21" i="4" s="1"/>
  <c r="W21" i="4" s="1"/>
  <c r="T49" i="4"/>
  <c r="U49" i="4" s="1"/>
  <c r="V49" i="4" s="1"/>
  <c r="W49" i="4" s="1"/>
  <c r="T157" i="4"/>
  <c r="U157" i="4" s="1"/>
  <c r="V157" i="4" s="1"/>
  <c r="W157" i="4" s="1"/>
  <c r="T79" i="4"/>
  <c r="U79" i="4" s="1"/>
  <c r="V79" i="4" s="1"/>
  <c r="W79" i="4" s="1"/>
  <c r="T41" i="4"/>
  <c r="U41" i="4" s="1"/>
  <c r="V41" i="4" s="1"/>
  <c r="W41" i="4" s="1"/>
  <c r="T208" i="4"/>
  <c r="U208" i="4" s="1"/>
  <c r="V208" i="4" s="1"/>
  <c r="W208" i="4" s="1"/>
  <c r="T94" i="4"/>
  <c r="U94" i="4" s="1"/>
  <c r="V94" i="4" s="1"/>
  <c r="W94" i="4" s="1"/>
  <c r="T135" i="4"/>
  <c r="U135" i="4" s="1"/>
  <c r="V135" i="4" s="1"/>
  <c r="W135" i="4" s="1"/>
  <c r="T146" i="4"/>
  <c r="U146" i="4" s="1"/>
  <c r="V146" i="4" s="1"/>
  <c r="W146" i="4" s="1"/>
  <c r="T118" i="4"/>
  <c r="U118" i="4" s="1"/>
  <c r="V118" i="4" s="1"/>
  <c r="W118" i="4" s="1"/>
  <c r="T87" i="4"/>
  <c r="U87" i="4" s="1"/>
  <c r="V87" i="4" s="1"/>
  <c r="W87" i="4" s="1"/>
  <c r="T206" i="4"/>
  <c r="U206" i="4" s="1"/>
  <c r="V206" i="4" s="1"/>
  <c r="W206" i="4" s="1"/>
  <c r="T72" i="4"/>
  <c r="U72" i="4" s="1"/>
  <c r="V72" i="4" s="1"/>
  <c r="W72" i="4" s="1"/>
  <c r="T34" i="4"/>
  <c r="U34" i="4" s="1"/>
  <c r="V34" i="4" s="1"/>
  <c r="W34" i="4" s="1"/>
  <c r="T91" i="4"/>
  <c r="U91" i="4" s="1"/>
  <c r="V91" i="4" s="1"/>
  <c r="W91" i="4" s="1"/>
  <c r="T134" i="4"/>
  <c r="U134" i="4" s="1"/>
  <c r="V134" i="4" s="1"/>
  <c r="W134" i="4" s="1"/>
  <c r="T125" i="4"/>
  <c r="U125" i="4" s="1"/>
  <c r="V125" i="4" s="1"/>
  <c r="W125" i="4" s="1"/>
  <c r="T116" i="4"/>
  <c r="U116" i="4" s="1"/>
  <c r="V116" i="4" s="1"/>
  <c r="W116" i="4" s="1"/>
  <c r="T121" i="4"/>
  <c r="U121" i="4" s="1"/>
  <c r="V121" i="4" s="1"/>
  <c r="W121" i="4" s="1"/>
  <c r="T32" i="4"/>
  <c r="U32" i="4" s="1"/>
  <c r="V32" i="4" s="1"/>
  <c r="W32" i="4" s="1"/>
  <c r="T60" i="4"/>
  <c r="U60" i="4" s="1"/>
  <c r="V60" i="4" s="1"/>
  <c r="W60" i="4" s="1"/>
  <c r="T82" i="4"/>
  <c r="U82" i="4" s="1"/>
  <c r="V82" i="4" s="1"/>
  <c r="W82" i="4" s="1"/>
  <c r="T52" i="4"/>
  <c r="U52" i="4" s="1"/>
  <c r="V52" i="4" s="1"/>
  <c r="W52" i="4" s="1"/>
  <c r="T86" i="4"/>
  <c r="U86" i="4" s="1"/>
  <c r="V86" i="4" s="1"/>
  <c r="W86" i="4" s="1"/>
  <c r="T120" i="4"/>
  <c r="U120" i="4" s="1"/>
  <c r="V120" i="4" s="1"/>
  <c r="W120" i="4" s="1"/>
  <c r="T80" i="4"/>
  <c r="U80" i="4" s="1"/>
  <c r="V80" i="4" s="1"/>
  <c r="W80" i="4" s="1"/>
  <c r="T152" i="4"/>
  <c r="U152" i="4" s="1"/>
  <c r="V152" i="4" s="1"/>
  <c r="W152" i="4" s="1"/>
  <c r="T61" i="4"/>
  <c r="U61" i="4" s="1"/>
  <c r="V61" i="4" s="1"/>
  <c r="W61" i="4" s="1"/>
  <c r="T31" i="4"/>
  <c r="U31" i="4" s="1"/>
  <c r="V31" i="4" s="1"/>
  <c r="W31" i="4" s="1"/>
  <c r="T160" i="4"/>
  <c r="U160" i="4" s="1"/>
  <c r="V160" i="4" s="1"/>
  <c r="W160" i="4" s="1"/>
  <c r="T46" i="4"/>
  <c r="U46" i="4" s="1"/>
  <c r="V46" i="4" s="1"/>
  <c r="W46" i="4" s="1"/>
  <c r="T26" i="4"/>
  <c r="U26" i="4" s="1"/>
  <c r="V26" i="4" s="1"/>
  <c r="W26" i="4" s="1"/>
  <c r="T131" i="4"/>
  <c r="U131" i="4" s="1"/>
  <c r="V131" i="4" s="1"/>
  <c r="W131" i="4" s="1"/>
  <c r="T140" i="4"/>
  <c r="U140" i="4" s="1"/>
  <c r="V140" i="4" s="1"/>
  <c r="W140" i="4" s="1"/>
  <c r="T144" i="4"/>
  <c r="U144" i="4" s="1"/>
  <c r="V144" i="4" s="1"/>
  <c r="W144" i="4" s="1"/>
  <c r="T64" i="4"/>
  <c r="U64" i="4" s="1"/>
  <c r="V64" i="4" s="1"/>
  <c r="W64" i="4" s="1"/>
  <c r="T90" i="4"/>
  <c r="U90" i="4" s="1"/>
  <c r="V90" i="4" s="1"/>
  <c r="W90" i="4" s="1"/>
  <c r="T92" i="4"/>
  <c r="U92" i="4" s="1"/>
  <c r="V92" i="4" s="1"/>
  <c r="W92" i="4" s="1"/>
  <c r="T45" i="4"/>
  <c r="U45" i="4" s="1"/>
  <c r="V45" i="4" s="1"/>
  <c r="W45" i="4" s="1"/>
  <c r="T212" i="4"/>
  <c r="U212" i="4" s="1"/>
  <c r="V212" i="4" s="1"/>
  <c r="W212" i="4" s="1"/>
  <c r="T15" i="4"/>
  <c r="U15" i="4" s="1"/>
  <c r="V15" i="4" s="1"/>
  <c r="W15" i="4" s="1"/>
  <c r="T84" i="4"/>
  <c r="U84" i="4" s="1"/>
  <c r="V84" i="4" s="1"/>
  <c r="W84" i="4" s="1"/>
  <c r="T30" i="4"/>
  <c r="U30" i="4" s="1"/>
  <c r="V30" i="4" s="1"/>
  <c r="W30" i="4" s="1"/>
  <c r="T133" i="4"/>
  <c r="U133" i="4" s="1"/>
  <c r="V133" i="4" s="1"/>
  <c r="W133" i="4" s="1"/>
  <c r="T141" i="4"/>
  <c r="U141" i="4" s="1"/>
  <c r="V141" i="4" s="1"/>
  <c r="W141" i="4" s="1"/>
  <c r="T69" i="4"/>
  <c r="U69" i="4" s="1"/>
  <c r="V69" i="4" s="1"/>
  <c r="W69" i="4" s="1"/>
  <c r="T23" i="4"/>
  <c r="U23" i="4" s="1"/>
  <c r="V23" i="4" s="1"/>
  <c r="W23" i="4" s="1"/>
  <c r="T161" i="4"/>
  <c r="U161" i="4" s="1"/>
  <c r="V161" i="4" s="1"/>
  <c r="W161" i="4" s="1"/>
  <c r="T51" i="4"/>
  <c r="U51" i="4" s="1"/>
  <c r="V51" i="4" s="1"/>
  <c r="W51" i="4" s="1"/>
  <c r="T18" i="4"/>
  <c r="U18" i="4" s="1"/>
  <c r="V18" i="4" s="1"/>
  <c r="W18" i="4" s="1"/>
  <c r="T205" i="4"/>
  <c r="U205" i="4" s="1"/>
  <c r="V205" i="4" s="1"/>
  <c r="W205" i="4" s="1"/>
  <c r="T89" i="4"/>
  <c r="U89" i="4" s="1"/>
  <c r="V89" i="4" s="1"/>
  <c r="W89" i="4" s="1"/>
  <c r="T27" i="4"/>
  <c r="U27" i="4" s="1"/>
  <c r="V27" i="4" s="1"/>
  <c r="W27" i="4" s="1"/>
  <c r="T137" i="4"/>
  <c r="U137" i="4" s="1"/>
  <c r="V137" i="4" s="1"/>
  <c r="W137" i="4" s="1"/>
  <c r="T113" i="4"/>
  <c r="U113" i="4" s="1"/>
  <c r="V113" i="4" s="1"/>
  <c r="W113" i="4" s="1"/>
  <c r="T122" i="4"/>
  <c r="U122" i="4" s="1"/>
  <c r="V122" i="4" s="1"/>
  <c r="W122" i="4" s="1"/>
  <c r="T71" i="4"/>
  <c r="U71" i="4" s="1"/>
  <c r="V71" i="4" s="1"/>
  <c r="W71" i="4" s="1"/>
  <c r="T209" i="4"/>
  <c r="U209" i="4" s="1"/>
  <c r="V209" i="4" s="1"/>
  <c r="W209" i="4" s="1"/>
  <c r="T155" i="4"/>
  <c r="U155" i="4" s="1"/>
  <c r="V155" i="4" s="1"/>
  <c r="W155" i="4" s="1"/>
  <c r="T56" i="4"/>
  <c r="U56" i="4" s="1"/>
  <c r="V56" i="4" s="1"/>
  <c r="W56" i="4" s="1"/>
  <c r="T215" i="4"/>
  <c r="U215" i="4" s="1"/>
  <c r="V215" i="4" s="1"/>
  <c r="W215" i="4" s="1"/>
  <c r="T124" i="4"/>
  <c r="U124" i="4" s="1"/>
  <c r="V124" i="4" s="1"/>
  <c r="W124" i="4" s="1"/>
  <c r="T75" i="4"/>
  <c r="U75" i="4" s="1"/>
  <c r="V75" i="4" s="1"/>
  <c r="W75" i="4" s="1"/>
  <c r="T132" i="4"/>
  <c r="U132" i="4" s="1"/>
  <c r="V132" i="4" s="1"/>
  <c r="W132" i="4" s="1"/>
  <c r="T142" i="4"/>
  <c r="U142" i="4" s="1"/>
  <c r="V142" i="4" s="1"/>
  <c r="W142" i="4" s="1"/>
  <c r="T123" i="4"/>
  <c r="U123" i="4" s="1"/>
  <c r="V123" i="4" s="1"/>
  <c r="W123" i="4" s="1"/>
  <c r="T213" i="4"/>
  <c r="U213" i="4" s="1"/>
  <c r="V213" i="4" s="1"/>
  <c r="W213" i="4" s="1"/>
  <c r="T16" i="4"/>
  <c r="U16" i="4" s="1"/>
  <c r="V16" i="4" s="1"/>
  <c r="W16" i="4" s="1"/>
  <c r="T44" i="4"/>
  <c r="U44" i="4" s="1"/>
  <c r="V44" i="4" s="1"/>
  <c r="W44" i="4" s="1"/>
  <c r="T66" i="4"/>
  <c r="U66" i="4" s="1"/>
  <c r="V66" i="4" s="1"/>
  <c r="W66" i="4" s="1"/>
  <c r="T36" i="4"/>
  <c r="U36" i="4" s="1"/>
  <c r="V36" i="4" s="1"/>
  <c r="W36" i="4" s="1"/>
  <c r="T54" i="4"/>
  <c r="U54" i="4" s="1"/>
  <c r="V54" i="4" s="1"/>
  <c r="W54" i="4" s="1"/>
  <c r="T148" i="4"/>
  <c r="U148" i="4" s="1"/>
  <c r="V148" i="4" s="1"/>
  <c r="W148" i="4" s="1"/>
  <c r="T115" i="4"/>
  <c r="U115" i="4" s="1"/>
  <c r="V115" i="4" s="1"/>
  <c r="W115" i="4" s="1"/>
  <c r="P3" i="4"/>
  <c r="T159" i="4"/>
  <c r="U159" i="4" s="1"/>
  <c r="V159" i="4" s="1"/>
  <c r="W159" i="4" s="1"/>
  <c r="T28" i="4"/>
  <c r="U28" i="4" s="1"/>
  <c r="V28" i="4" s="1"/>
  <c r="W28" i="4" s="1"/>
  <c r="T88" i="4"/>
  <c r="U88" i="4" s="1"/>
  <c r="V88" i="4" s="1"/>
  <c r="W88" i="4" s="1"/>
  <c r="T50" i="4"/>
  <c r="U50" i="4" s="1"/>
  <c r="V50" i="4" s="1"/>
  <c r="W50" i="4" s="1"/>
  <c r="T20" i="4"/>
  <c r="U20" i="4" s="1"/>
  <c r="V20" i="4" s="1"/>
  <c r="W20" i="4" s="1"/>
  <c r="T33" i="4"/>
  <c r="U33" i="4" s="1"/>
  <c r="V33" i="4" s="1"/>
  <c r="W33" i="4" s="1"/>
  <c r="T93" i="4"/>
  <c r="U93" i="4" s="1"/>
  <c r="V93" i="4" s="1"/>
  <c r="W93" i="4" s="1"/>
  <c r="T63" i="4"/>
  <c r="U63" i="4" s="1"/>
  <c r="V63" i="4" s="1"/>
  <c r="W63" i="4" s="1"/>
  <c r="T25" i="4"/>
  <c r="U25" i="4" s="1"/>
  <c r="V25" i="4" s="1"/>
  <c r="W25" i="4" s="1"/>
  <c r="T78" i="4"/>
  <c r="U78" i="4" s="1"/>
  <c r="V78" i="4" s="1"/>
  <c r="W78" i="4" s="1"/>
  <c r="T74" i="4"/>
  <c r="U74" i="4" s="1"/>
  <c r="V74" i="4" s="1"/>
  <c r="W74" i="4" s="1"/>
  <c r="T129" i="4"/>
  <c r="U129" i="4" s="1"/>
  <c r="V129" i="4" s="1"/>
  <c r="W129" i="4" s="1"/>
  <c r="T114" i="4"/>
  <c r="U114" i="4" s="1"/>
  <c r="V114" i="4" s="1"/>
  <c r="W114" i="4" s="1"/>
  <c r="T119" i="4"/>
  <c r="U119" i="4" s="1"/>
  <c r="V119" i="4" s="1"/>
  <c r="W119" i="4" s="1"/>
  <c r="T53" i="4"/>
  <c r="U53" i="4" s="1"/>
  <c r="V53" i="4" s="1"/>
  <c r="W53" i="4" s="1"/>
  <c r="T81" i="4"/>
  <c r="U81" i="4" s="1"/>
  <c r="V81" i="4" s="1"/>
  <c r="W81" i="4" s="1"/>
  <c r="T35" i="4"/>
  <c r="U35" i="4" s="1"/>
  <c r="V35" i="4" s="1"/>
  <c r="W35" i="4" s="1"/>
  <c r="T151" i="4"/>
  <c r="U151" i="4" s="1"/>
  <c r="V151" i="4" s="1"/>
  <c r="W151" i="4" s="1"/>
  <c r="T73" i="4"/>
  <c r="U73" i="4" s="1"/>
  <c r="V73" i="4" s="1"/>
  <c r="W73" i="4" s="1"/>
  <c r="T130" i="4"/>
  <c r="U130" i="4" s="1"/>
  <c r="V130" i="4" s="1"/>
  <c r="W130" i="4" s="1"/>
  <c r="T149" i="4"/>
  <c r="U149" i="4" s="1"/>
  <c r="V149" i="4" s="1"/>
  <c r="W149" i="4" s="1"/>
  <c r="T55" i="4"/>
  <c r="U55" i="4" s="1"/>
  <c r="V55" i="4" s="1"/>
  <c r="W55" i="4" s="1"/>
  <c r="T38" i="4"/>
  <c r="U38" i="4" s="1"/>
  <c r="V38" i="4" s="1"/>
  <c r="W38" i="4" s="1"/>
  <c r="T83" i="4"/>
  <c r="U83" i="4" s="1"/>
  <c r="V83" i="4" s="1"/>
  <c r="W83" i="4" s="1"/>
  <c r="T70" i="4"/>
  <c r="U70" i="4" s="1"/>
  <c r="V70" i="4" s="1"/>
  <c r="W70" i="4" s="1"/>
  <c r="T40" i="4"/>
  <c r="U40" i="4" s="1"/>
  <c r="V40" i="4" s="1"/>
  <c r="W40" i="4" s="1"/>
  <c r="T59" i="4"/>
  <c r="U59" i="4" s="1"/>
  <c r="V59" i="4" s="1"/>
  <c r="W59" i="4" s="1"/>
  <c r="T214" i="4"/>
  <c r="U214" i="4" s="1"/>
  <c r="V214" i="4" s="1"/>
  <c r="W214" i="4" s="1"/>
  <c r="T126" i="4"/>
  <c r="U126" i="4" s="1"/>
  <c r="V126" i="4" s="1"/>
  <c r="W126" i="4" s="1"/>
  <c r="T145" i="4"/>
  <c r="U145" i="4" s="1"/>
  <c r="V145" i="4" s="1"/>
  <c r="W145" i="4" s="1"/>
  <c r="P21" i="4"/>
  <c r="P188" i="4"/>
  <c r="P49" i="4"/>
  <c r="P200" i="4"/>
  <c r="P157" i="4"/>
  <c r="P79" i="4"/>
  <c r="P41" i="4"/>
  <c r="P208" i="4"/>
  <c r="P94" i="4"/>
  <c r="P178" i="4"/>
  <c r="P135" i="4"/>
  <c r="P100" i="4"/>
  <c r="P146" i="4"/>
  <c r="P118" i="4"/>
  <c r="P181" i="4"/>
  <c r="P87" i="4"/>
  <c r="P206" i="4"/>
  <c r="P12" i="4"/>
  <c r="P171" i="4"/>
  <c r="P72" i="4"/>
  <c r="P34" i="4"/>
  <c r="P201" i="4"/>
  <c r="P91" i="4"/>
  <c r="P134" i="4"/>
  <c r="P125" i="4"/>
  <c r="P116" i="4"/>
  <c r="P121" i="4"/>
  <c r="P32" i="4"/>
  <c r="P191" i="4"/>
  <c r="P10" i="4"/>
  <c r="P60" i="4"/>
  <c r="P13" i="4"/>
  <c r="P180" i="4"/>
  <c r="P82" i="4"/>
  <c r="P52" i="4"/>
  <c r="P195" i="4"/>
  <c r="P86" i="4"/>
  <c r="P101" i="4"/>
  <c r="P120" i="4"/>
  <c r="P80" i="4"/>
  <c r="P162" i="4"/>
  <c r="P152" i="4"/>
  <c r="P61" i="4"/>
  <c r="P31" i="4"/>
  <c r="P186" i="4"/>
  <c r="P160" i="4"/>
  <c r="P46" i="4"/>
  <c r="P26" i="4"/>
  <c r="P131" i="4"/>
  <c r="P140" i="4"/>
  <c r="P144" i="4"/>
  <c r="P107" i="4"/>
  <c r="P110" i="4"/>
  <c r="P64" i="4"/>
  <c r="P90" i="4"/>
  <c r="P92" i="4"/>
  <c r="P45" i="4"/>
  <c r="P212" i="4"/>
  <c r="P15" i="4"/>
  <c r="P170" i="4"/>
  <c r="P84" i="4"/>
  <c r="P30" i="4"/>
  <c r="P133" i="4"/>
  <c r="P141" i="4"/>
  <c r="P69" i="4"/>
  <c r="P23" i="4"/>
  <c r="P161" i="4"/>
  <c r="P51" i="4"/>
  <c r="P18" i="4"/>
  <c r="P205" i="4"/>
  <c r="P8" i="4"/>
  <c r="P167" i="4"/>
  <c r="P89" i="4"/>
  <c r="P27" i="4"/>
  <c r="P182" i="4"/>
  <c r="P137" i="4"/>
  <c r="P99" i="4"/>
  <c r="P113" i="4"/>
  <c r="P122" i="4"/>
  <c r="P165" i="4"/>
  <c r="P71" i="4"/>
  <c r="P174" i="4"/>
  <c r="P209" i="4"/>
  <c r="P155" i="4"/>
  <c r="P190" i="4"/>
  <c r="P56" i="4"/>
  <c r="P215" i="4"/>
  <c r="P124" i="4"/>
  <c r="P185" i="4"/>
  <c r="P75" i="4"/>
  <c r="P132" i="4"/>
  <c r="P142" i="4"/>
  <c r="P105" i="4"/>
  <c r="P108" i="4"/>
  <c r="P112" i="4"/>
  <c r="P123" i="4"/>
  <c r="P213" i="4"/>
  <c r="P16" i="4"/>
  <c r="P175" i="4"/>
  <c r="P44" i="4"/>
  <c r="P203" i="4"/>
  <c r="P4" i="4"/>
  <c r="P164" i="4"/>
  <c r="P66" i="4"/>
  <c r="P36" i="4"/>
  <c r="P179" i="4"/>
  <c r="P54" i="4"/>
  <c r="P97" i="4"/>
  <c r="P104" i="4"/>
  <c r="P148" i="4"/>
  <c r="P115" i="4"/>
  <c r="P197" i="4"/>
  <c r="P159" i="4"/>
  <c r="P28" i="4"/>
  <c r="P187" i="4"/>
  <c r="P88" i="4"/>
  <c r="P50" i="4"/>
  <c r="P20" i="4"/>
  <c r="P163" i="4"/>
  <c r="P6" i="4"/>
  <c r="P98" i="4"/>
  <c r="P5" i="4"/>
  <c r="P172" i="4"/>
  <c r="P33" i="4"/>
  <c r="P184" i="4"/>
  <c r="P93" i="4"/>
  <c r="P63" i="4"/>
  <c r="P25" i="4"/>
  <c r="P192" i="4"/>
  <c r="P78" i="4"/>
  <c r="P74" i="4"/>
  <c r="P129" i="4"/>
  <c r="P106" i="4"/>
  <c r="P114" i="4"/>
  <c r="P119" i="4"/>
  <c r="P53" i="4"/>
  <c r="P7" i="4"/>
  <c r="P81" i="4"/>
  <c r="P35" i="4"/>
  <c r="P189" i="4"/>
  <c r="P151" i="4"/>
  <c r="P73" i="4"/>
  <c r="P11" i="4"/>
  <c r="P166" i="4"/>
  <c r="P130" i="4"/>
  <c r="P103" i="4"/>
  <c r="P149" i="4"/>
  <c r="P55" i="4"/>
  <c r="P38" i="4"/>
  <c r="P193" i="4"/>
  <c r="P83" i="4"/>
  <c r="P70" i="4"/>
  <c r="P40" i="4"/>
  <c r="P199" i="4"/>
  <c r="P96" i="4"/>
  <c r="P169" i="4"/>
  <c r="P59" i="4"/>
  <c r="P214" i="4"/>
  <c r="P126" i="4"/>
  <c r="P102" i="4"/>
  <c r="P145" i="4"/>
  <c r="P219" i="4"/>
  <c r="P85" i="4"/>
  <c r="P39" i="4"/>
  <c r="P138" i="4"/>
  <c r="P177" i="4"/>
  <c r="P67" i="4"/>
  <c r="P22" i="4"/>
  <c r="P24" i="4"/>
  <c r="P183" i="4"/>
  <c r="P153" i="4"/>
  <c r="P43" i="4"/>
  <c r="P198" i="4"/>
  <c r="P127" i="4"/>
  <c r="P139" i="4"/>
  <c r="P109" i="4"/>
  <c r="P117" i="4"/>
  <c r="P48" i="4"/>
  <c r="P207" i="4"/>
  <c r="P58" i="4"/>
  <c r="P76" i="4"/>
  <c r="P29" i="4"/>
  <c r="P196" i="4"/>
  <c r="P154" i="4"/>
  <c r="P68" i="4"/>
  <c r="P211" i="4"/>
  <c r="P14" i="4"/>
  <c r="P158" i="4"/>
  <c r="P128" i="4"/>
  <c r="P147" i="4"/>
  <c r="P111" i="4"/>
  <c r="P156" i="4"/>
  <c r="P210" i="4"/>
  <c r="P17" i="4"/>
  <c r="P168" i="4"/>
  <c r="P77" i="4"/>
  <c r="P47" i="4"/>
  <c r="P202" i="4"/>
  <c r="P9" i="4"/>
  <c r="P176" i="4"/>
  <c r="P62" i="4"/>
  <c r="P42" i="4"/>
  <c r="P136" i="4"/>
  <c r="P143" i="4"/>
  <c r="P37" i="4"/>
  <c r="P204" i="4"/>
  <c r="P65" i="4"/>
  <c r="P216" i="4"/>
  <c r="P19" i="4"/>
  <c r="P173" i="4"/>
  <c r="P95" i="4"/>
  <c r="P57" i="4"/>
  <c r="P150" i="4"/>
  <c r="P194" i="4"/>
  <c r="I220" i="4"/>
  <c r="Q220" i="4" s="1"/>
  <c r="J1089" i="4"/>
  <c r="I1089" i="4"/>
  <c r="J760" i="4"/>
  <c r="I760" i="4"/>
  <c r="Q760" i="4" s="1"/>
  <c r="J827" i="4"/>
  <c r="I827" i="4"/>
  <c r="J696" i="4"/>
  <c r="I696" i="4"/>
  <c r="Q696" i="4" s="1"/>
  <c r="J942" i="4"/>
  <c r="I942" i="4"/>
  <c r="Q942" i="4" s="1"/>
  <c r="J975" i="4"/>
  <c r="I975" i="4"/>
  <c r="Q975" i="4" s="1"/>
  <c r="E409" i="4"/>
  <c r="I408" i="4"/>
  <c r="E761" i="4"/>
  <c r="D761" i="4" s="1"/>
  <c r="E976" i="4"/>
  <c r="D975" i="4"/>
  <c r="E221" i="4"/>
  <c r="F221" i="4" s="1"/>
  <c r="J220" i="4"/>
  <c r="D220" i="4"/>
  <c r="D760" i="4"/>
  <c r="E1090" i="4"/>
  <c r="D1089" i="4"/>
  <c r="E977" i="4"/>
  <c r="E943" i="4"/>
  <c r="D942" i="4"/>
  <c r="D827" i="4"/>
  <c r="E828" i="4"/>
  <c r="E697" i="4"/>
  <c r="D696" i="4"/>
  <c r="AG72" i="1"/>
  <c r="AD26" i="1"/>
  <c r="AD10" i="1"/>
  <c r="AE18" i="1"/>
  <c r="AF26" i="1"/>
  <c r="AF10" i="1"/>
  <c r="AG18" i="1"/>
  <c r="AG32" i="1"/>
  <c r="AD40" i="1"/>
  <c r="AE47" i="1"/>
  <c r="AF54" i="1"/>
  <c r="AF38" i="1"/>
  <c r="AG45" i="1"/>
  <c r="AG59" i="1"/>
  <c r="AD67" i="1"/>
  <c r="AE74" i="1"/>
  <c r="AF81" i="1"/>
  <c r="AF65" i="1"/>
  <c r="T6" i="1"/>
  <c r="AG63" i="1"/>
  <c r="AG67" i="1"/>
  <c r="AG71" i="1"/>
  <c r="AG75" i="1"/>
  <c r="AG79" i="1"/>
  <c r="AF60" i="1"/>
  <c r="AF64" i="1"/>
  <c r="AF68" i="1"/>
  <c r="AF72" i="1"/>
  <c r="AF76" i="1"/>
  <c r="AF80" i="1"/>
  <c r="AE61" i="1"/>
  <c r="AE65" i="1"/>
  <c r="AE69" i="1"/>
  <c r="AE73" i="1"/>
  <c r="AE77" i="1"/>
  <c r="AE81" i="1"/>
  <c r="AD62" i="1"/>
  <c r="AD66" i="1"/>
  <c r="AD70" i="1"/>
  <c r="AD74" i="1"/>
  <c r="AD78" i="1"/>
  <c r="AD82" i="1"/>
  <c r="AD59" i="1"/>
  <c r="AG36" i="1"/>
  <c r="AG40" i="1"/>
  <c r="AG44" i="1"/>
  <c r="AG48" i="1"/>
  <c r="AG52" i="1"/>
  <c r="AF33" i="1"/>
  <c r="AF37" i="1"/>
  <c r="AF41" i="1"/>
  <c r="AF45" i="1"/>
  <c r="AF49" i="1"/>
  <c r="AF53" i="1"/>
  <c r="AE34" i="1"/>
  <c r="AE38" i="1"/>
  <c r="AE42" i="1"/>
  <c r="AE46" i="1"/>
  <c r="AE50" i="1"/>
  <c r="AE54" i="1"/>
  <c r="AD35" i="1"/>
  <c r="AD39" i="1"/>
  <c r="AD43" i="1"/>
  <c r="AD47" i="1"/>
  <c r="AD51" i="1"/>
  <c r="AD55" i="1"/>
  <c r="AD32" i="1"/>
  <c r="AG9" i="1"/>
  <c r="AG13" i="1"/>
  <c r="AG17" i="1"/>
  <c r="AG21" i="1"/>
  <c r="AG25" i="1"/>
  <c r="AG5" i="1"/>
  <c r="AF9" i="1"/>
  <c r="AF13" i="1"/>
  <c r="AF17" i="1"/>
  <c r="AF21" i="1"/>
  <c r="AF25" i="1"/>
  <c r="AF5" i="1"/>
  <c r="AE9" i="1"/>
  <c r="AE13" i="1"/>
  <c r="AE17" i="1"/>
  <c r="AE21" i="1"/>
  <c r="AE25" i="1"/>
  <c r="AE5" i="1"/>
  <c r="AD9" i="1"/>
  <c r="AD13" i="1"/>
  <c r="AD17" i="1"/>
  <c r="AD21" i="1"/>
  <c r="AD25" i="1"/>
  <c r="AD5" i="1"/>
  <c r="AG60" i="1"/>
  <c r="AG61" i="1"/>
  <c r="AG65" i="1"/>
  <c r="AG69" i="1"/>
  <c r="AG73" i="1"/>
  <c r="AG77" i="1"/>
  <c r="AG81" i="1"/>
  <c r="AF62" i="1"/>
  <c r="AF66" i="1"/>
  <c r="AF70" i="1"/>
  <c r="AF74" i="1"/>
  <c r="AF78" i="1"/>
  <c r="AF82" i="1"/>
  <c r="AE63" i="1"/>
  <c r="AE67" i="1"/>
  <c r="AE71" i="1"/>
  <c r="AE75" i="1"/>
  <c r="AE79" i="1"/>
  <c r="AD60" i="1"/>
  <c r="AD64" i="1"/>
  <c r="AD68" i="1"/>
  <c r="AD72" i="1"/>
  <c r="AD76" i="1"/>
  <c r="AD80" i="1"/>
  <c r="AF59" i="1"/>
  <c r="AG34" i="1"/>
  <c r="AG38" i="1"/>
  <c r="AG42" i="1"/>
  <c r="AG46" i="1"/>
  <c r="AG50" i="1"/>
  <c r="AG54" i="1"/>
  <c r="AF35" i="1"/>
  <c r="AF39" i="1"/>
  <c r="AF43" i="1"/>
  <c r="AF47" i="1"/>
  <c r="AF51" i="1"/>
  <c r="AF55" i="1"/>
  <c r="AE36" i="1"/>
  <c r="AE40" i="1"/>
  <c r="AE44" i="1"/>
  <c r="AE48" i="1"/>
  <c r="AE52" i="1"/>
  <c r="AD33" i="1"/>
  <c r="AD37" i="1"/>
  <c r="AD41" i="1"/>
  <c r="AD45" i="1"/>
  <c r="AD49" i="1"/>
  <c r="AD53" i="1"/>
  <c r="AF32" i="1"/>
  <c r="AG7" i="1"/>
  <c r="AG11" i="1"/>
  <c r="AG15" i="1"/>
  <c r="AG19" i="1"/>
  <c r="AG23" i="1"/>
  <c r="AG27" i="1"/>
  <c r="AF7" i="1"/>
  <c r="AF11" i="1"/>
  <c r="AF15" i="1"/>
  <c r="AF19" i="1"/>
  <c r="AF23" i="1"/>
  <c r="AF27" i="1"/>
  <c r="AE7" i="1"/>
  <c r="AE11" i="1"/>
  <c r="AE15" i="1"/>
  <c r="AE19" i="1"/>
  <c r="AE23" i="1"/>
  <c r="AE27" i="1"/>
  <c r="AD7" i="1"/>
  <c r="AD11" i="1"/>
  <c r="AD15" i="1"/>
  <c r="AD19" i="1"/>
  <c r="AD23" i="1"/>
  <c r="AD27" i="1"/>
  <c r="AG62" i="1"/>
  <c r="AG66" i="1"/>
  <c r="AG70" i="1"/>
  <c r="AG74" i="1"/>
  <c r="AG78" i="1"/>
  <c r="AG82" i="1"/>
  <c r="AF63" i="1"/>
  <c r="AF67" i="1"/>
  <c r="AF71" i="1"/>
  <c r="AF75" i="1"/>
  <c r="AF79" i="1"/>
  <c r="AE60" i="1"/>
  <c r="AE64" i="1"/>
  <c r="AE68" i="1"/>
  <c r="AE72" i="1"/>
  <c r="AE76" i="1"/>
  <c r="AE80" i="1"/>
  <c r="AD61" i="1"/>
  <c r="AD65" i="1"/>
  <c r="AD69" i="1"/>
  <c r="AD73" i="1"/>
  <c r="AD77" i="1"/>
  <c r="AD81" i="1"/>
  <c r="AE59" i="1"/>
  <c r="AG35" i="1"/>
  <c r="AG39" i="1"/>
  <c r="AG43" i="1"/>
  <c r="AG47" i="1"/>
  <c r="AG51" i="1"/>
  <c r="AG55" i="1"/>
  <c r="AF36" i="1"/>
  <c r="AF40" i="1"/>
  <c r="AF44" i="1"/>
  <c r="AF48" i="1"/>
  <c r="AF52" i="1"/>
  <c r="AE33" i="1"/>
  <c r="AE37" i="1"/>
  <c r="AE41" i="1"/>
  <c r="AE45" i="1"/>
  <c r="AE49" i="1"/>
  <c r="AE53" i="1"/>
  <c r="AD34" i="1"/>
  <c r="AD38" i="1"/>
  <c r="AD42" i="1"/>
  <c r="AD46" i="1"/>
  <c r="AD50" i="1"/>
  <c r="AD54" i="1"/>
  <c r="AE32" i="1"/>
  <c r="AG8" i="1"/>
  <c r="AG12" i="1"/>
  <c r="AG16" i="1"/>
  <c r="AG20" i="1"/>
  <c r="AG24" i="1"/>
  <c r="AG28" i="1"/>
  <c r="AF8" i="1"/>
  <c r="AF12" i="1"/>
  <c r="AF16" i="1"/>
  <c r="AF20" i="1"/>
  <c r="AF24" i="1"/>
  <c r="AF28" i="1"/>
  <c r="AE8" i="1"/>
  <c r="AE12" i="1"/>
  <c r="AE16" i="1"/>
  <c r="AE20" i="1"/>
  <c r="AE24" i="1"/>
  <c r="AE28" i="1"/>
  <c r="AD8" i="1"/>
  <c r="AD12" i="1"/>
  <c r="AD16" i="1"/>
  <c r="AD20" i="1"/>
  <c r="AD24" i="1"/>
  <c r="AD28" i="1"/>
  <c r="AD22" i="1"/>
  <c r="AD6" i="1"/>
  <c r="AE14" i="1"/>
  <c r="AF22" i="1"/>
  <c r="AF6" i="1"/>
  <c r="AG14" i="1"/>
  <c r="AD52" i="1"/>
  <c r="AD36" i="1"/>
  <c r="AE43" i="1"/>
  <c r="AF50" i="1"/>
  <c r="AF34" i="1"/>
  <c r="AG41" i="1"/>
  <c r="AD79" i="1"/>
  <c r="AD63" i="1"/>
  <c r="AE70" i="1"/>
  <c r="AF77" i="1"/>
  <c r="AF61" i="1"/>
  <c r="AG68" i="1"/>
  <c r="AD18" i="1"/>
  <c r="AE26" i="1"/>
  <c r="AE10" i="1"/>
  <c r="AF18" i="1"/>
  <c r="AG26" i="1"/>
  <c r="AG10" i="1"/>
  <c r="AD48" i="1"/>
  <c r="AE55" i="1"/>
  <c r="AE39" i="1"/>
  <c r="AF46" i="1"/>
  <c r="AG53" i="1"/>
  <c r="AG37" i="1"/>
  <c r="AD75" i="1"/>
  <c r="AE82" i="1"/>
  <c r="AE66" i="1"/>
  <c r="AF73" i="1"/>
  <c r="AG80" i="1"/>
  <c r="AG64" i="1"/>
  <c r="AD14" i="1"/>
  <c r="AE22" i="1"/>
  <c r="AE6" i="1"/>
  <c r="AF14" i="1"/>
  <c r="AG22" i="1"/>
  <c r="AG6" i="1"/>
  <c r="AD44" i="1"/>
  <c r="AE51" i="1"/>
  <c r="AE35" i="1"/>
  <c r="AF42" i="1"/>
  <c r="AG49" i="1"/>
  <c r="AG33" i="1"/>
  <c r="AD71" i="1"/>
  <c r="AE78" i="1"/>
  <c r="AE62" i="1"/>
  <c r="AF69" i="1"/>
  <c r="AG76" i="1"/>
  <c r="Q81" i="1"/>
  <c r="Q65" i="1"/>
  <c r="R72" i="1"/>
  <c r="S79" i="1"/>
  <c r="Q77" i="1"/>
  <c r="Q61" i="1"/>
  <c r="R68" i="1"/>
  <c r="S75" i="1"/>
  <c r="Q73" i="1"/>
  <c r="R80" i="1"/>
  <c r="R64" i="1"/>
  <c r="S71" i="1"/>
  <c r="Q59" i="1"/>
  <c r="Q69" i="1"/>
  <c r="R76" i="1"/>
  <c r="R60" i="1"/>
  <c r="S67" i="1"/>
  <c r="S63" i="1"/>
  <c r="R59" i="1"/>
  <c r="Q80" i="1"/>
  <c r="Q76" i="1"/>
  <c r="Q72" i="1"/>
  <c r="Q68" i="1"/>
  <c r="Q64" i="1"/>
  <c r="Q60" i="1"/>
  <c r="R79" i="1"/>
  <c r="R75" i="1"/>
  <c r="R71" i="1"/>
  <c r="R67" i="1"/>
  <c r="R63" i="1"/>
  <c r="S82" i="1"/>
  <c r="S78" i="1"/>
  <c r="S74" i="1"/>
  <c r="S70" i="1"/>
  <c r="S66" i="1"/>
  <c r="S62" i="1"/>
  <c r="S59" i="1"/>
  <c r="Q79" i="1"/>
  <c r="Q75" i="1"/>
  <c r="Q71" i="1"/>
  <c r="Q67" i="1"/>
  <c r="Q63" i="1"/>
  <c r="R82" i="1"/>
  <c r="R78" i="1"/>
  <c r="R74" i="1"/>
  <c r="R70" i="1"/>
  <c r="R66" i="1"/>
  <c r="R62" i="1"/>
  <c r="S81" i="1"/>
  <c r="S77" i="1"/>
  <c r="S73" i="1"/>
  <c r="S69" i="1"/>
  <c r="S65" i="1"/>
  <c r="S61" i="1"/>
  <c r="Q82" i="1"/>
  <c r="Q78" i="1"/>
  <c r="Q74" i="1"/>
  <c r="Q70" i="1"/>
  <c r="Q66" i="1"/>
  <c r="Q62" i="1"/>
  <c r="R81" i="1"/>
  <c r="R77" i="1"/>
  <c r="R73" i="1"/>
  <c r="R69" i="1"/>
  <c r="R65" i="1"/>
  <c r="R61" i="1"/>
  <c r="S80" i="1"/>
  <c r="S76" i="1"/>
  <c r="S72" i="1"/>
  <c r="S68" i="1"/>
  <c r="S64" i="1"/>
  <c r="S60" i="1"/>
  <c r="R52" i="1"/>
  <c r="R48" i="1"/>
  <c r="R44" i="1"/>
  <c r="R32" i="1"/>
  <c r="R40" i="1"/>
  <c r="R36" i="1"/>
  <c r="R5" i="1"/>
  <c r="R25" i="1"/>
  <c r="R21" i="1"/>
  <c r="R17" i="1"/>
  <c r="R13" i="1"/>
  <c r="R9" i="1"/>
  <c r="R55" i="1"/>
  <c r="R51" i="1"/>
  <c r="R47" i="1"/>
  <c r="R43" i="1"/>
  <c r="R39" i="1"/>
  <c r="R35" i="1"/>
  <c r="R28" i="1"/>
  <c r="R24" i="1"/>
  <c r="R20" i="1"/>
  <c r="R16" i="1"/>
  <c r="R12" i="1"/>
  <c r="R8" i="1"/>
  <c r="R54" i="1"/>
  <c r="R50" i="1"/>
  <c r="R46" i="1"/>
  <c r="R42" i="1"/>
  <c r="R38" i="1"/>
  <c r="R34" i="1"/>
  <c r="R27" i="1"/>
  <c r="R23" i="1"/>
  <c r="R19" i="1"/>
  <c r="R15" i="1"/>
  <c r="R11" i="1"/>
  <c r="R7" i="1"/>
  <c r="R53" i="1"/>
  <c r="R49" i="1"/>
  <c r="R45" i="1"/>
  <c r="R41" i="1"/>
  <c r="R37" i="1"/>
  <c r="R33" i="1"/>
  <c r="R26" i="1"/>
  <c r="R22" i="1"/>
  <c r="R18" i="1"/>
  <c r="R14" i="1"/>
  <c r="R10" i="1"/>
  <c r="R6" i="1"/>
  <c r="Q54" i="1"/>
  <c r="Q38" i="1"/>
  <c r="S52" i="1"/>
  <c r="Q50" i="1"/>
  <c r="Q34" i="1"/>
  <c r="S48" i="1"/>
  <c r="Q46" i="1"/>
  <c r="S44" i="1"/>
  <c r="Q32" i="1"/>
  <c r="Q42" i="1"/>
  <c r="S40" i="1"/>
  <c r="S36" i="1"/>
  <c r="Q53" i="1"/>
  <c r="Q49" i="1"/>
  <c r="Q45" i="1"/>
  <c r="Q41" i="1"/>
  <c r="Q37" i="1"/>
  <c r="Q33" i="1"/>
  <c r="S55" i="1"/>
  <c r="S51" i="1"/>
  <c r="S47" i="1"/>
  <c r="S43" i="1"/>
  <c r="S39" i="1"/>
  <c r="S35" i="1"/>
  <c r="S32" i="1"/>
  <c r="Q52" i="1"/>
  <c r="Q48" i="1"/>
  <c r="Q44" i="1"/>
  <c r="Q40" i="1"/>
  <c r="Q36" i="1"/>
  <c r="S54" i="1"/>
  <c r="S50" i="1"/>
  <c r="S46" i="1"/>
  <c r="S42" i="1"/>
  <c r="S38" i="1"/>
  <c r="S34" i="1"/>
  <c r="Q55" i="1"/>
  <c r="Q51" i="1"/>
  <c r="Q47" i="1"/>
  <c r="Q43" i="1"/>
  <c r="Q39" i="1"/>
  <c r="Q35" i="1"/>
  <c r="S53" i="1"/>
  <c r="S49" i="1"/>
  <c r="S45" i="1"/>
  <c r="S41" i="1"/>
  <c r="S37" i="1"/>
  <c r="S33" i="1"/>
  <c r="Q21" i="1"/>
  <c r="Q17" i="1"/>
  <c r="Q5" i="1"/>
  <c r="Q13" i="1"/>
  <c r="Q25" i="1"/>
  <c r="Q9" i="1"/>
  <c r="Q28" i="1"/>
  <c r="Q24" i="1"/>
  <c r="Q20" i="1"/>
  <c r="Q16" i="1"/>
  <c r="Q12" i="1"/>
  <c r="Q8" i="1"/>
  <c r="Q27" i="1"/>
  <c r="Q23" i="1"/>
  <c r="Q19" i="1"/>
  <c r="Q15" i="1"/>
  <c r="Q11" i="1"/>
  <c r="Q7" i="1"/>
  <c r="Q26" i="1"/>
  <c r="Q22" i="1"/>
  <c r="Q18" i="1"/>
  <c r="Q14" i="1"/>
  <c r="Q10" i="1"/>
  <c r="Q6" i="1"/>
  <c r="T78" i="1"/>
  <c r="T70" i="1"/>
  <c r="T62" i="1"/>
  <c r="T81" i="1"/>
  <c r="T77" i="1"/>
  <c r="T73" i="1"/>
  <c r="T69" i="1"/>
  <c r="T65" i="1"/>
  <c r="T61" i="1"/>
  <c r="T66" i="1"/>
  <c r="T80" i="1"/>
  <c r="T76" i="1"/>
  <c r="T72" i="1"/>
  <c r="T68" i="1"/>
  <c r="T64" i="1"/>
  <c r="T60" i="1"/>
  <c r="T82" i="1"/>
  <c r="T74" i="1"/>
  <c r="T59" i="1"/>
  <c r="T79" i="1"/>
  <c r="T75" i="1"/>
  <c r="T71" i="1"/>
  <c r="T67" i="1"/>
  <c r="T63" i="1"/>
  <c r="P53" i="1"/>
  <c r="P60" i="1"/>
  <c r="T14" i="1"/>
  <c r="T48" i="1"/>
  <c r="T40" i="1"/>
  <c r="P51" i="1"/>
  <c r="P41" i="1"/>
  <c r="P75" i="1"/>
  <c r="T5" i="1"/>
  <c r="T21" i="1"/>
  <c r="T13" i="1"/>
  <c r="T55" i="1"/>
  <c r="T51" i="1"/>
  <c r="T47" i="1"/>
  <c r="T43" i="1"/>
  <c r="T39" i="1"/>
  <c r="T35" i="1"/>
  <c r="P42" i="1"/>
  <c r="T22" i="1"/>
  <c r="T32" i="1"/>
  <c r="T44" i="1"/>
  <c r="T36" i="1"/>
  <c r="P47" i="1"/>
  <c r="P34" i="1"/>
  <c r="P68" i="1"/>
  <c r="T26" i="1"/>
  <c r="T18" i="1"/>
  <c r="T10" i="1"/>
  <c r="T54" i="1"/>
  <c r="T50" i="1"/>
  <c r="T46" i="1"/>
  <c r="T42" i="1"/>
  <c r="T38" i="1"/>
  <c r="T34" i="1"/>
  <c r="P76" i="1"/>
  <c r="T52" i="1"/>
  <c r="P32" i="1"/>
  <c r="P46" i="1"/>
  <c r="P33" i="1"/>
  <c r="P67" i="1"/>
  <c r="T25" i="1"/>
  <c r="T17" i="1"/>
  <c r="T9" i="1"/>
  <c r="T53" i="1"/>
  <c r="T49" i="1"/>
  <c r="T45" i="1"/>
  <c r="T41" i="1"/>
  <c r="T37" i="1"/>
  <c r="T33" i="1"/>
  <c r="P55" i="1"/>
  <c r="P50" i="1"/>
  <c r="P45" i="1"/>
  <c r="P38" i="1"/>
  <c r="P80" i="1"/>
  <c r="P72" i="1"/>
  <c r="P64" i="1"/>
  <c r="T28" i="1"/>
  <c r="T24" i="1"/>
  <c r="T20" i="1"/>
  <c r="T16" i="1"/>
  <c r="T12" i="1"/>
  <c r="T8" i="1"/>
  <c r="P54" i="1"/>
  <c r="P49" i="1"/>
  <c r="P43" i="1"/>
  <c r="P37" i="1"/>
  <c r="P79" i="1"/>
  <c r="P71" i="1"/>
  <c r="P63" i="1"/>
  <c r="T27" i="1"/>
  <c r="T23" i="1"/>
  <c r="T19" i="1"/>
  <c r="T15" i="1"/>
  <c r="T11" i="1"/>
  <c r="T7" i="1"/>
  <c r="P59" i="1"/>
  <c r="P52" i="1"/>
  <c r="P48" i="1"/>
  <c r="P44" i="1"/>
  <c r="P40" i="1"/>
  <c r="P36" i="1"/>
  <c r="P82" i="1"/>
  <c r="P78" i="1"/>
  <c r="P74" i="1"/>
  <c r="P70" i="1"/>
  <c r="P66" i="1"/>
  <c r="P62" i="1"/>
  <c r="P39" i="1"/>
  <c r="P35" i="1"/>
  <c r="P81" i="1"/>
  <c r="P77" i="1"/>
  <c r="P73" i="1"/>
  <c r="P69" i="1"/>
  <c r="P65" i="1"/>
  <c r="P61" i="1"/>
  <c r="P21" i="1"/>
  <c r="P17" i="1"/>
  <c r="P5" i="1"/>
  <c r="P13" i="1"/>
  <c r="P25" i="1"/>
  <c r="P9" i="1"/>
  <c r="P24" i="1"/>
  <c r="P20" i="1"/>
  <c r="P16" i="1"/>
  <c r="P8" i="1"/>
  <c r="P27" i="1"/>
  <c r="P23" i="1"/>
  <c r="P19" i="1"/>
  <c r="P15" i="1"/>
  <c r="P11" i="1"/>
  <c r="P7" i="1"/>
  <c r="P28" i="1"/>
  <c r="P12" i="1"/>
  <c r="P26" i="1"/>
  <c r="P22" i="1"/>
  <c r="P18" i="1"/>
  <c r="P14" i="1"/>
  <c r="P10" i="1"/>
  <c r="P6" i="1"/>
  <c r="C69" i="1"/>
  <c r="I26" i="1"/>
  <c r="J27" i="1"/>
  <c r="E62" i="1"/>
  <c r="E61" i="1"/>
  <c r="F53" i="1"/>
  <c r="E63" i="1"/>
  <c r="C70" i="1"/>
  <c r="Q1088" i="4" s="1"/>
  <c r="F52" i="1"/>
  <c r="L5" i="1" s="1"/>
  <c r="O5" i="1" s="1"/>
  <c r="F54" i="1"/>
  <c r="Q407" i="4" l="1"/>
  <c r="Q1087" i="4"/>
  <c r="Q108" i="4"/>
  <c r="R108" i="4" s="1"/>
  <c r="Q199" i="4"/>
  <c r="R199" i="4" s="1"/>
  <c r="Q200" i="4"/>
  <c r="R200" i="4" s="1"/>
  <c r="Q12" i="4"/>
  <c r="R12" i="4" s="1"/>
  <c r="Q102" i="4"/>
  <c r="R102" i="4" s="1"/>
  <c r="Q99" i="4"/>
  <c r="R99" i="4" s="1"/>
  <c r="Q11" i="4"/>
  <c r="R11" i="4" s="1"/>
  <c r="Q105" i="4"/>
  <c r="R105" i="4" s="1"/>
  <c r="Q193" i="4"/>
  <c r="R193" i="4" s="1"/>
  <c r="Q201" i="4"/>
  <c r="R201" i="4" s="1"/>
  <c r="Q194" i="4"/>
  <c r="R194" i="4" s="1"/>
  <c r="Q204" i="4"/>
  <c r="R204" i="4" s="1"/>
  <c r="Q195" i="4"/>
  <c r="R195" i="4" s="1"/>
  <c r="Q13" i="4"/>
  <c r="R13" i="4" s="1"/>
  <c r="Q97" i="4"/>
  <c r="R97" i="4" s="1"/>
  <c r="Q202" i="4"/>
  <c r="R202" i="4" s="1"/>
  <c r="Q104" i="4"/>
  <c r="R104" i="4" s="1"/>
  <c r="Q100" i="4"/>
  <c r="R100" i="4" s="1"/>
  <c r="Q101" i="4"/>
  <c r="R101" i="4" s="1"/>
  <c r="Q192" i="4"/>
  <c r="R192" i="4" s="1"/>
  <c r="Q203" i="4"/>
  <c r="R203" i="4" s="1"/>
  <c r="Q107" i="4"/>
  <c r="R107" i="4" s="1"/>
  <c r="Q111" i="4"/>
  <c r="R111" i="4" s="1"/>
  <c r="Q197" i="4"/>
  <c r="R197" i="4" s="1"/>
  <c r="Q103" i="4"/>
  <c r="R103" i="4" s="1"/>
  <c r="Q10" i="4"/>
  <c r="R10" i="4" s="1"/>
  <c r="Q98" i="4"/>
  <c r="R98" i="4" s="1"/>
  <c r="Q110" i="4"/>
  <c r="R110" i="4" s="1"/>
  <c r="Q198" i="4"/>
  <c r="R198" i="4" s="1"/>
  <c r="Q196" i="4"/>
  <c r="R196" i="4" s="1"/>
  <c r="Q96" i="4"/>
  <c r="R96" i="4" s="1"/>
  <c r="Q112" i="4"/>
  <c r="R112" i="4" s="1"/>
  <c r="Q106" i="4"/>
  <c r="R106" i="4" s="1"/>
  <c r="Q109" i="4"/>
  <c r="R109" i="4" s="1"/>
  <c r="Q170" i="4"/>
  <c r="R170" i="4" s="1"/>
  <c r="Q169" i="4"/>
  <c r="R169" i="4" s="1"/>
  <c r="Q171" i="4"/>
  <c r="R171" i="4" s="1"/>
  <c r="Q162" i="4"/>
  <c r="R162" i="4" s="1"/>
  <c r="Q163" i="4"/>
  <c r="R163" i="4" s="1"/>
  <c r="Q164" i="4"/>
  <c r="R164" i="4" s="1"/>
  <c r="Q165" i="4"/>
  <c r="R165" i="4" s="1"/>
  <c r="Q166" i="4"/>
  <c r="R166" i="4" s="1"/>
  <c r="Q167" i="4"/>
  <c r="R167" i="4" s="1"/>
  <c r="Q168" i="4"/>
  <c r="R168" i="4" s="1"/>
  <c r="Q184" i="4"/>
  <c r="R184" i="4" s="1"/>
  <c r="Q185" i="4"/>
  <c r="R185" i="4" s="1"/>
  <c r="Q186" i="4"/>
  <c r="R186" i="4" s="1"/>
  <c r="Q187" i="4"/>
  <c r="R187" i="4" s="1"/>
  <c r="Q188" i="4"/>
  <c r="R188" i="4" s="1"/>
  <c r="Q189" i="4"/>
  <c r="R189" i="4" s="1"/>
  <c r="Q190" i="4"/>
  <c r="R190" i="4" s="1"/>
  <c r="Q191" i="4"/>
  <c r="R191" i="4" s="1"/>
  <c r="Q406" i="4"/>
  <c r="Q1086" i="4"/>
  <c r="Q408" i="4"/>
  <c r="Q827" i="4"/>
  <c r="Q1089" i="4"/>
  <c r="Q826" i="4"/>
  <c r="Q9" i="4"/>
  <c r="R9" i="4" s="1"/>
  <c r="Q7" i="4"/>
  <c r="R7" i="4" s="1"/>
  <c r="Q6" i="4"/>
  <c r="R6" i="4" s="1"/>
  <c r="Q4" i="4"/>
  <c r="R4" i="4" s="1"/>
  <c r="Q5" i="4"/>
  <c r="R5" i="4" s="1"/>
  <c r="Q8" i="4"/>
  <c r="R8" i="4" s="1"/>
  <c r="Q172" i="4"/>
  <c r="R172" i="4" s="1"/>
  <c r="Q173" i="4"/>
  <c r="R173" i="4" s="1"/>
  <c r="Q174" i="4"/>
  <c r="R174" i="4" s="1"/>
  <c r="Q175" i="4"/>
  <c r="R175" i="4" s="1"/>
  <c r="Q176" i="4"/>
  <c r="R176" i="4" s="1"/>
  <c r="Q177" i="4"/>
  <c r="R177" i="4" s="1"/>
  <c r="Q178" i="4"/>
  <c r="R178" i="4" s="1"/>
  <c r="Q179" i="4"/>
  <c r="R179" i="4" s="1"/>
  <c r="Q180" i="4"/>
  <c r="R180" i="4" s="1"/>
  <c r="Q181" i="4"/>
  <c r="R181" i="4" s="1"/>
  <c r="Q182" i="4"/>
  <c r="R182" i="4" s="1"/>
  <c r="Q183" i="4"/>
  <c r="R183" i="4" s="1"/>
  <c r="Y70" i="4"/>
  <c r="X70" i="4"/>
  <c r="Y55" i="4"/>
  <c r="X55" i="4"/>
  <c r="Y53" i="4"/>
  <c r="X53" i="4"/>
  <c r="Y129" i="4"/>
  <c r="X129" i="4"/>
  <c r="Y25" i="4"/>
  <c r="X25" i="4"/>
  <c r="Y33" i="4"/>
  <c r="X33" i="4"/>
  <c r="Y88" i="4"/>
  <c r="X88" i="4"/>
  <c r="Y36" i="4"/>
  <c r="X36" i="4"/>
  <c r="Y213" i="4"/>
  <c r="X213" i="4"/>
  <c r="Y71" i="4"/>
  <c r="X71" i="4"/>
  <c r="Y89" i="4"/>
  <c r="X89" i="4"/>
  <c r="Y18" i="4"/>
  <c r="X18" i="4"/>
  <c r="Y69" i="4"/>
  <c r="X69" i="4"/>
  <c r="Y84" i="4"/>
  <c r="X84" i="4"/>
  <c r="Y45" i="4"/>
  <c r="X45" i="4"/>
  <c r="Y131" i="4"/>
  <c r="X131" i="4"/>
  <c r="Y86" i="4"/>
  <c r="X86" i="4"/>
  <c r="Y125" i="4"/>
  <c r="X125" i="4"/>
  <c r="Y34" i="4"/>
  <c r="X34" i="4"/>
  <c r="Y206" i="4"/>
  <c r="X206" i="4"/>
  <c r="Y146" i="4"/>
  <c r="X146" i="4"/>
  <c r="Y94" i="4"/>
  <c r="X94" i="4"/>
  <c r="Y157" i="4"/>
  <c r="X157" i="4"/>
  <c r="Y21" i="4"/>
  <c r="X21" i="4"/>
  <c r="Y95" i="4"/>
  <c r="X95" i="4"/>
  <c r="Y65" i="4"/>
  <c r="X65" i="4"/>
  <c r="Y136" i="4"/>
  <c r="X136" i="4"/>
  <c r="Y14" i="4"/>
  <c r="X14" i="4"/>
  <c r="Y207" i="4"/>
  <c r="X207" i="4"/>
  <c r="Y139" i="4"/>
  <c r="X139" i="4"/>
  <c r="Y153" i="4"/>
  <c r="X153" i="4"/>
  <c r="Y67" i="4"/>
  <c r="X67" i="4"/>
  <c r="Y85" i="4"/>
  <c r="X85" i="4"/>
  <c r="Y126" i="4"/>
  <c r="X126" i="4"/>
  <c r="Y83" i="4"/>
  <c r="X83" i="4"/>
  <c r="Y149" i="4"/>
  <c r="X149" i="4"/>
  <c r="Y35" i="4"/>
  <c r="X35" i="4"/>
  <c r="Y119" i="4"/>
  <c r="X119" i="4"/>
  <c r="Y74" i="4"/>
  <c r="X74" i="4"/>
  <c r="Y63" i="4"/>
  <c r="X63" i="4"/>
  <c r="Y66" i="4"/>
  <c r="X66" i="4"/>
  <c r="Y44" i="4"/>
  <c r="X44" i="4"/>
  <c r="Y123" i="4"/>
  <c r="X123" i="4"/>
  <c r="Y142" i="4"/>
  <c r="X142" i="4"/>
  <c r="Y124" i="4"/>
  <c r="X124" i="4"/>
  <c r="Y155" i="4"/>
  <c r="X155" i="4"/>
  <c r="Y137" i="4"/>
  <c r="X137" i="4"/>
  <c r="Y51" i="4"/>
  <c r="X51" i="4"/>
  <c r="Y141" i="4"/>
  <c r="X141" i="4"/>
  <c r="Y92" i="4"/>
  <c r="X92" i="4"/>
  <c r="Y26" i="4"/>
  <c r="X26" i="4"/>
  <c r="Y31" i="4"/>
  <c r="X31" i="4"/>
  <c r="Y80" i="4"/>
  <c r="X80" i="4"/>
  <c r="Y32" i="4"/>
  <c r="X32" i="4"/>
  <c r="Y134" i="4"/>
  <c r="X134" i="4"/>
  <c r="Y72" i="4"/>
  <c r="X72" i="4"/>
  <c r="Y87" i="4"/>
  <c r="X87" i="4"/>
  <c r="Y208" i="4"/>
  <c r="X208" i="4"/>
  <c r="Y42" i="4"/>
  <c r="X42" i="4"/>
  <c r="Y17" i="4"/>
  <c r="X17" i="4"/>
  <c r="Y147" i="4"/>
  <c r="X147" i="4"/>
  <c r="Y211" i="4"/>
  <c r="X211" i="4"/>
  <c r="Y29" i="4"/>
  <c r="X29" i="4"/>
  <c r="Y48" i="4"/>
  <c r="X48" i="4"/>
  <c r="Y127" i="4"/>
  <c r="X127" i="4"/>
  <c r="Y219" i="4"/>
  <c r="X219" i="4"/>
  <c r="Y214" i="4"/>
  <c r="X214" i="4"/>
  <c r="Y73" i="4"/>
  <c r="X73" i="4"/>
  <c r="Y81" i="4"/>
  <c r="X81" i="4"/>
  <c r="Y114" i="4"/>
  <c r="X114" i="4"/>
  <c r="Y78" i="4"/>
  <c r="X78" i="4"/>
  <c r="Y93" i="4"/>
  <c r="X93" i="4"/>
  <c r="Y20" i="4"/>
  <c r="X20" i="4"/>
  <c r="Y28" i="4"/>
  <c r="X28" i="4"/>
  <c r="Y115" i="4"/>
  <c r="X115" i="4"/>
  <c r="Y54" i="4"/>
  <c r="X54" i="4"/>
  <c r="Y132" i="4"/>
  <c r="X132" i="4"/>
  <c r="Y215" i="4"/>
  <c r="X215" i="4"/>
  <c r="Y209" i="4"/>
  <c r="X209" i="4"/>
  <c r="Y122" i="4"/>
  <c r="X122" i="4"/>
  <c r="Y161" i="4"/>
  <c r="X161" i="4"/>
  <c r="Y133" i="4"/>
  <c r="X133" i="4"/>
  <c r="Y15" i="4"/>
  <c r="X15" i="4"/>
  <c r="Y90" i="4"/>
  <c r="X90" i="4"/>
  <c r="Y144" i="4"/>
  <c r="X144" i="4"/>
  <c r="Y46" i="4"/>
  <c r="X46" i="4"/>
  <c r="Y61" i="4"/>
  <c r="X61" i="4"/>
  <c r="Y120" i="4"/>
  <c r="X120" i="4"/>
  <c r="Y52" i="4"/>
  <c r="X52" i="4"/>
  <c r="Y60" i="4"/>
  <c r="X60" i="4"/>
  <c r="Y121" i="4"/>
  <c r="X121" i="4"/>
  <c r="Y91" i="4"/>
  <c r="X91" i="4"/>
  <c r="Y135" i="4"/>
  <c r="X135" i="4"/>
  <c r="Y41" i="4"/>
  <c r="X41" i="4"/>
  <c r="Y49" i="4"/>
  <c r="X49" i="4"/>
  <c r="Y150" i="4"/>
  <c r="X150" i="4"/>
  <c r="Y19" i="4"/>
  <c r="X19" i="4"/>
  <c r="Y37" i="4"/>
  <c r="X37" i="4"/>
  <c r="Y62" i="4"/>
  <c r="X62" i="4"/>
  <c r="Y47" i="4"/>
  <c r="X47" i="4"/>
  <c r="Y210" i="4"/>
  <c r="X210" i="4"/>
  <c r="Y128" i="4"/>
  <c r="X128" i="4"/>
  <c r="Y68" i="4"/>
  <c r="X68" i="4"/>
  <c r="Y76" i="4"/>
  <c r="X76" i="4"/>
  <c r="Y117" i="4"/>
  <c r="X117" i="4"/>
  <c r="Y24" i="4"/>
  <c r="X24" i="4"/>
  <c r="Y138" i="4"/>
  <c r="X138" i="4"/>
  <c r="Y145" i="4"/>
  <c r="X145" i="4"/>
  <c r="Y59" i="4"/>
  <c r="X59" i="4"/>
  <c r="Y40" i="4"/>
  <c r="X40" i="4"/>
  <c r="Y38" i="4"/>
  <c r="X38" i="4"/>
  <c r="Y130" i="4"/>
  <c r="X130" i="4"/>
  <c r="Y151" i="4"/>
  <c r="X151" i="4"/>
  <c r="Y50" i="4"/>
  <c r="X50" i="4"/>
  <c r="Y159" i="4"/>
  <c r="X159" i="4"/>
  <c r="Y148" i="4"/>
  <c r="X148" i="4"/>
  <c r="Y16" i="4"/>
  <c r="X16" i="4"/>
  <c r="Y75" i="4"/>
  <c r="X75" i="4"/>
  <c r="Y56" i="4"/>
  <c r="X56" i="4"/>
  <c r="Y113" i="4"/>
  <c r="X113" i="4"/>
  <c r="Y27" i="4"/>
  <c r="X27" i="4"/>
  <c r="Y205" i="4"/>
  <c r="X205" i="4"/>
  <c r="Y23" i="4"/>
  <c r="X23" i="4"/>
  <c r="Y30" i="4"/>
  <c r="X30" i="4"/>
  <c r="Y212" i="4"/>
  <c r="X212" i="4"/>
  <c r="Y64" i="4"/>
  <c r="X64" i="4"/>
  <c r="Y140" i="4"/>
  <c r="X140" i="4"/>
  <c r="Y160" i="4"/>
  <c r="X160" i="4"/>
  <c r="Y152" i="4"/>
  <c r="X152" i="4"/>
  <c r="Y82" i="4"/>
  <c r="X82" i="4"/>
  <c r="Y116" i="4"/>
  <c r="X116" i="4"/>
  <c r="Y118" i="4"/>
  <c r="X118" i="4"/>
  <c r="Y79" i="4"/>
  <c r="X79" i="4"/>
  <c r="Y57" i="4"/>
  <c r="X57" i="4"/>
  <c r="Y216" i="4"/>
  <c r="X216" i="4"/>
  <c r="Y143" i="4"/>
  <c r="X143" i="4"/>
  <c r="Y77" i="4"/>
  <c r="X77" i="4"/>
  <c r="Y156" i="4"/>
  <c r="X156" i="4"/>
  <c r="Y158" i="4"/>
  <c r="X158" i="4"/>
  <c r="Y154" i="4"/>
  <c r="X154" i="4"/>
  <c r="Y58" i="4"/>
  <c r="X58" i="4"/>
  <c r="Y43" i="4"/>
  <c r="X43" i="4"/>
  <c r="Y22" i="4"/>
  <c r="X22" i="4"/>
  <c r="Y39" i="4"/>
  <c r="X39" i="4"/>
  <c r="R220" i="4"/>
  <c r="S220" i="4" s="1"/>
  <c r="E762" i="4"/>
  <c r="T218" i="4"/>
  <c r="U218" i="4" s="1"/>
  <c r="V218" i="4" s="1"/>
  <c r="W218" i="4" s="1"/>
  <c r="T217" i="4"/>
  <c r="U217" i="4" s="1"/>
  <c r="V217" i="4" s="1"/>
  <c r="W217" i="4" s="1"/>
  <c r="T220" i="4"/>
  <c r="U220" i="4" s="1"/>
  <c r="V220" i="4" s="1"/>
  <c r="W220" i="4" s="1"/>
  <c r="U3" i="4"/>
  <c r="W3" i="4" s="1"/>
  <c r="P220" i="4"/>
  <c r="K340" i="4"/>
  <c r="K344" i="4"/>
  <c r="K348" i="4"/>
  <c r="K352" i="4"/>
  <c r="K356" i="4"/>
  <c r="K360" i="4"/>
  <c r="K364" i="4"/>
  <c r="K368" i="4"/>
  <c r="K372" i="4"/>
  <c r="K376" i="4"/>
  <c r="K380" i="4"/>
  <c r="K384" i="4"/>
  <c r="K388" i="4"/>
  <c r="K392" i="4"/>
  <c r="K396" i="4"/>
  <c r="K400" i="4"/>
  <c r="K404" i="4"/>
  <c r="K408" i="4"/>
  <c r="K412" i="4"/>
  <c r="K416" i="4"/>
  <c r="K420" i="4"/>
  <c r="K424" i="4"/>
  <c r="K428" i="4"/>
  <c r="K432" i="4"/>
  <c r="K436" i="4"/>
  <c r="K440" i="4"/>
  <c r="K444" i="4"/>
  <c r="K448" i="4"/>
  <c r="K452" i="4"/>
  <c r="K456" i="4"/>
  <c r="K460" i="4"/>
  <c r="K464" i="4"/>
  <c r="K468" i="4"/>
  <c r="K472" i="4"/>
  <c r="K476" i="4"/>
  <c r="K480" i="4"/>
  <c r="K484" i="4"/>
  <c r="K488" i="4"/>
  <c r="K492" i="4"/>
  <c r="K496" i="4"/>
  <c r="K500" i="4"/>
  <c r="K504" i="4"/>
  <c r="K508" i="4"/>
  <c r="K512" i="4"/>
  <c r="K516" i="4"/>
  <c r="K520" i="4"/>
  <c r="K524" i="4"/>
  <c r="K528" i="4"/>
  <c r="K532" i="4"/>
  <c r="K536" i="4"/>
  <c r="K540" i="4"/>
  <c r="K544" i="4"/>
  <c r="K548" i="4"/>
  <c r="K552" i="4"/>
  <c r="K556" i="4"/>
  <c r="K560" i="4"/>
  <c r="K564" i="4"/>
  <c r="K568" i="4"/>
  <c r="K572" i="4"/>
  <c r="K576" i="4"/>
  <c r="K580" i="4"/>
  <c r="K584" i="4"/>
  <c r="K588" i="4"/>
  <c r="K341" i="4"/>
  <c r="K345" i="4"/>
  <c r="K349" i="4"/>
  <c r="K353" i="4"/>
  <c r="K357" i="4"/>
  <c r="K361" i="4"/>
  <c r="K365" i="4"/>
  <c r="K369" i="4"/>
  <c r="K373" i="4"/>
  <c r="K377" i="4"/>
  <c r="K381" i="4"/>
  <c r="K385" i="4"/>
  <c r="K389" i="4"/>
  <c r="K393" i="4"/>
  <c r="K397" i="4"/>
  <c r="K401" i="4"/>
  <c r="K405" i="4"/>
  <c r="K409" i="4"/>
  <c r="K413" i="4"/>
  <c r="K417" i="4"/>
  <c r="K421" i="4"/>
  <c r="K425" i="4"/>
  <c r="K429" i="4"/>
  <c r="K433" i="4"/>
  <c r="K437" i="4"/>
  <c r="K441" i="4"/>
  <c r="K445" i="4"/>
  <c r="K449" i="4"/>
  <c r="K453" i="4"/>
  <c r="K457" i="4"/>
  <c r="K461" i="4"/>
  <c r="K465" i="4"/>
  <c r="K469" i="4"/>
  <c r="K473" i="4"/>
  <c r="K477" i="4"/>
  <c r="K481" i="4"/>
  <c r="K485" i="4"/>
  <c r="K489" i="4"/>
  <c r="K493" i="4"/>
  <c r="K497" i="4"/>
  <c r="K501" i="4"/>
  <c r="K505" i="4"/>
  <c r="K509" i="4"/>
  <c r="K513" i="4"/>
  <c r="K517" i="4"/>
  <c r="K521" i="4"/>
  <c r="K525" i="4"/>
  <c r="K529" i="4"/>
  <c r="K533" i="4"/>
  <c r="K537" i="4"/>
  <c r="K541" i="4"/>
  <c r="K545" i="4"/>
  <c r="K549" i="4"/>
  <c r="K553" i="4"/>
  <c r="K557" i="4"/>
  <c r="K561" i="4"/>
  <c r="K565" i="4"/>
  <c r="K569" i="4"/>
  <c r="K573" i="4"/>
  <c r="K577" i="4"/>
  <c r="K581" i="4"/>
  <c r="K585" i="4"/>
  <c r="K589" i="4"/>
  <c r="K338" i="4"/>
  <c r="K342" i="4"/>
  <c r="K346" i="4"/>
  <c r="K350" i="4"/>
  <c r="K354" i="4"/>
  <c r="K358" i="4"/>
  <c r="K362" i="4"/>
  <c r="K366" i="4"/>
  <c r="K370" i="4"/>
  <c r="K374" i="4"/>
  <c r="K378" i="4"/>
  <c r="K382" i="4"/>
  <c r="K386" i="4"/>
  <c r="K390" i="4"/>
  <c r="K394" i="4"/>
  <c r="K398" i="4"/>
  <c r="K402" i="4"/>
  <c r="K406" i="4"/>
  <c r="K410" i="4"/>
  <c r="K414" i="4"/>
  <c r="K418" i="4"/>
  <c r="K422" i="4"/>
  <c r="K426" i="4"/>
  <c r="K430" i="4"/>
  <c r="K434" i="4"/>
  <c r="K438" i="4"/>
  <c r="K442" i="4"/>
  <c r="K446" i="4"/>
  <c r="K450" i="4"/>
  <c r="K454" i="4"/>
  <c r="K458" i="4"/>
  <c r="K462" i="4"/>
  <c r="K466" i="4"/>
  <c r="K470" i="4"/>
  <c r="K474" i="4"/>
  <c r="K478" i="4"/>
  <c r="K482" i="4"/>
  <c r="K486" i="4"/>
  <c r="K490" i="4"/>
  <c r="K494" i="4"/>
  <c r="K498" i="4"/>
  <c r="K502" i="4"/>
  <c r="K506" i="4"/>
  <c r="K510" i="4"/>
  <c r="K514" i="4"/>
  <c r="K518" i="4"/>
  <c r="K522" i="4"/>
  <c r="K526" i="4"/>
  <c r="K530" i="4"/>
  <c r="K534" i="4"/>
  <c r="K538" i="4"/>
  <c r="K542" i="4"/>
  <c r="K546" i="4"/>
  <c r="K550" i="4"/>
  <c r="K554" i="4"/>
  <c r="K558" i="4"/>
  <c r="K562" i="4"/>
  <c r="K566" i="4"/>
  <c r="K570" i="4"/>
  <c r="K574" i="4"/>
  <c r="K578" i="4"/>
  <c r="K582" i="4"/>
  <c r="K586" i="4"/>
  <c r="K590" i="4"/>
  <c r="K339" i="4"/>
  <c r="K343" i="4"/>
  <c r="K347" i="4"/>
  <c r="K351" i="4"/>
  <c r="K355" i="4"/>
  <c r="K359" i="4"/>
  <c r="K363" i="4"/>
  <c r="K367" i="4"/>
  <c r="K371" i="4"/>
  <c r="K375" i="4"/>
  <c r="K379" i="4"/>
  <c r="K383" i="4"/>
  <c r="K387" i="4"/>
  <c r="K391" i="4"/>
  <c r="K395" i="4"/>
  <c r="K399" i="4"/>
  <c r="K403" i="4"/>
  <c r="K407" i="4"/>
  <c r="K411" i="4"/>
  <c r="K415" i="4"/>
  <c r="K419" i="4"/>
  <c r="K423" i="4"/>
  <c r="K427" i="4"/>
  <c r="K431" i="4"/>
  <c r="K435" i="4"/>
  <c r="K439" i="4"/>
  <c r="K443" i="4"/>
  <c r="K447" i="4"/>
  <c r="K451" i="4"/>
  <c r="K455" i="4"/>
  <c r="K459" i="4"/>
  <c r="K463" i="4"/>
  <c r="K467" i="4"/>
  <c r="K471" i="4"/>
  <c r="K475" i="4"/>
  <c r="K479" i="4"/>
  <c r="K483" i="4"/>
  <c r="K487" i="4"/>
  <c r="K491" i="4"/>
  <c r="K495" i="4"/>
  <c r="K499" i="4"/>
  <c r="K503" i="4"/>
  <c r="K507" i="4"/>
  <c r="K511" i="4"/>
  <c r="K515" i="4"/>
  <c r="K519" i="4"/>
  <c r="K523" i="4"/>
  <c r="K527" i="4"/>
  <c r="K531" i="4"/>
  <c r="K535" i="4"/>
  <c r="K539" i="4"/>
  <c r="K543" i="4"/>
  <c r="K547" i="4"/>
  <c r="K551" i="4"/>
  <c r="K555" i="4"/>
  <c r="K559" i="4"/>
  <c r="K563" i="4"/>
  <c r="K567" i="4"/>
  <c r="K571" i="4"/>
  <c r="K575" i="4"/>
  <c r="K579" i="4"/>
  <c r="K583" i="4"/>
  <c r="K587" i="4"/>
  <c r="K591" i="4"/>
  <c r="K592" i="4"/>
  <c r="K596" i="4"/>
  <c r="K600" i="4"/>
  <c r="K604" i="4"/>
  <c r="K608" i="4"/>
  <c r="K612" i="4"/>
  <c r="K616" i="4"/>
  <c r="K620" i="4"/>
  <c r="K624" i="4"/>
  <c r="K628" i="4"/>
  <c r="K632" i="4"/>
  <c r="K636" i="4"/>
  <c r="K640" i="4"/>
  <c r="K644" i="4"/>
  <c r="K648" i="4"/>
  <c r="K652" i="4"/>
  <c r="K656" i="4"/>
  <c r="K660" i="4"/>
  <c r="K664" i="4"/>
  <c r="K668" i="4"/>
  <c r="K672" i="4"/>
  <c r="K676" i="4"/>
  <c r="K680" i="4"/>
  <c r="K684" i="4"/>
  <c r="K688" i="4"/>
  <c r="K692" i="4"/>
  <c r="K696" i="4"/>
  <c r="P696" i="4" s="1"/>
  <c r="K700" i="4"/>
  <c r="K704" i="4"/>
  <c r="K708" i="4"/>
  <c r="K712" i="4"/>
  <c r="K716" i="4"/>
  <c r="K720" i="4"/>
  <c r="K724" i="4"/>
  <c r="K728" i="4"/>
  <c r="K732" i="4"/>
  <c r="K736" i="4"/>
  <c r="K740" i="4"/>
  <c r="K744" i="4"/>
  <c r="K748" i="4"/>
  <c r="K752" i="4"/>
  <c r="K756" i="4"/>
  <c r="K760" i="4"/>
  <c r="R760" i="4" s="1"/>
  <c r="S760" i="4" s="1"/>
  <c r="K764" i="4"/>
  <c r="K768" i="4"/>
  <c r="K772" i="4"/>
  <c r="K776" i="4"/>
  <c r="K780" i="4"/>
  <c r="K784" i="4"/>
  <c r="K788" i="4"/>
  <c r="K792" i="4"/>
  <c r="K796" i="4"/>
  <c r="K800" i="4"/>
  <c r="K804" i="4"/>
  <c r="K808" i="4"/>
  <c r="K812" i="4"/>
  <c r="K816" i="4"/>
  <c r="K820" i="4"/>
  <c r="K824" i="4"/>
  <c r="K828" i="4"/>
  <c r="K832" i="4"/>
  <c r="K836" i="4"/>
  <c r="K593" i="4"/>
  <c r="K597" i="4"/>
  <c r="K601" i="4"/>
  <c r="K605" i="4"/>
  <c r="K609" i="4"/>
  <c r="K613" i="4"/>
  <c r="K617" i="4"/>
  <c r="K621" i="4"/>
  <c r="K625" i="4"/>
  <c r="K629" i="4"/>
  <c r="K633" i="4"/>
  <c r="K637" i="4"/>
  <c r="K641" i="4"/>
  <c r="K645" i="4"/>
  <c r="K649" i="4"/>
  <c r="K653" i="4"/>
  <c r="K657" i="4"/>
  <c r="K661" i="4"/>
  <c r="K665" i="4"/>
  <c r="K669" i="4"/>
  <c r="K673" i="4"/>
  <c r="K677" i="4"/>
  <c r="K681" i="4"/>
  <c r="K685" i="4"/>
  <c r="K689" i="4"/>
  <c r="K693" i="4"/>
  <c r="K697" i="4"/>
  <c r="K701" i="4"/>
  <c r="K705" i="4"/>
  <c r="K709" i="4"/>
  <c r="K713" i="4"/>
  <c r="K717" i="4"/>
  <c r="K721" i="4"/>
  <c r="K725" i="4"/>
  <c r="K729" i="4"/>
  <c r="K733" i="4"/>
  <c r="K737" i="4"/>
  <c r="K741" i="4"/>
  <c r="K745" i="4"/>
  <c r="K749" i="4"/>
  <c r="K753" i="4"/>
  <c r="K757" i="4"/>
  <c r="K761" i="4"/>
  <c r="K765" i="4"/>
  <c r="K769" i="4"/>
  <c r="K773" i="4"/>
  <c r="K777" i="4"/>
  <c r="K781" i="4"/>
  <c r="K785" i="4"/>
  <c r="K789" i="4"/>
  <c r="K793" i="4"/>
  <c r="K797" i="4"/>
  <c r="K801" i="4"/>
  <c r="K805" i="4"/>
  <c r="K809" i="4"/>
  <c r="K813" i="4"/>
  <c r="K817" i="4"/>
  <c r="K821" i="4"/>
  <c r="K825" i="4"/>
  <c r="K829" i="4"/>
  <c r="K833" i="4"/>
  <c r="K837" i="4"/>
  <c r="K594" i="4"/>
  <c r="K598" i="4"/>
  <c r="K602" i="4"/>
  <c r="K606" i="4"/>
  <c r="K610" i="4"/>
  <c r="K614" i="4"/>
  <c r="K618" i="4"/>
  <c r="K622" i="4"/>
  <c r="K626" i="4"/>
  <c r="K630" i="4"/>
  <c r="K634" i="4"/>
  <c r="K638" i="4"/>
  <c r="K642" i="4"/>
  <c r="K646" i="4"/>
  <c r="K650" i="4"/>
  <c r="K654" i="4"/>
  <c r="K658" i="4"/>
  <c r="K662" i="4"/>
  <c r="K666" i="4"/>
  <c r="K670" i="4"/>
  <c r="K674" i="4"/>
  <c r="K678" i="4"/>
  <c r="K682" i="4"/>
  <c r="K686" i="4"/>
  <c r="K690" i="4"/>
  <c r="K694" i="4"/>
  <c r="K698" i="4"/>
  <c r="K702" i="4"/>
  <c r="K706" i="4"/>
  <c r="K710" i="4"/>
  <c r="K714" i="4"/>
  <c r="K718" i="4"/>
  <c r="K722" i="4"/>
  <c r="K726" i="4"/>
  <c r="K730" i="4"/>
  <c r="K734" i="4"/>
  <c r="K738" i="4"/>
  <c r="K742" i="4"/>
  <c r="K746" i="4"/>
  <c r="K750" i="4"/>
  <c r="K754" i="4"/>
  <c r="K758" i="4"/>
  <c r="K762" i="4"/>
  <c r="K766" i="4"/>
  <c r="K770" i="4"/>
  <c r="K774" i="4"/>
  <c r="K778" i="4"/>
  <c r="K782" i="4"/>
  <c r="K786" i="4"/>
  <c r="K790" i="4"/>
  <c r="K794" i="4"/>
  <c r="K798" i="4"/>
  <c r="K802" i="4"/>
  <c r="K806" i="4"/>
  <c r="K810" i="4"/>
  <c r="K814" i="4"/>
  <c r="K818" i="4"/>
  <c r="K822" i="4"/>
  <c r="K826" i="4"/>
  <c r="K830" i="4"/>
  <c r="K834" i="4"/>
  <c r="K838" i="4"/>
  <c r="K595" i="4"/>
  <c r="K599" i="4"/>
  <c r="K603" i="4"/>
  <c r="K607" i="4"/>
  <c r="K611" i="4"/>
  <c r="K615" i="4"/>
  <c r="K619" i="4"/>
  <c r="K623" i="4"/>
  <c r="K627" i="4"/>
  <c r="K631" i="4"/>
  <c r="K635" i="4"/>
  <c r="K639" i="4"/>
  <c r="K643" i="4"/>
  <c r="K647" i="4"/>
  <c r="K651" i="4"/>
  <c r="K655" i="4"/>
  <c r="K659" i="4"/>
  <c r="K663" i="4"/>
  <c r="K667" i="4"/>
  <c r="K671" i="4"/>
  <c r="K675" i="4"/>
  <c r="K679" i="4"/>
  <c r="K683" i="4"/>
  <c r="K687" i="4"/>
  <c r="K691" i="4"/>
  <c r="K695" i="4"/>
  <c r="K699" i="4"/>
  <c r="K703" i="4"/>
  <c r="K707" i="4"/>
  <c r="K711" i="4"/>
  <c r="K715" i="4"/>
  <c r="K719" i="4"/>
  <c r="K723" i="4"/>
  <c r="K727" i="4"/>
  <c r="K731" i="4"/>
  <c r="K735" i="4"/>
  <c r="K739" i="4"/>
  <c r="K743" i="4"/>
  <c r="K747" i="4"/>
  <c r="K751" i="4"/>
  <c r="K755" i="4"/>
  <c r="K759" i="4"/>
  <c r="K763" i="4"/>
  <c r="K767" i="4"/>
  <c r="K771" i="4"/>
  <c r="K775" i="4"/>
  <c r="K779" i="4"/>
  <c r="K783" i="4"/>
  <c r="K787" i="4"/>
  <c r="K791" i="4"/>
  <c r="K795" i="4"/>
  <c r="K799" i="4"/>
  <c r="K803" i="4"/>
  <c r="K807" i="4"/>
  <c r="K811" i="4"/>
  <c r="K815" i="4"/>
  <c r="K819" i="4"/>
  <c r="K823" i="4"/>
  <c r="K827" i="4"/>
  <c r="K831" i="4"/>
  <c r="K835" i="4"/>
  <c r="K839" i="4"/>
  <c r="K840" i="4"/>
  <c r="K844" i="4"/>
  <c r="K848" i="4"/>
  <c r="K852" i="4"/>
  <c r="K856" i="4"/>
  <c r="K860" i="4"/>
  <c r="K864" i="4"/>
  <c r="K868" i="4"/>
  <c r="K872" i="4"/>
  <c r="K876" i="4"/>
  <c r="K880" i="4"/>
  <c r="K884" i="4"/>
  <c r="K888" i="4"/>
  <c r="K892" i="4"/>
  <c r="K896" i="4"/>
  <c r="K900" i="4"/>
  <c r="K904" i="4"/>
  <c r="K908" i="4"/>
  <c r="K912" i="4"/>
  <c r="K916" i="4"/>
  <c r="K920" i="4"/>
  <c r="K924" i="4"/>
  <c r="K928" i="4"/>
  <c r="K932" i="4"/>
  <c r="K936" i="4"/>
  <c r="K940" i="4"/>
  <c r="K944" i="4"/>
  <c r="K948" i="4"/>
  <c r="K952" i="4"/>
  <c r="K964" i="4"/>
  <c r="K976" i="4"/>
  <c r="K992" i="4"/>
  <c r="K1008" i="4"/>
  <c r="K1020" i="4"/>
  <c r="K1040" i="4"/>
  <c r="K1052" i="4"/>
  <c r="K1072" i="4"/>
  <c r="K1084" i="4"/>
  <c r="K997" i="4"/>
  <c r="K1017" i="4"/>
  <c r="K1033" i="4"/>
  <c r="K1053" i="4"/>
  <c r="K1073" i="4"/>
  <c r="K1089" i="4"/>
  <c r="R1089" i="4" s="1"/>
  <c r="S1089" i="4" s="1"/>
  <c r="K841" i="4"/>
  <c r="K845" i="4"/>
  <c r="K849" i="4"/>
  <c r="K853" i="4"/>
  <c r="K857" i="4"/>
  <c r="K861" i="4"/>
  <c r="K865" i="4"/>
  <c r="K869" i="4"/>
  <c r="K873" i="4"/>
  <c r="K877" i="4"/>
  <c r="K881" i="4"/>
  <c r="K885" i="4"/>
  <c r="K889" i="4"/>
  <c r="K893" i="4"/>
  <c r="K897" i="4"/>
  <c r="K901" i="4"/>
  <c r="K905" i="4"/>
  <c r="K909" i="4"/>
  <c r="K913" i="4"/>
  <c r="K917" i="4"/>
  <c r="K921" i="4"/>
  <c r="K925" i="4"/>
  <c r="K929" i="4"/>
  <c r="K933" i="4"/>
  <c r="K937" i="4"/>
  <c r="K941" i="4"/>
  <c r="K945" i="4"/>
  <c r="K949" i="4"/>
  <c r="K953" i="4"/>
  <c r="K957" i="4"/>
  <c r="K961" i="4"/>
  <c r="K965" i="4"/>
  <c r="K969" i="4"/>
  <c r="K973" i="4"/>
  <c r="K977" i="4"/>
  <c r="K981" i="4"/>
  <c r="K985" i="4"/>
  <c r="K989" i="4"/>
  <c r="K1005" i="4"/>
  <c r="K1021" i="4"/>
  <c r="K1041" i="4"/>
  <c r="K1061" i="4"/>
  <c r="K1077" i="4"/>
  <c r="K1093" i="4"/>
  <c r="K842" i="4"/>
  <c r="K846" i="4"/>
  <c r="K850" i="4"/>
  <c r="K854" i="4"/>
  <c r="K858" i="4"/>
  <c r="K862" i="4"/>
  <c r="K866" i="4"/>
  <c r="K870" i="4"/>
  <c r="K874" i="4"/>
  <c r="K878" i="4"/>
  <c r="K882" i="4"/>
  <c r="K886" i="4"/>
  <c r="K890" i="4"/>
  <c r="K894" i="4"/>
  <c r="K898" i="4"/>
  <c r="K902" i="4"/>
  <c r="K906" i="4"/>
  <c r="K910" i="4"/>
  <c r="K914" i="4"/>
  <c r="K918" i="4"/>
  <c r="K922" i="4"/>
  <c r="K926" i="4"/>
  <c r="K930" i="4"/>
  <c r="K934" i="4"/>
  <c r="K938" i="4"/>
  <c r="K942" i="4"/>
  <c r="R942" i="4" s="1"/>
  <c r="S942" i="4" s="1"/>
  <c r="K946" i="4"/>
  <c r="K950" i="4"/>
  <c r="K954" i="4"/>
  <c r="K958" i="4"/>
  <c r="K962" i="4"/>
  <c r="K966" i="4"/>
  <c r="K970" i="4"/>
  <c r="K974" i="4"/>
  <c r="K978" i="4"/>
  <c r="K982" i="4"/>
  <c r="K986" i="4"/>
  <c r="K990" i="4"/>
  <c r="K994" i="4"/>
  <c r="K998" i="4"/>
  <c r="K1002" i="4"/>
  <c r="K1006" i="4"/>
  <c r="K1010" i="4"/>
  <c r="K1014" i="4"/>
  <c r="K1018" i="4"/>
  <c r="K1022" i="4"/>
  <c r="K1026" i="4"/>
  <c r="K1030" i="4"/>
  <c r="K1034" i="4"/>
  <c r="K1038" i="4"/>
  <c r="K1042" i="4"/>
  <c r="K1046" i="4"/>
  <c r="K1050" i="4"/>
  <c r="K1054" i="4"/>
  <c r="K1058" i="4"/>
  <c r="K1062" i="4"/>
  <c r="K1066" i="4"/>
  <c r="K1070" i="4"/>
  <c r="K1074" i="4"/>
  <c r="K1078" i="4"/>
  <c r="K1082" i="4"/>
  <c r="K1086" i="4"/>
  <c r="K1090" i="4"/>
  <c r="K1094" i="4"/>
  <c r="K960" i="4"/>
  <c r="K968" i="4"/>
  <c r="K980" i="4"/>
  <c r="K996" i="4"/>
  <c r="K1004" i="4"/>
  <c r="K1016" i="4"/>
  <c r="K1028" i="4"/>
  <c r="K1036" i="4"/>
  <c r="K1048" i="4"/>
  <c r="K1060" i="4"/>
  <c r="K1068" i="4"/>
  <c r="K1080" i="4"/>
  <c r="K1092" i="4"/>
  <c r="K1001" i="4"/>
  <c r="K1013" i="4"/>
  <c r="K1029" i="4"/>
  <c r="K1045" i="4"/>
  <c r="K1057" i="4"/>
  <c r="K1069" i="4"/>
  <c r="K1085" i="4"/>
  <c r="K843" i="4"/>
  <c r="K847" i="4"/>
  <c r="K851" i="4"/>
  <c r="K855" i="4"/>
  <c r="K859" i="4"/>
  <c r="K863" i="4"/>
  <c r="K867" i="4"/>
  <c r="K871" i="4"/>
  <c r="K875" i="4"/>
  <c r="K879" i="4"/>
  <c r="K883" i="4"/>
  <c r="K887" i="4"/>
  <c r="K891" i="4"/>
  <c r="K895" i="4"/>
  <c r="K899" i="4"/>
  <c r="K903" i="4"/>
  <c r="K907" i="4"/>
  <c r="K911" i="4"/>
  <c r="K915" i="4"/>
  <c r="K919" i="4"/>
  <c r="K923" i="4"/>
  <c r="K927" i="4"/>
  <c r="K931" i="4"/>
  <c r="K935" i="4"/>
  <c r="K939" i="4"/>
  <c r="K943" i="4"/>
  <c r="K947" i="4"/>
  <c r="K951" i="4"/>
  <c r="K955" i="4"/>
  <c r="K959" i="4"/>
  <c r="K963" i="4"/>
  <c r="K967" i="4"/>
  <c r="K971" i="4"/>
  <c r="K975" i="4"/>
  <c r="P975" i="4" s="1"/>
  <c r="K979" i="4"/>
  <c r="K983" i="4"/>
  <c r="K987" i="4"/>
  <c r="K991" i="4"/>
  <c r="K995" i="4"/>
  <c r="K999" i="4"/>
  <c r="K1003" i="4"/>
  <c r="K1007" i="4"/>
  <c r="K1011" i="4"/>
  <c r="K1015" i="4"/>
  <c r="K1019" i="4"/>
  <c r="K1023" i="4"/>
  <c r="K1027" i="4"/>
  <c r="K1031" i="4"/>
  <c r="K1035" i="4"/>
  <c r="K1039" i="4"/>
  <c r="K1043" i="4"/>
  <c r="K1047" i="4"/>
  <c r="K1051" i="4"/>
  <c r="K1055" i="4"/>
  <c r="K1059" i="4"/>
  <c r="K1063" i="4"/>
  <c r="K1067" i="4"/>
  <c r="K1071" i="4"/>
  <c r="K1075" i="4"/>
  <c r="K1079" i="4"/>
  <c r="K1083" i="4"/>
  <c r="K1087" i="4"/>
  <c r="K1091" i="4"/>
  <c r="K1095" i="4"/>
  <c r="K956" i="4"/>
  <c r="K972" i="4"/>
  <c r="K984" i="4"/>
  <c r="K988" i="4"/>
  <c r="K1000" i="4"/>
  <c r="K1012" i="4"/>
  <c r="K1024" i="4"/>
  <c r="K1032" i="4"/>
  <c r="K1044" i="4"/>
  <c r="K1056" i="4"/>
  <c r="K1064" i="4"/>
  <c r="K1076" i="4"/>
  <c r="K1088" i="4"/>
  <c r="K993" i="4"/>
  <c r="K1009" i="4"/>
  <c r="K1025" i="4"/>
  <c r="K1037" i="4"/>
  <c r="K1049" i="4"/>
  <c r="K1065" i="4"/>
  <c r="K1081" i="4"/>
  <c r="J1090" i="4"/>
  <c r="I1090" i="4"/>
  <c r="Q1090" i="4" s="1"/>
  <c r="I221" i="4"/>
  <c r="Q221" i="4" s="1"/>
  <c r="J762" i="4"/>
  <c r="I762" i="4"/>
  <c r="Q762" i="4" s="1"/>
  <c r="J943" i="4"/>
  <c r="I944" i="4"/>
  <c r="Q944" i="4" s="1"/>
  <c r="I943" i="4"/>
  <c r="Q943" i="4" s="1"/>
  <c r="J409" i="4"/>
  <c r="I409" i="4"/>
  <c r="Q409" i="4" s="1"/>
  <c r="E410" i="4"/>
  <c r="D409" i="4"/>
  <c r="J828" i="4"/>
  <c r="I828" i="4"/>
  <c r="Q828" i="4" s="1"/>
  <c r="J977" i="4"/>
  <c r="I977" i="4"/>
  <c r="Q977" i="4" s="1"/>
  <c r="J976" i="4"/>
  <c r="I976" i="4"/>
  <c r="Q976" i="4" s="1"/>
  <c r="J697" i="4"/>
  <c r="I697" i="4"/>
  <c r="Q697" i="4" s="1"/>
  <c r="J761" i="4"/>
  <c r="I761" i="4"/>
  <c r="Q761" i="4" s="1"/>
  <c r="D976" i="4"/>
  <c r="E222" i="4"/>
  <c r="F222" i="4" s="1"/>
  <c r="J221" i="4"/>
  <c r="D221" i="4"/>
  <c r="E1091" i="4"/>
  <c r="D1090" i="4"/>
  <c r="D977" i="4"/>
  <c r="E978" i="4"/>
  <c r="D944" i="4"/>
  <c r="D943" i="4"/>
  <c r="D828" i="4"/>
  <c r="E829" i="4"/>
  <c r="E763" i="4"/>
  <c r="D762" i="4"/>
  <c r="D697" i="4"/>
  <c r="E698" i="4"/>
  <c r="X5" i="1"/>
  <c r="W5" i="1"/>
  <c r="V5" i="1"/>
  <c r="U5" i="1"/>
  <c r="L62" i="1"/>
  <c r="L64" i="1"/>
  <c r="L66" i="1"/>
  <c r="L68" i="1"/>
  <c r="L70" i="1"/>
  <c r="L72" i="1"/>
  <c r="L74" i="1"/>
  <c r="L76" i="1"/>
  <c r="L79" i="1"/>
  <c r="L59" i="1"/>
  <c r="L60" i="1"/>
  <c r="L77" i="1"/>
  <c r="L80" i="1"/>
  <c r="O80" i="1" s="1"/>
  <c r="L61" i="1"/>
  <c r="L63" i="1"/>
  <c r="L65" i="1"/>
  <c r="L67" i="1"/>
  <c r="L69" i="1"/>
  <c r="L71" i="1"/>
  <c r="L73" i="1"/>
  <c r="L75" i="1"/>
  <c r="L81" i="1"/>
  <c r="L78" i="1"/>
  <c r="L82" i="1"/>
  <c r="L7" i="1"/>
  <c r="L15" i="1"/>
  <c r="L23" i="1"/>
  <c r="L8" i="1"/>
  <c r="L16" i="1"/>
  <c r="L24" i="1"/>
  <c r="L9" i="1"/>
  <c r="O9" i="1" s="1"/>
  <c r="L17" i="1"/>
  <c r="O17" i="1" s="1"/>
  <c r="L25" i="1"/>
  <c r="O25" i="1" s="1"/>
  <c r="L10" i="1"/>
  <c r="O10" i="1" s="1"/>
  <c r="L18" i="1"/>
  <c r="L26" i="1"/>
  <c r="O26" i="1" s="1"/>
  <c r="L11" i="1"/>
  <c r="L19" i="1"/>
  <c r="L27" i="1"/>
  <c r="L14" i="1"/>
  <c r="L20" i="1"/>
  <c r="L21" i="1"/>
  <c r="L22" i="1"/>
  <c r="L28" i="1"/>
  <c r="M5" i="1"/>
  <c r="L12" i="1"/>
  <c r="L13" i="1"/>
  <c r="L6" i="1"/>
  <c r="L33" i="1"/>
  <c r="L36" i="1"/>
  <c r="L38" i="1"/>
  <c r="L40" i="1"/>
  <c r="L42" i="1"/>
  <c r="L44" i="1"/>
  <c r="L46" i="1"/>
  <c r="L48" i="1"/>
  <c r="L50" i="1"/>
  <c r="L53" i="1"/>
  <c r="O53" i="1" s="1"/>
  <c r="L34" i="1"/>
  <c r="L32" i="1"/>
  <c r="L35" i="1"/>
  <c r="L41" i="1"/>
  <c r="L45" i="1"/>
  <c r="L37" i="1"/>
  <c r="L39" i="1"/>
  <c r="L43" i="1"/>
  <c r="L49" i="1"/>
  <c r="L55" i="1"/>
  <c r="L51" i="1"/>
  <c r="L54" i="1"/>
  <c r="L52" i="1"/>
  <c r="L47" i="1"/>
  <c r="I25" i="1"/>
  <c r="J26" i="1"/>
  <c r="S187" i="4" l="1"/>
  <c r="T187" i="4"/>
  <c r="U187" i="4" s="1"/>
  <c r="V187" i="4" s="1"/>
  <c r="W187" i="4" s="1"/>
  <c r="S164" i="4"/>
  <c r="T164" i="4"/>
  <c r="U164" i="4" s="1"/>
  <c r="V164" i="4" s="1"/>
  <c r="W164" i="4" s="1"/>
  <c r="S112" i="4"/>
  <c r="T112" i="4"/>
  <c r="U112" i="4" s="1"/>
  <c r="V112" i="4" s="1"/>
  <c r="W112" i="4" s="1"/>
  <c r="S197" i="4"/>
  <c r="T197" i="4"/>
  <c r="U197" i="4" s="1"/>
  <c r="V197" i="4" s="1"/>
  <c r="W197" i="4" s="1"/>
  <c r="S202" i="4"/>
  <c r="T202" i="4"/>
  <c r="U202" i="4" s="1"/>
  <c r="V202" i="4" s="1"/>
  <c r="W202" i="4" s="1"/>
  <c r="S105" i="4"/>
  <c r="T105" i="4"/>
  <c r="U105" i="4" s="1"/>
  <c r="V105" i="4" s="1"/>
  <c r="W105" i="4" s="1"/>
  <c r="S190" i="4"/>
  <c r="T190" i="4"/>
  <c r="U190" i="4" s="1"/>
  <c r="V190" i="4" s="1"/>
  <c r="W190" i="4" s="1"/>
  <c r="S186" i="4"/>
  <c r="T186" i="4"/>
  <c r="U186" i="4" s="1"/>
  <c r="V186" i="4" s="1"/>
  <c r="W186" i="4" s="1"/>
  <c r="S167" i="4"/>
  <c r="T167" i="4"/>
  <c r="U167" i="4" s="1"/>
  <c r="V167" i="4" s="1"/>
  <c r="W167" i="4" s="1"/>
  <c r="S163" i="4"/>
  <c r="T163" i="4"/>
  <c r="U163" i="4" s="1"/>
  <c r="V163" i="4" s="1"/>
  <c r="W163" i="4" s="1"/>
  <c r="S170" i="4"/>
  <c r="T170" i="4"/>
  <c r="U170" i="4" s="1"/>
  <c r="V170" i="4" s="1"/>
  <c r="W170" i="4" s="1"/>
  <c r="S96" i="4"/>
  <c r="T96" i="4"/>
  <c r="U96" i="4" s="1"/>
  <c r="V96" i="4" s="1"/>
  <c r="W96" i="4" s="1"/>
  <c r="S98" i="4"/>
  <c r="T98" i="4"/>
  <c r="U98" i="4" s="1"/>
  <c r="V98" i="4" s="1"/>
  <c r="W98" i="4" s="1"/>
  <c r="S111" i="4"/>
  <c r="T111" i="4"/>
  <c r="U111" i="4" s="1"/>
  <c r="V111" i="4" s="1"/>
  <c r="W111" i="4" s="1"/>
  <c r="S101" i="4"/>
  <c r="T101" i="4"/>
  <c r="U101" i="4" s="1"/>
  <c r="V101" i="4" s="1"/>
  <c r="W101" i="4" s="1"/>
  <c r="S97" i="4"/>
  <c r="T97" i="4"/>
  <c r="U97" i="4" s="1"/>
  <c r="V97" i="4" s="1"/>
  <c r="W97" i="4" s="1"/>
  <c r="S194" i="4"/>
  <c r="T194" i="4"/>
  <c r="U194" i="4" s="1"/>
  <c r="V194" i="4" s="1"/>
  <c r="W194" i="4" s="1"/>
  <c r="S11" i="4"/>
  <c r="T11" i="4"/>
  <c r="U11" i="4" s="1"/>
  <c r="V11" i="4" s="1"/>
  <c r="W11" i="4" s="1"/>
  <c r="S200" i="4"/>
  <c r="T200" i="4"/>
  <c r="U200" i="4" s="1"/>
  <c r="V200" i="4" s="1"/>
  <c r="W200" i="4" s="1"/>
  <c r="S191" i="4"/>
  <c r="T191" i="4"/>
  <c r="U191" i="4" s="1"/>
  <c r="V191" i="4" s="1"/>
  <c r="W191" i="4" s="1"/>
  <c r="S168" i="4"/>
  <c r="T168" i="4"/>
  <c r="U168" i="4" s="1"/>
  <c r="V168" i="4" s="1"/>
  <c r="W168" i="4" s="1"/>
  <c r="S169" i="4"/>
  <c r="T169" i="4"/>
  <c r="U169" i="4" s="1"/>
  <c r="V169" i="4" s="1"/>
  <c r="W169" i="4" s="1"/>
  <c r="S110" i="4"/>
  <c r="T110" i="4"/>
  <c r="U110" i="4" s="1"/>
  <c r="V110" i="4" s="1"/>
  <c r="W110" i="4" s="1"/>
  <c r="S192" i="4"/>
  <c r="T192" i="4"/>
  <c r="U192" i="4" s="1"/>
  <c r="V192" i="4" s="1"/>
  <c r="W192" i="4" s="1"/>
  <c r="S204" i="4"/>
  <c r="T204" i="4"/>
  <c r="U204" i="4" s="1"/>
  <c r="V204" i="4" s="1"/>
  <c r="W204" i="4" s="1"/>
  <c r="S12" i="4"/>
  <c r="T12" i="4"/>
  <c r="U12" i="4" s="1"/>
  <c r="V12" i="4" s="1"/>
  <c r="W12" i="4" s="1"/>
  <c r="S189" i="4"/>
  <c r="T189" i="4"/>
  <c r="U189" i="4" s="1"/>
  <c r="V189" i="4" s="1"/>
  <c r="W189" i="4" s="1"/>
  <c r="S185" i="4"/>
  <c r="T185" i="4"/>
  <c r="U185" i="4" s="1"/>
  <c r="V185" i="4" s="1"/>
  <c r="W185" i="4" s="1"/>
  <c r="S166" i="4"/>
  <c r="T166" i="4"/>
  <c r="U166" i="4" s="1"/>
  <c r="V166" i="4" s="1"/>
  <c r="W166" i="4" s="1"/>
  <c r="S162" i="4"/>
  <c r="T162" i="4"/>
  <c r="U162" i="4" s="1"/>
  <c r="V162" i="4" s="1"/>
  <c r="W162" i="4" s="1"/>
  <c r="S109" i="4"/>
  <c r="T109" i="4"/>
  <c r="U109" i="4" s="1"/>
  <c r="V109" i="4" s="1"/>
  <c r="W109" i="4" s="1"/>
  <c r="S196" i="4"/>
  <c r="T196" i="4"/>
  <c r="U196" i="4" s="1"/>
  <c r="V196" i="4" s="1"/>
  <c r="W196" i="4" s="1"/>
  <c r="S10" i="4"/>
  <c r="T10" i="4"/>
  <c r="U10" i="4" s="1"/>
  <c r="V10" i="4" s="1"/>
  <c r="W10" i="4" s="1"/>
  <c r="S107" i="4"/>
  <c r="T107" i="4"/>
  <c r="U107" i="4" s="1"/>
  <c r="V107" i="4" s="1"/>
  <c r="W107" i="4" s="1"/>
  <c r="S100" i="4"/>
  <c r="T100" i="4"/>
  <c r="U100" i="4" s="1"/>
  <c r="V100" i="4" s="1"/>
  <c r="W100" i="4" s="1"/>
  <c r="S13" i="4"/>
  <c r="T13" i="4"/>
  <c r="U13" i="4" s="1"/>
  <c r="V13" i="4" s="1"/>
  <c r="W13" i="4" s="1"/>
  <c r="S201" i="4"/>
  <c r="T201" i="4"/>
  <c r="U201" i="4" s="1"/>
  <c r="V201" i="4" s="1"/>
  <c r="W201" i="4" s="1"/>
  <c r="S99" i="4"/>
  <c r="T99" i="4"/>
  <c r="U99" i="4" s="1"/>
  <c r="V99" i="4" s="1"/>
  <c r="W99" i="4" s="1"/>
  <c r="S199" i="4"/>
  <c r="T199" i="4"/>
  <c r="U199" i="4" s="1"/>
  <c r="V199" i="4" s="1"/>
  <c r="W199" i="4" s="1"/>
  <c r="S188" i="4"/>
  <c r="T188" i="4"/>
  <c r="U188" i="4" s="1"/>
  <c r="V188" i="4" s="1"/>
  <c r="W188" i="4" s="1"/>
  <c r="S184" i="4"/>
  <c r="T184" i="4"/>
  <c r="U184" i="4" s="1"/>
  <c r="V184" i="4" s="1"/>
  <c r="W184" i="4" s="1"/>
  <c r="S165" i="4"/>
  <c r="T165" i="4"/>
  <c r="U165" i="4" s="1"/>
  <c r="V165" i="4" s="1"/>
  <c r="W165" i="4" s="1"/>
  <c r="S171" i="4"/>
  <c r="T171" i="4"/>
  <c r="U171" i="4" s="1"/>
  <c r="V171" i="4" s="1"/>
  <c r="W171" i="4" s="1"/>
  <c r="S106" i="4"/>
  <c r="T106" i="4"/>
  <c r="U106" i="4" s="1"/>
  <c r="V106" i="4" s="1"/>
  <c r="W106" i="4" s="1"/>
  <c r="S198" i="4"/>
  <c r="T198" i="4"/>
  <c r="U198" i="4" s="1"/>
  <c r="V198" i="4" s="1"/>
  <c r="W198" i="4" s="1"/>
  <c r="S103" i="4"/>
  <c r="T103" i="4"/>
  <c r="U103" i="4" s="1"/>
  <c r="V103" i="4" s="1"/>
  <c r="W103" i="4" s="1"/>
  <c r="S203" i="4"/>
  <c r="T203" i="4"/>
  <c r="U203" i="4" s="1"/>
  <c r="V203" i="4" s="1"/>
  <c r="W203" i="4" s="1"/>
  <c r="S104" i="4"/>
  <c r="T104" i="4"/>
  <c r="U104" i="4" s="1"/>
  <c r="V104" i="4" s="1"/>
  <c r="W104" i="4" s="1"/>
  <c r="S195" i="4"/>
  <c r="T195" i="4"/>
  <c r="U195" i="4" s="1"/>
  <c r="V195" i="4" s="1"/>
  <c r="W195" i="4" s="1"/>
  <c r="S193" i="4"/>
  <c r="T193" i="4"/>
  <c r="U193" i="4" s="1"/>
  <c r="V193" i="4" s="1"/>
  <c r="W193" i="4" s="1"/>
  <c r="S102" i="4"/>
  <c r="T102" i="4"/>
  <c r="U102" i="4" s="1"/>
  <c r="V102" i="4" s="1"/>
  <c r="W102" i="4" s="1"/>
  <c r="S108" i="4"/>
  <c r="T108" i="4"/>
  <c r="U108" i="4" s="1"/>
  <c r="V108" i="4" s="1"/>
  <c r="W108" i="4" s="1"/>
  <c r="S181" i="4"/>
  <c r="T181" i="4"/>
  <c r="U181" i="4" s="1"/>
  <c r="V181" i="4" s="1"/>
  <c r="W181" i="4" s="1"/>
  <c r="S177" i="4"/>
  <c r="T177" i="4"/>
  <c r="U177" i="4" s="1"/>
  <c r="V177" i="4" s="1"/>
  <c r="W177" i="4" s="1"/>
  <c r="S173" i="4"/>
  <c r="T173" i="4"/>
  <c r="U173" i="4" s="1"/>
  <c r="V173" i="4" s="1"/>
  <c r="W173" i="4" s="1"/>
  <c r="S4" i="4"/>
  <c r="T4" i="4"/>
  <c r="U4" i="4" s="1"/>
  <c r="V4" i="4" s="1"/>
  <c r="W4" i="4" s="1"/>
  <c r="S180" i="4"/>
  <c r="T180" i="4"/>
  <c r="U180" i="4" s="1"/>
  <c r="V180" i="4" s="1"/>
  <c r="W180" i="4" s="1"/>
  <c r="S176" i="4"/>
  <c r="T176" i="4"/>
  <c r="U176" i="4" s="1"/>
  <c r="V176" i="4" s="1"/>
  <c r="W176" i="4" s="1"/>
  <c r="S172" i="4"/>
  <c r="T172" i="4"/>
  <c r="U172" i="4" s="1"/>
  <c r="V172" i="4" s="1"/>
  <c r="W172" i="4" s="1"/>
  <c r="S6" i="4"/>
  <c r="T6" i="4"/>
  <c r="U6" i="4" s="1"/>
  <c r="V6" i="4" s="1"/>
  <c r="W6" i="4" s="1"/>
  <c r="S183" i="4"/>
  <c r="T183" i="4"/>
  <c r="U183" i="4" s="1"/>
  <c r="V183" i="4" s="1"/>
  <c r="W183" i="4" s="1"/>
  <c r="S179" i="4"/>
  <c r="T179" i="4"/>
  <c r="U179" i="4" s="1"/>
  <c r="V179" i="4" s="1"/>
  <c r="W179" i="4" s="1"/>
  <c r="S175" i="4"/>
  <c r="T175" i="4"/>
  <c r="U175" i="4" s="1"/>
  <c r="V175" i="4" s="1"/>
  <c r="W175" i="4" s="1"/>
  <c r="S8" i="4"/>
  <c r="T8" i="4"/>
  <c r="U8" i="4" s="1"/>
  <c r="V8" i="4" s="1"/>
  <c r="W8" i="4" s="1"/>
  <c r="S7" i="4"/>
  <c r="T7" i="4"/>
  <c r="U7" i="4" s="1"/>
  <c r="V7" i="4" s="1"/>
  <c r="W7" i="4" s="1"/>
  <c r="S182" i="4"/>
  <c r="T182" i="4"/>
  <c r="U182" i="4" s="1"/>
  <c r="V182" i="4" s="1"/>
  <c r="W182" i="4" s="1"/>
  <c r="S178" i="4"/>
  <c r="T178" i="4"/>
  <c r="U178" i="4" s="1"/>
  <c r="V178" i="4" s="1"/>
  <c r="W178" i="4" s="1"/>
  <c r="S174" i="4"/>
  <c r="T174" i="4"/>
  <c r="U174" i="4" s="1"/>
  <c r="V174" i="4" s="1"/>
  <c r="W174" i="4" s="1"/>
  <c r="S5" i="4"/>
  <c r="T5" i="4"/>
  <c r="U5" i="4" s="1"/>
  <c r="V5" i="4" s="1"/>
  <c r="W5" i="4" s="1"/>
  <c r="S9" i="4"/>
  <c r="T9" i="4"/>
  <c r="U9" i="4" s="1"/>
  <c r="V9" i="4" s="1"/>
  <c r="W9" i="4" s="1"/>
  <c r="P760" i="4"/>
  <c r="R221" i="4"/>
  <c r="S221" i="4" s="1"/>
  <c r="Y217" i="4"/>
  <c r="X217" i="4"/>
  <c r="Y218" i="4"/>
  <c r="X218" i="4"/>
  <c r="Y3" i="4"/>
  <c r="X3" i="4"/>
  <c r="Y220" i="4"/>
  <c r="X220" i="4"/>
  <c r="P943" i="4"/>
  <c r="R943" i="4"/>
  <c r="R1088" i="4"/>
  <c r="S1088" i="4" s="1"/>
  <c r="R956" i="4"/>
  <c r="R1083" i="4"/>
  <c r="R971" i="4"/>
  <c r="R955" i="4"/>
  <c r="S955" i="4" s="1"/>
  <c r="R939" i="4"/>
  <c r="R923" i="4"/>
  <c r="S923" i="4" s="1"/>
  <c r="R907" i="4"/>
  <c r="R891" i="4"/>
  <c r="S891" i="4" s="1"/>
  <c r="R960" i="4"/>
  <c r="R1082" i="4"/>
  <c r="R970" i="4"/>
  <c r="S970" i="4" s="1"/>
  <c r="R954" i="4"/>
  <c r="S954" i="4" s="1"/>
  <c r="R938" i="4"/>
  <c r="R922" i="4"/>
  <c r="S922" i="4" s="1"/>
  <c r="R906" i="4"/>
  <c r="R890" i="4"/>
  <c r="S890" i="4" s="1"/>
  <c r="R969" i="4"/>
  <c r="R953" i="4"/>
  <c r="S953" i="4" s="1"/>
  <c r="R937" i="4"/>
  <c r="R921" i="4"/>
  <c r="S921" i="4" s="1"/>
  <c r="R905" i="4"/>
  <c r="R889" i="4"/>
  <c r="S889" i="4" s="1"/>
  <c r="R952" i="4"/>
  <c r="R936" i="4"/>
  <c r="S936" i="4" s="1"/>
  <c r="R920" i="4"/>
  <c r="R904" i="4"/>
  <c r="S904" i="4" s="1"/>
  <c r="R888" i="4"/>
  <c r="S888" i="4" s="1"/>
  <c r="R811" i="4"/>
  <c r="S811" i="4" s="1"/>
  <c r="R683" i="4"/>
  <c r="R667" i="4"/>
  <c r="S667" i="4" s="1"/>
  <c r="R651" i="4"/>
  <c r="S651" i="4" s="1"/>
  <c r="R635" i="4"/>
  <c r="S635" i="4" s="1"/>
  <c r="R619" i="4"/>
  <c r="R818" i="4"/>
  <c r="S818" i="4" s="1"/>
  <c r="R802" i="4"/>
  <c r="S802" i="4" s="1"/>
  <c r="R754" i="4"/>
  <c r="S754" i="4" s="1"/>
  <c r="R690" i="4"/>
  <c r="R674" i="4"/>
  <c r="S674" i="4" s="1"/>
  <c r="R658" i="4"/>
  <c r="S658" i="4" s="1"/>
  <c r="R642" i="4"/>
  <c r="S642" i="4" s="1"/>
  <c r="R626" i="4"/>
  <c r="R610" i="4"/>
  <c r="S610" i="4" s="1"/>
  <c r="R825" i="4"/>
  <c r="S825" i="4" s="1"/>
  <c r="R809" i="4"/>
  <c r="S809" i="4" s="1"/>
  <c r="R681" i="4"/>
  <c r="R665" i="4"/>
  <c r="S665" i="4" s="1"/>
  <c r="R649" i="4"/>
  <c r="R633" i="4"/>
  <c r="S633" i="4" s="1"/>
  <c r="R617" i="4"/>
  <c r="S617" i="4" s="1"/>
  <c r="R816" i="4"/>
  <c r="S816" i="4" s="1"/>
  <c r="R752" i="4"/>
  <c r="R688" i="4"/>
  <c r="S688" i="4" s="1"/>
  <c r="R672" i="4"/>
  <c r="S672" i="4" s="1"/>
  <c r="R656" i="4"/>
  <c r="S656" i="4" s="1"/>
  <c r="R640" i="4"/>
  <c r="R624" i="4"/>
  <c r="S624" i="4" s="1"/>
  <c r="R608" i="4"/>
  <c r="S608" i="4" s="1"/>
  <c r="P761" i="4"/>
  <c r="R761" i="4"/>
  <c r="P976" i="4"/>
  <c r="R976" i="4"/>
  <c r="S976" i="4" s="1"/>
  <c r="P828" i="4"/>
  <c r="R828" i="4"/>
  <c r="P409" i="4"/>
  <c r="R409" i="4"/>
  <c r="S409" i="4" s="1"/>
  <c r="P1090" i="4"/>
  <c r="R1090" i="4"/>
  <c r="S1090" i="4" s="1"/>
  <c r="R1081" i="4"/>
  <c r="S1081" i="4" s="1"/>
  <c r="R1076" i="4"/>
  <c r="S1076" i="4" s="1"/>
  <c r="R1079" i="4"/>
  <c r="S1079" i="4" s="1"/>
  <c r="R967" i="4"/>
  <c r="S967" i="4" s="1"/>
  <c r="R951" i="4"/>
  <c r="S951" i="4" s="1"/>
  <c r="R935" i="4"/>
  <c r="S935" i="4" s="1"/>
  <c r="R919" i="4"/>
  <c r="S919" i="4" s="1"/>
  <c r="R903" i="4"/>
  <c r="S903" i="4" s="1"/>
  <c r="R887" i="4"/>
  <c r="S887" i="4" s="1"/>
  <c r="R1085" i="4"/>
  <c r="S1085" i="4" s="1"/>
  <c r="R1080" i="4"/>
  <c r="S1080" i="4" s="1"/>
  <c r="R1078" i="4"/>
  <c r="S1078" i="4" s="1"/>
  <c r="R966" i="4"/>
  <c r="S966" i="4" s="1"/>
  <c r="R950" i="4"/>
  <c r="S950" i="4" s="1"/>
  <c r="R934" i="4"/>
  <c r="S934" i="4" s="1"/>
  <c r="R918" i="4"/>
  <c r="S918" i="4" s="1"/>
  <c r="R902" i="4"/>
  <c r="S902" i="4" s="1"/>
  <c r="R886" i="4"/>
  <c r="S886" i="4" s="1"/>
  <c r="R965" i="4"/>
  <c r="S965" i="4" s="1"/>
  <c r="R949" i="4"/>
  <c r="S949" i="4" s="1"/>
  <c r="R933" i="4"/>
  <c r="S933" i="4" s="1"/>
  <c r="R917" i="4"/>
  <c r="S917" i="4" s="1"/>
  <c r="R901" i="4"/>
  <c r="S901" i="4" s="1"/>
  <c r="R885" i="4"/>
  <c r="S885" i="4" s="1"/>
  <c r="R948" i="4"/>
  <c r="S948" i="4" s="1"/>
  <c r="R932" i="4"/>
  <c r="S932" i="4" s="1"/>
  <c r="R916" i="4"/>
  <c r="S916" i="4" s="1"/>
  <c r="R900" i="4"/>
  <c r="R884" i="4"/>
  <c r="S884" i="4" s="1"/>
  <c r="R823" i="4"/>
  <c r="S823" i="4" s="1"/>
  <c r="R807" i="4"/>
  <c r="S807" i="4" s="1"/>
  <c r="R759" i="4"/>
  <c r="R695" i="4"/>
  <c r="S695" i="4" s="1"/>
  <c r="R679" i="4"/>
  <c r="S679" i="4" s="1"/>
  <c r="R663" i="4"/>
  <c r="S663" i="4" s="1"/>
  <c r="R647" i="4"/>
  <c r="R631" i="4"/>
  <c r="S631" i="4" s="1"/>
  <c r="R615" i="4"/>
  <c r="S615" i="4" s="1"/>
  <c r="R814" i="4"/>
  <c r="S814" i="4" s="1"/>
  <c r="R750" i="4"/>
  <c r="R686" i="4"/>
  <c r="S686" i="4" s="1"/>
  <c r="R670" i="4"/>
  <c r="S670" i="4" s="1"/>
  <c r="R654" i="4"/>
  <c r="S654" i="4" s="1"/>
  <c r="R638" i="4"/>
  <c r="R622" i="4"/>
  <c r="S622" i="4" s="1"/>
  <c r="R606" i="4"/>
  <c r="S606" i="4" s="1"/>
  <c r="R821" i="4"/>
  <c r="S821" i="4" s="1"/>
  <c r="R805" i="4"/>
  <c r="R757" i="4"/>
  <c r="S757" i="4" s="1"/>
  <c r="R693" i="4"/>
  <c r="S693" i="4" s="1"/>
  <c r="R677" i="4"/>
  <c r="S677" i="4" s="1"/>
  <c r="R661" i="4"/>
  <c r="R645" i="4"/>
  <c r="S645" i="4" s="1"/>
  <c r="R629" i="4"/>
  <c r="S629" i="4" s="1"/>
  <c r="R613" i="4"/>
  <c r="S613" i="4" s="1"/>
  <c r="R812" i="4"/>
  <c r="R748" i="4"/>
  <c r="S748" i="4" s="1"/>
  <c r="R684" i="4"/>
  <c r="S684" i="4" s="1"/>
  <c r="R668" i="4"/>
  <c r="S668" i="4" s="1"/>
  <c r="R652" i="4"/>
  <c r="R636" i="4"/>
  <c r="S636" i="4" s="1"/>
  <c r="R620" i="4"/>
  <c r="S620" i="4" s="1"/>
  <c r="R408" i="4"/>
  <c r="S408" i="4" s="1"/>
  <c r="P762" i="4"/>
  <c r="R762" i="4"/>
  <c r="S762" i="4" s="1"/>
  <c r="R963" i="4"/>
  <c r="S963" i="4" s="1"/>
  <c r="R947" i="4"/>
  <c r="S947" i="4" s="1"/>
  <c r="R931" i="4"/>
  <c r="S931" i="4" s="1"/>
  <c r="R915" i="4"/>
  <c r="S915" i="4" s="1"/>
  <c r="R899" i="4"/>
  <c r="S899" i="4" s="1"/>
  <c r="R883" i="4"/>
  <c r="S883" i="4" s="1"/>
  <c r="R962" i="4"/>
  <c r="R946" i="4"/>
  <c r="S946" i="4" s="1"/>
  <c r="R930" i="4"/>
  <c r="S930" i="4" s="1"/>
  <c r="R914" i="4"/>
  <c r="S914" i="4" s="1"/>
  <c r="R898" i="4"/>
  <c r="R882" i="4"/>
  <c r="S882" i="4" s="1"/>
  <c r="R1077" i="4"/>
  <c r="S1077" i="4" s="1"/>
  <c r="R961" i="4"/>
  <c r="S961" i="4" s="1"/>
  <c r="R945" i="4"/>
  <c r="R929" i="4"/>
  <c r="S929" i="4" s="1"/>
  <c r="R913" i="4"/>
  <c r="S913" i="4" s="1"/>
  <c r="R897" i="4"/>
  <c r="S897" i="4" s="1"/>
  <c r="R881" i="4"/>
  <c r="R944" i="4"/>
  <c r="S944" i="4" s="1"/>
  <c r="R928" i="4"/>
  <c r="S928" i="4" s="1"/>
  <c r="R912" i="4"/>
  <c r="S912" i="4" s="1"/>
  <c r="R896" i="4"/>
  <c r="R880" i="4"/>
  <c r="S880" i="4" s="1"/>
  <c r="R819" i="4"/>
  <c r="S819" i="4" s="1"/>
  <c r="R803" i="4"/>
  <c r="S803" i="4" s="1"/>
  <c r="R755" i="4"/>
  <c r="R691" i="4"/>
  <c r="S691" i="4" s="1"/>
  <c r="R675" i="4"/>
  <c r="S675" i="4" s="1"/>
  <c r="R659" i="4"/>
  <c r="S659" i="4" s="1"/>
  <c r="R643" i="4"/>
  <c r="R627" i="4"/>
  <c r="S627" i="4" s="1"/>
  <c r="R611" i="4"/>
  <c r="S611" i="4" s="1"/>
  <c r="R826" i="4"/>
  <c r="S826" i="4" s="1"/>
  <c r="R810" i="4"/>
  <c r="R682" i="4"/>
  <c r="S682" i="4" s="1"/>
  <c r="R666" i="4"/>
  <c r="S666" i="4" s="1"/>
  <c r="R650" i="4"/>
  <c r="S650" i="4" s="1"/>
  <c r="R634" i="4"/>
  <c r="S634" i="4" s="1"/>
  <c r="R618" i="4"/>
  <c r="S618" i="4" s="1"/>
  <c r="R817" i="4"/>
  <c r="S817" i="4" s="1"/>
  <c r="R801" i="4"/>
  <c r="S801" i="4" s="1"/>
  <c r="R753" i="4"/>
  <c r="S753" i="4" s="1"/>
  <c r="R689" i="4"/>
  <c r="S689" i="4" s="1"/>
  <c r="R673" i="4"/>
  <c r="S673" i="4" s="1"/>
  <c r="R657" i="4"/>
  <c r="S657" i="4" s="1"/>
  <c r="R641" i="4"/>
  <c r="S641" i="4" s="1"/>
  <c r="R625" i="4"/>
  <c r="S625" i="4" s="1"/>
  <c r="R609" i="4"/>
  <c r="S609" i="4" s="1"/>
  <c r="R824" i="4"/>
  <c r="S824" i="4" s="1"/>
  <c r="R808" i="4"/>
  <c r="S808" i="4" s="1"/>
  <c r="R680" i="4"/>
  <c r="S680" i="4" s="1"/>
  <c r="R664" i="4"/>
  <c r="S664" i="4" s="1"/>
  <c r="R648" i="4"/>
  <c r="S648" i="4" s="1"/>
  <c r="R632" i="4"/>
  <c r="R616" i="4"/>
  <c r="S616" i="4" s="1"/>
  <c r="R696" i="4"/>
  <c r="S696" i="4" s="1"/>
  <c r="P697" i="4"/>
  <c r="R697" i="4"/>
  <c r="P977" i="4"/>
  <c r="R977" i="4"/>
  <c r="S977" i="4" s="1"/>
  <c r="R972" i="4"/>
  <c r="S972" i="4" s="1"/>
  <c r="R1087" i="4"/>
  <c r="R959" i="4"/>
  <c r="S959" i="4" s="1"/>
  <c r="R927" i="4"/>
  <c r="S927" i="4" s="1"/>
  <c r="R911" i="4"/>
  <c r="S911" i="4" s="1"/>
  <c r="R895" i="4"/>
  <c r="S895" i="4" s="1"/>
  <c r="R879" i="4"/>
  <c r="S879" i="4" s="1"/>
  <c r="R968" i="4"/>
  <c r="S968" i="4" s="1"/>
  <c r="R1086" i="4"/>
  <c r="S1086" i="4" s="1"/>
  <c r="R974" i="4"/>
  <c r="S974" i="4" s="1"/>
  <c r="R958" i="4"/>
  <c r="S958" i="4" s="1"/>
  <c r="R926" i="4"/>
  <c r="S926" i="4" s="1"/>
  <c r="R910" i="4"/>
  <c r="S910" i="4" s="1"/>
  <c r="R894" i="4"/>
  <c r="R878" i="4"/>
  <c r="S878" i="4" s="1"/>
  <c r="R973" i="4"/>
  <c r="S973" i="4" s="1"/>
  <c r="R957" i="4"/>
  <c r="S957" i="4" s="1"/>
  <c r="R941" i="4"/>
  <c r="R925" i="4"/>
  <c r="S925" i="4" s="1"/>
  <c r="R909" i="4"/>
  <c r="S909" i="4" s="1"/>
  <c r="R893" i="4"/>
  <c r="S893" i="4" s="1"/>
  <c r="R1084" i="4"/>
  <c r="R964" i="4"/>
  <c r="S964" i="4" s="1"/>
  <c r="R940" i="4"/>
  <c r="S940" i="4" s="1"/>
  <c r="R924" i="4"/>
  <c r="S924" i="4" s="1"/>
  <c r="R908" i="4"/>
  <c r="R892" i="4"/>
  <c r="S892" i="4" s="1"/>
  <c r="R815" i="4"/>
  <c r="S815" i="4" s="1"/>
  <c r="R751" i="4"/>
  <c r="S751" i="4" s="1"/>
  <c r="R687" i="4"/>
  <c r="R671" i="4"/>
  <c r="S671" i="4" s="1"/>
  <c r="R655" i="4"/>
  <c r="S655" i="4" s="1"/>
  <c r="R639" i="4"/>
  <c r="S639" i="4" s="1"/>
  <c r="R623" i="4"/>
  <c r="R607" i="4"/>
  <c r="S607" i="4" s="1"/>
  <c r="R822" i="4"/>
  <c r="S822" i="4" s="1"/>
  <c r="R806" i="4"/>
  <c r="S806" i="4" s="1"/>
  <c r="R758" i="4"/>
  <c r="R694" i="4"/>
  <c r="S694" i="4" s="1"/>
  <c r="R678" i="4"/>
  <c r="S678" i="4" s="1"/>
  <c r="R662" i="4"/>
  <c r="S662" i="4" s="1"/>
  <c r="R646" i="4"/>
  <c r="R630" i="4"/>
  <c r="S630" i="4" s="1"/>
  <c r="R614" i="4"/>
  <c r="S614" i="4" s="1"/>
  <c r="R813" i="4"/>
  <c r="S813" i="4" s="1"/>
  <c r="R749" i="4"/>
  <c r="R685" i="4"/>
  <c r="S685" i="4" s="1"/>
  <c r="R669" i="4"/>
  <c r="S669" i="4" s="1"/>
  <c r="R653" i="4"/>
  <c r="S653" i="4" s="1"/>
  <c r="R637" i="4"/>
  <c r="R621" i="4"/>
  <c r="S621" i="4" s="1"/>
  <c r="R820" i="4"/>
  <c r="S820" i="4" s="1"/>
  <c r="R804" i="4"/>
  <c r="S804" i="4" s="1"/>
  <c r="R756" i="4"/>
  <c r="R692" i="4"/>
  <c r="S692" i="4" s="1"/>
  <c r="R676" i="4"/>
  <c r="S676" i="4" s="1"/>
  <c r="R660" i="4"/>
  <c r="S660" i="4" s="1"/>
  <c r="R644" i="4"/>
  <c r="R628" i="4"/>
  <c r="S628" i="4" s="1"/>
  <c r="R612" i="4"/>
  <c r="S612" i="4" s="1"/>
  <c r="R407" i="4"/>
  <c r="S407" i="4" s="1"/>
  <c r="R406" i="4"/>
  <c r="R975" i="4"/>
  <c r="S975" i="4" s="1"/>
  <c r="R827" i="4"/>
  <c r="T1088" i="4"/>
  <c r="U1088" i="4" s="1"/>
  <c r="V1088" i="4" s="1"/>
  <c r="W1088" i="4" s="1"/>
  <c r="T955" i="4"/>
  <c r="U955" i="4" s="1"/>
  <c r="V955" i="4" s="1"/>
  <c r="W955" i="4" s="1"/>
  <c r="T891" i="4"/>
  <c r="U891" i="4" s="1"/>
  <c r="V891" i="4" s="1"/>
  <c r="W891" i="4" s="1"/>
  <c r="T954" i="4"/>
  <c r="U954" i="4" s="1"/>
  <c r="V954" i="4" s="1"/>
  <c r="W954" i="4" s="1"/>
  <c r="T890" i="4"/>
  <c r="U890" i="4" s="1"/>
  <c r="V890" i="4" s="1"/>
  <c r="W890" i="4" s="1"/>
  <c r="T921" i="4"/>
  <c r="U921" i="4" s="1"/>
  <c r="V921" i="4" s="1"/>
  <c r="W921" i="4" s="1"/>
  <c r="T936" i="4"/>
  <c r="U936" i="4" s="1"/>
  <c r="V936" i="4" s="1"/>
  <c r="W936" i="4" s="1"/>
  <c r="T811" i="4"/>
  <c r="U811" i="4" s="1"/>
  <c r="V811" i="4" s="1"/>
  <c r="W811" i="4" s="1"/>
  <c r="T635" i="4"/>
  <c r="U635" i="4" s="1"/>
  <c r="V635" i="4" s="1"/>
  <c r="W635" i="4" s="1"/>
  <c r="T754" i="4"/>
  <c r="U754" i="4" s="1"/>
  <c r="V754" i="4" s="1"/>
  <c r="W754" i="4" s="1"/>
  <c r="T642" i="4"/>
  <c r="U642" i="4" s="1"/>
  <c r="V642" i="4" s="1"/>
  <c r="W642" i="4" s="1"/>
  <c r="T610" i="4"/>
  <c r="U610" i="4" s="1"/>
  <c r="V610" i="4" s="1"/>
  <c r="W610" i="4" s="1"/>
  <c r="T809" i="4"/>
  <c r="U809" i="4" s="1"/>
  <c r="V809" i="4" s="1"/>
  <c r="W809" i="4" s="1"/>
  <c r="T633" i="4"/>
  <c r="U633" i="4" s="1"/>
  <c r="V633" i="4" s="1"/>
  <c r="W633" i="4" s="1"/>
  <c r="T688" i="4"/>
  <c r="U688" i="4" s="1"/>
  <c r="V688" i="4" s="1"/>
  <c r="W688" i="4" s="1"/>
  <c r="T656" i="4"/>
  <c r="U656" i="4" s="1"/>
  <c r="V656" i="4" s="1"/>
  <c r="W656" i="4" s="1"/>
  <c r="T624" i="4"/>
  <c r="U624" i="4" s="1"/>
  <c r="V624" i="4" s="1"/>
  <c r="W624" i="4" s="1"/>
  <c r="T1081" i="4"/>
  <c r="U1081" i="4" s="1"/>
  <c r="V1081" i="4" s="1"/>
  <c r="W1081" i="4" s="1"/>
  <c r="T951" i="4"/>
  <c r="U951" i="4" s="1"/>
  <c r="V951" i="4" s="1"/>
  <c r="W951" i="4" s="1"/>
  <c r="T919" i="4"/>
  <c r="U919" i="4" s="1"/>
  <c r="V919" i="4" s="1"/>
  <c r="W919" i="4" s="1"/>
  <c r="T887" i="4"/>
  <c r="U887" i="4" s="1"/>
  <c r="V887" i="4" s="1"/>
  <c r="W887" i="4" s="1"/>
  <c r="T966" i="4"/>
  <c r="U966" i="4" s="1"/>
  <c r="V966" i="4" s="1"/>
  <c r="W966" i="4" s="1"/>
  <c r="T902" i="4"/>
  <c r="U902" i="4" s="1"/>
  <c r="V902" i="4" s="1"/>
  <c r="W902" i="4" s="1"/>
  <c r="T933" i="4"/>
  <c r="U933" i="4" s="1"/>
  <c r="V933" i="4" s="1"/>
  <c r="W933" i="4" s="1"/>
  <c r="T901" i="4"/>
  <c r="U901" i="4" s="1"/>
  <c r="V901" i="4" s="1"/>
  <c r="W901" i="4" s="1"/>
  <c r="T1089" i="4"/>
  <c r="U1089" i="4" s="1"/>
  <c r="V1089" i="4" s="1"/>
  <c r="W1089" i="4" s="1"/>
  <c r="T948" i="4"/>
  <c r="U948" i="4" s="1"/>
  <c r="V948" i="4" s="1"/>
  <c r="W948" i="4" s="1"/>
  <c r="T916" i="4"/>
  <c r="U916" i="4" s="1"/>
  <c r="V916" i="4" s="1"/>
  <c r="W916" i="4" s="1"/>
  <c r="T884" i="4"/>
  <c r="U884" i="4" s="1"/>
  <c r="V884" i="4" s="1"/>
  <c r="W884" i="4" s="1"/>
  <c r="T823" i="4"/>
  <c r="U823" i="4" s="1"/>
  <c r="V823" i="4" s="1"/>
  <c r="W823" i="4" s="1"/>
  <c r="T695" i="4"/>
  <c r="U695" i="4" s="1"/>
  <c r="V695" i="4" s="1"/>
  <c r="W695" i="4" s="1"/>
  <c r="T679" i="4"/>
  <c r="U679" i="4" s="1"/>
  <c r="V679" i="4" s="1"/>
  <c r="W679" i="4" s="1"/>
  <c r="T631" i="4"/>
  <c r="U631" i="4" s="1"/>
  <c r="V631" i="4" s="1"/>
  <c r="W631" i="4" s="1"/>
  <c r="T615" i="4"/>
  <c r="U615" i="4" s="1"/>
  <c r="V615" i="4" s="1"/>
  <c r="W615" i="4" s="1"/>
  <c r="T686" i="4"/>
  <c r="U686" i="4" s="1"/>
  <c r="V686" i="4" s="1"/>
  <c r="W686" i="4" s="1"/>
  <c r="T670" i="4"/>
  <c r="U670" i="4" s="1"/>
  <c r="V670" i="4" s="1"/>
  <c r="W670" i="4" s="1"/>
  <c r="T654" i="4"/>
  <c r="U654" i="4" s="1"/>
  <c r="V654" i="4" s="1"/>
  <c r="W654" i="4" s="1"/>
  <c r="T622" i="4"/>
  <c r="U622" i="4" s="1"/>
  <c r="V622" i="4" s="1"/>
  <c r="W622" i="4" s="1"/>
  <c r="T757" i="4"/>
  <c r="U757" i="4" s="1"/>
  <c r="V757" i="4" s="1"/>
  <c r="W757" i="4" s="1"/>
  <c r="T645" i="4"/>
  <c r="U645" i="4" s="1"/>
  <c r="V645" i="4" s="1"/>
  <c r="W645" i="4" s="1"/>
  <c r="T748" i="4"/>
  <c r="U748" i="4" s="1"/>
  <c r="V748" i="4" s="1"/>
  <c r="W748" i="4" s="1"/>
  <c r="T668" i="4"/>
  <c r="U668" i="4" s="1"/>
  <c r="V668" i="4" s="1"/>
  <c r="W668" i="4" s="1"/>
  <c r="T636" i="4"/>
  <c r="U636" i="4" s="1"/>
  <c r="V636" i="4" s="1"/>
  <c r="W636" i="4" s="1"/>
  <c r="T620" i="4"/>
  <c r="U620" i="4" s="1"/>
  <c r="V620" i="4" s="1"/>
  <c r="W620" i="4" s="1"/>
  <c r="T915" i="4"/>
  <c r="U915" i="4" s="1"/>
  <c r="V915" i="4" s="1"/>
  <c r="W915" i="4" s="1"/>
  <c r="T883" i="4"/>
  <c r="U883" i="4" s="1"/>
  <c r="V883" i="4" s="1"/>
  <c r="W883" i="4" s="1"/>
  <c r="T913" i="4"/>
  <c r="U913" i="4" s="1"/>
  <c r="V913" i="4" s="1"/>
  <c r="W913" i="4" s="1"/>
  <c r="T928" i="4"/>
  <c r="U928" i="4" s="1"/>
  <c r="V928" i="4" s="1"/>
  <c r="W928" i="4" s="1"/>
  <c r="T803" i="4"/>
  <c r="U803" i="4" s="1"/>
  <c r="V803" i="4" s="1"/>
  <c r="W803" i="4" s="1"/>
  <c r="T691" i="4"/>
  <c r="U691" i="4" s="1"/>
  <c r="V691" i="4" s="1"/>
  <c r="W691" i="4" s="1"/>
  <c r="T675" i="4"/>
  <c r="U675" i="4" s="1"/>
  <c r="V675" i="4" s="1"/>
  <c r="W675" i="4" s="1"/>
  <c r="T762" i="4"/>
  <c r="U762" i="4" s="1"/>
  <c r="V762" i="4" s="1"/>
  <c r="W762" i="4" s="1"/>
  <c r="T650" i="4"/>
  <c r="U650" i="4" s="1"/>
  <c r="V650" i="4" s="1"/>
  <c r="W650" i="4" s="1"/>
  <c r="T760" i="4"/>
  <c r="U760" i="4" s="1"/>
  <c r="V760" i="4" s="1"/>
  <c r="W760" i="4" s="1"/>
  <c r="T664" i="4"/>
  <c r="U664" i="4" s="1"/>
  <c r="V664" i="4" s="1"/>
  <c r="W664" i="4" s="1"/>
  <c r="T616" i="4"/>
  <c r="U616" i="4" s="1"/>
  <c r="V616" i="4" s="1"/>
  <c r="W616" i="4" s="1"/>
  <c r="T959" i="4"/>
  <c r="U959" i="4" s="1"/>
  <c r="V959" i="4" s="1"/>
  <c r="W959" i="4" s="1"/>
  <c r="T927" i="4"/>
  <c r="U927" i="4" s="1"/>
  <c r="V927" i="4" s="1"/>
  <c r="W927" i="4" s="1"/>
  <c r="T879" i="4"/>
  <c r="U879" i="4" s="1"/>
  <c r="V879" i="4" s="1"/>
  <c r="W879" i="4" s="1"/>
  <c r="T958" i="4"/>
  <c r="U958" i="4" s="1"/>
  <c r="V958" i="4" s="1"/>
  <c r="W958" i="4" s="1"/>
  <c r="T942" i="4"/>
  <c r="U942" i="4" s="1"/>
  <c r="V942" i="4" s="1"/>
  <c r="W942" i="4" s="1"/>
  <c r="T926" i="4"/>
  <c r="U926" i="4" s="1"/>
  <c r="V926" i="4" s="1"/>
  <c r="W926" i="4" s="1"/>
  <c r="T878" i="4"/>
  <c r="U878" i="4" s="1"/>
  <c r="V878" i="4" s="1"/>
  <c r="W878" i="4" s="1"/>
  <c r="T909" i="4"/>
  <c r="U909" i="4" s="1"/>
  <c r="V909" i="4" s="1"/>
  <c r="W909" i="4" s="1"/>
  <c r="T940" i="4"/>
  <c r="U940" i="4" s="1"/>
  <c r="V940" i="4" s="1"/>
  <c r="W940" i="4" s="1"/>
  <c r="T815" i="4"/>
  <c r="U815" i="4" s="1"/>
  <c r="V815" i="4" s="1"/>
  <c r="W815" i="4" s="1"/>
  <c r="T671" i="4"/>
  <c r="U671" i="4" s="1"/>
  <c r="V671" i="4" s="1"/>
  <c r="W671" i="4" s="1"/>
  <c r="T655" i="4"/>
  <c r="U655" i="4" s="1"/>
  <c r="V655" i="4" s="1"/>
  <c r="W655" i="4" s="1"/>
  <c r="T822" i="4"/>
  <c r="U822" i="4" s="1"/>
  <c r="V822" i="4" s="1"/>
  <c r="W822" i="4" s="1"/>
  <c r="T806" i="4"/>
  <c r="U806" i="4" s="1"/>
  <c r="V806" i="4" s="1"/>
  <c r="W806" i="4" s="1"/>
  <c r="T813" i="4"/>
  <c r="U813" i="4" s="1"/>
  <c r="V813" i="4" s="1"/>
  <c r="W813" i="4" s="1"/>
  <c r="T685" i="4"/>
  <c r="U685" i="4" s="1"/>
  <c r="V685" i="4" s="1"/>
  <c r="W685" i="4" s="1"/>
  <c r="T820" i="4"/>
  <c r="U820" i="4" s="1"/>
  <c r="V820" i="4" s="1"/>
  <c r="W820" i="4" s="1"/>
  <c r="T612" i="4"/>
  <c r="U612" i="4" s="1"/>
  <c r="V612" i="4" s="1"/>
  <c r="W612" i="4" s="1"/>
  <c r="P221" i="4"/>
  <c r="P972" i="4"/>
  <c r="P1087" i="4"/>
  <c r="P959" i="4"/>
  <c r="P927" i="4"/>
  <c r="P911" i="4"/>
  <c r="P895" i="4"/>
  <c r="P879" i="4"/>
  <c r="P968" i="4"/>
  <c r="P1086" i="4"/>
  <c r="P974" i="4"/>
  <c r="P958" i="4"/>
  <c r="P942" i="4"/>
  <c r="P926" i="4"/>
  <c r="P910" i="4"/>
  <c r="P894" i="4"/>
  <c r="P878" i="4"/>
  <c r="P973" i="4"/>
  <c r="P957" i="4"/>
  <c r="P941" i="4"/>
  <c r="P925" i="4"/>
  <c r="P909" i="4"/>
  <c r="P893" i="4"/>
  <c r="P877" i="4"/>
  <c r="P1084" i="4"/>
  <c r="P964" i="4"/>
  <c r="P940" i="4"/>
  <c r="P924" i="4"/>
  <c r="P908" i="4"/>
  <c r="P892" i="4"/>
  <c r="P815" i="4"/>
  <c r="P751" i="4"/>
  <c r="P687" i="4"/>
  <c r="P671" i="4"/>
  <c r="P655" i="4"/>
  <c r="P639" i="4"/>
  <c r="P623" i="4"/>
  <c r="P607" i="4"/>
  <c r="P822" i="4"/>
  <c r="P806" i="4"/>
  <c r="P758" i="4"/>
  <c r="P694" i="4"/>
  <c r="P678" i="4"/>
  <c r="P662" i="4"/>
  <c r="P646" i="4"/>
  <c r="P630" i="4"/>
  <c r="P614" i="4"/>
  <c r="P813" i="4"/>
  <c r="P749" i="4"/>
  <c r="P685" i="4"/>
  <c r="P669" i="4"/>
  <c r="P653" i="4"/>
  <c r="P637" i="4"/>
  <c r="P621" i="4"/>
  <c r="P605" i="4"/>
  <c r="P820" i="4"/>
  <c r="P804" i="4"/>
  <c r="P756" i="4"/>
  <c r="P692" i="4"/>
  <c r="P676" i="4"/>
  <c r="P660" i="4"/>
  <c r="P644" i="4"/>
  <c r="P628" i="4"/>
  <c r="P612" i="4"/>
  <c r="P407" i="4"/>
  <c r="P406" i="4"/>
  <c r="P405" i="4"/>
  <c r="P1088" i="4"/>
  <c r="P956" i="4"/>
  <c r="P1083" i="4"/>
  <c r="P971" i="4"/>
  <c r="P955" i="4"/>
  <c r="P939" i="4"/>
  <c r="P923" i="4"/>
  <c r="P907" i="4"/>
  <c r="P891" i="4"/>
  <c r="P960" i="4"/>
  <c r="P1082" i="4"/>
  <c r="P970" i="4"/>
  <c r="P954" i="4"/>
  <c r="P938" i="4"/>
  <c r="P922" i="4"/>
  <c r="P906" i="4"/>
  <c r="P890" i="4"/>
  <c r="P969" i="4"/>
  <c r="P953" i="4"/>
  <c r="P937" i="4"/>
  <c r="P921" i="4"/>
  <c r="P905" i="4"/>
  <c r="P889" i="4"/>
  <c r="P952" i="4"/>
  <c r="P936" i="4"/>
  <c r="P920" i="4"/>
  <c r="P904" i="4"/>
  <c r="P888" i="4"/>
  <c r="P827" i="4"/>
  <c r="P811" i="4"/>
  <c r="P747" i="4"/>
  <c r="P683" i="4"/>
  <c r="P667" i="4"/>
  <c r="P651" i="4"/>
  <c r="P635" i="4"/>
  <c r="P619" i="4"/>
  <c r="P818" i="4"/>
  <c r="P802" i="4"/>
  <c r="P754" i="4"/>
  <c r="P690" i="4"/>
  <c r="P674" i="4"/>
  <c r="P658" i="4"/>
  <c r="P642" i="4"/>
  <c r="P626" i="4"/>
  <c r="P610" i="4"/>
  <c r="P825" i="4"/>
  <c r="P809" i="4"/>
  <c r="P681" i="4"/>
  <c r="P665" i="4"/>
  <c r="P649" i="4"/>
  <c r="P633" i="4"/>
  <c r="P617" i="4"/>
  <c r="P816" i="4"/>
  <c r="P800" i="4"/>
  <c r="P752" i="4"/>
  <c r="P688" i="4"/>
  <c r="P672" i="4"/>
  <c r="P656" i="4"/>
  <c r="P640" i="4"/>
  <c r="P624" i="4"/>
  <c r="P608" i="4"/>
  <c r="P1081" i="4"/>
  <c r="P1076" i="4"/>
  <c r="P1079" i="4"/>
  <c r="P967" i="4"/>
  <c r="P951" i="4"/>
  <c r="P935" i="4"/>
  <c r="P919" i="4"/>
  <c r="P903" i="4"/>
  <c r="P887" i="4"/>
  <c r="P1085" i="4"/>
  <c r="P1080" i="4"/>
  <c r="P1078" i="4"/>
  <c r="P966" i="4"/>
  <c r="P950" i="4"/>
  <c r="P934" i="4"/>
  <c r="P918" i="4"/>
  <c r="P902" i="4"/>
  <c r="P886" i="4"/>
  <c r="P965" i="4"/>
  <c r="P949" i="4"/>
  <c r="P933" i="4"/>
  <c r="P917" i="4"/>
  <c r="P901" i="4"/>
  <c r="P885" i="4"/>
  <c r="P1089" i="4"/>
  <c r="P948" i="4"/>
  <c r="P932" i="4"/>
  <c r="P916" i="4"/>
  <c r="P900" i="4"/>
  <c r="P884" i="4"/>
  <c r="P823" i="4"/>
  <c r="P807" i="4"/>
  <c r="P759" i="4"/>
  <c r="P695" i="4"/>
  <c r="P679" i="4"/>
  <c r="P663" i="4"/>
  <c r="P647" i="4"/>
  <c r="P631" i="4"/>
  <c r="P615" i="4"/>
  <c r="P814" i="4"/>
  <c r="P750" i="4"/>
  <c r="P686" i="4"/>
  <c r="P670" i="4"/>
  <c r="P654" i="4"/>
  <c r="P638" i="4"/>
  <c r="P622" i="4"/>
  <c r="P606" i="4"/>
  <c r="P821" i="4"/>
  <c r="P805" i="4"/>
  <c r="P757" i="4"/>
  <c r="P693" i="4"/>
  <c r="P677" i="4"/>
  <c r="P661" i="4"/>
  <c r="P645" i="4"/>
  <c r="P629" i="4"/>
  <c r="P613" i="4"/>
  <c r="P812" i="4"/>
  <c r="P748" i="4"/>
  <c r="P684" i="4"/>
  <c r="P668" i="4"/>
  <c r="P652" i="4"/>
  <c r="P636" i="4"/>
  <c r="P620" i="4"/>
  <c r="P408" i="4"/>
  <c r="P1075" i="4"/>
  <c r="P963" i="4"/>
  <c r="P947" i="4"/>
  <c r="P931" i="4"/>
  <c r="P915" i="4"/>
  <c r="P899" i="4"/>
  <c r="P883" i="4"/>
  <c r="P962" i="4"/>
  <c r="P946" i="4"/>
  <c r="P930" i="4"/>
  <c r="P914" i="4"/>
  <c r="P898" i="4"/>
  <c r="P882" i="4"/>
  <c r="P1077" i="4"/>
  <c r="P961" i="4"/>
  <c r="P945" i="4"/>
  <c r="P929" i="4"/>
  <c r="P913" i="4"/>
  <c r="P897" i="4"/>
  <c r="P881" i="4"/>
  <c r="P944" i="4"/>
  <c r="P928" i="4"/>
  <c r="P912" i="4"/>
  <c r="P896" i="4"/>
  <c r="P880" i="4"/>
  <c r="P819" i="4"/>
  <c r="P803" i="4"/>
  <c r="P755" i="4"/>
  <c r="P691" i="4"/>
  <c r="P675" i="4"/>
  <c r="P659" i="4"/>
  <c r="P643" i="4"/>
  <c r="P627" i="4"/>
  <c r="P611" i="4"/>
  <c r="P826" i="4"/>
  <c r="P810" i="4"/>
  <c r="P682" i="4"/>
  <c r="P666" i="4"/>
  <c r="P650" i="4"/>
  <c r="P634" i="4"/>
  <c r="P618" i="4"/>
  <c r="P817" i="4"/>
  <c r="P801" i="4"/>
  <c r="P753" i="4"/>
  <c r="P689" i="4"/>
  <c r="P673" i="4"/>
  <c r="P657" i="4"/>
  <c r="P641" i="4"/>
  <c r="P625" i="4"/>
  <c r="P609" i="4"/>
  <c r="P824" i="4"/>
  <c r="P808" i="4"/>
  <c r="P680" i="4"/>
  <c r="P664" i="4"/>
  <c r="P648" i="4"/>
  <c r="P632" i="4"/>
  <c r="P616" i="4"/>
  <c r="J763" i="4"/>
  <c r="I763" i="4"/>
  <c r="Q763" i="4" s="1"/>
  <c r="J410" i="4"/>
  <c r="I410" i="4"/>
  <c r="Q410" i="4" s="1"/>
  <c r="E411" i="4"/>
  <c r="D410" i="4"/>
  <c r="J1091" i="4"/>
  <c r="I1091" i="4"/>
  <c r="Q1091" i="4" s="1"/>
  <c r="J698" i="4"/>
  <c r="I698" i="4"/>
  <c r="Q698" i="4" s="1"/>
  <c r="J829" i="4"/>
  <c r="I829" i="4"/>
  <c r="Q829" i="4" s="1"/>
  <c r="J978" i="4"/>
  <c r="I978" i="4"/>
  <c r="Q978" i="4" s="1"/>
  <c r="I222" i="4"/>
  <c r="Q222" i="4" s="1"/>
  <c r="E223" i="4"/>
  <c r="F223" i="4" s="1"/>
  <c r="J222" i="4"/>
  <c r="D222" i="4"/>
  <c r="E1092" i="4"/>
  <c r="D1091" i="4"/>
  <c r="D978" i="4"/>
  <c r="E979" i="4"/>
  <c r="E830" i="4"/>
  <c r="D829" i="4"/>
  <c r="D763" i="4"/>
  <c r="E764" i="4"/>
  <c r="E699" i="4"/>
  <c r="D698" i="4"/>
  <c r="U80" i="1"/>
  <c r="X80" i="1"/>
  <c r="V80" i="1"/>
  <c r="W80" i="1"/>
  <c r="U53" i="1"/>
  <c r="X53" i="1"/>
  <c r="V53" i="1"/>
  <c r="W53" i="1"/>
  <c r="U9" i="1"/>
  <c r="X9" i="1"/>
  <c r="W9" i="1"/>
  <c r="V9" i="1"/>
  <c r="U10" i="1"/>
  <c r="X10" i="1"/>
  <c r="W10" i="1"/>
  <c r="V10" i="1"/>
  <c r="U25" i="1"/>
  <c r="X25" i="1"/>
  <c r="W25" i="1"/>
  <c r="V25" i="1"/>
  <c r="U26" i="1"/>
  <c r="X26" i="1"/>
  <c r="W26" i="1"/>
  <c r="V26" i="1"/>
  <c r="U17" i="1"/>
  <c r="X17" i="1"/>
  <c r="W17" i="1"/>
  <c r="V17" i="1"/>
  <c r="M78" i="1"/>
  <c r="O78" i="1"/>
  <c r="M74" i="1"/>
  <c r="O74" i="1"/>
  <c r="N81" i="1"/>
  <c r="AC81" i="1" s="1"/>
  <c r="O81" i="1"/>
  <c r="M69" i="1"/>
  <c r="O69" i="1"/>
  <c r="M61" i="1"/>
  <c r="O61" i="1"/>
  <c r="M59" i="1"/>
  <c r="O59" i="1"/>
  <c r="M72" i="1"/>
  <c r="O72" i="1"/>
  <c r="M64" i="1"/>
  <c r="O64" i="1"/>
  <c r="M71" i="1"/>
  <c r="O71" i="1"/>
  <c r="M66" i="1"/>
  <c r="O66" i="1"/>
  <c r="M75" i="1"/>
  <c r="O75" i="1"/>
  <c r="M67" i="1"/>
  <c r="O67" i="1"/>
  <c r="M79" i="1"/>
  <c r="O79" i="1"/>
  <c r="M70" i="1"/>
  <c r="O70" i="1"/>
  <c r="M62" i="1"/>
  <c r="O62" i="1"/>
  <c r="M63" i="1"/>
  <c r="O63" i="1"/>
  <c r="M60" i="1"/>
  <c r="O60" i="1"/>
  <c r="N82" i="1"/>
  <c r="AC82" i="1" s="1"/>
  <c r="O82" i="1"/>
  <c r="M73" i="1"/>
  <c r="O73" i="1"/>
  <c r="M65" i="1"/>
  <c r="O65" i="1"/>
  <c r="M77" i="1"/>
  <c r="O77" i="1"/>
  <c r="M76" i="1"/>
  <c r="O76" i="1"/>
  <c r="M68" i="1"/>
  <c r="O68" i="1"/>
  <c r="M49" i="1"/>
  <c r="O49" i="1"/>
  <c r="M34" i="1"/>
  <c r="O34" i="1"/>
  <c r="M38" i="1"/>
  <c r="O38" i="1"/>
  <c r="N54" i="1"/>
  <c r="O54" i="1"/>
  <c r="M36" i="1"/>
  <c r="O36" i="1"/>
  <c r="M51" i="1"/>
  <c r="O51" i="1"/>
  <c r="M39" i="1"/>
  <c r="O39" i="1"/>
  <c r="M35" i="1"/>
  <c r="O35" i="1"/>
  <c r="M50" i="1"/>
  <c r="O50" i="1"/>
  <c r="M42" i="1"/>
  <c r="O42" i="1"/>
  <c r="M33" i="1"/>
  <c r="O33" i="1"/>
  <c r="M52" i="1"/>
  <c r="O52" i="1"/>
  <c r="M45" i="1"/>
  <c r="O45" i="1"/>
  <c r="M46" i="1"/>
  <c r="O46" i="1"/>
  <c r="M43" i="1"/>
  <c r="O43" i="1"/>
  <c r="M41" i="1"/>
  <c r="O41" i="1"/>
  <c r="M44" i="1"/>
  <c r="O44" i="1"/>
  <c r="M47" i="1"/>
  <c r="O47" i="1"/>
  <c r="N55" i="1"/>
  <c r="O55" i="1"/>
  <c r="M37" i="1"/>
  <c r="O37" i="1"/>
  <c r="M32" i="1"/>
  <c r="O32" i="1"/>
  <c r="M48" i="1"/>
  <c r="O48" i="1"/>
  <c r="M40" i="1"/>
  <c r="O40" i="1"/>
  <c r="M13" i="1"/>
  <c r="O13" i="1"/>
  <c r="M22" i="1"/>
  <c r="O22" i="1"/>
  <c r="N27" i="1"/>
  <c r="AC27" i="1" s="1"/>
  <c r="O27" i="1"/>
  <c r="M18" i="1"/>
  <c r="O18" i="1"/>
  <c r="M23" i="1"/>
  <c r="O23" i="1"/>
  <c r="M12" i="1"/>
  <c r="O12" i="1"/>
  <c r="M21" i="1"/>
  <c r="O21" i="1"/>
  <c r="M19" i="1"/>
  <c r="O19" i="1"/>
  <c r="M24" i="1"/>
  <c r="O24" i="1"/>
  <c r="M15" i="1"/>
  <c r="O15" i="1"/>
  <c r="M20" i="1"/>
  <c r="O20" i="1"/>
  <c r="M11" i="1"/>
  <c r="O11" i="1"/>
  <c r="M16" i="1"/>
  <c r="O16" i="1"/>
  <c r="M7" i="1"/>
  <c r="O7" i="1"/>
  <c r="M6" i="1"/>
  <c r="O6" i="1"/>
  <c r="N28" i="1"/>
  <c r="O28" i="1"/>
  <c r="M14" i="1"/>
  <c r="O14" i="1"/>
  <c r="M8" i="1"/>
  <c r="O8" i="1"/>
  <c r="N26" i="1"/>
  <c r="N80" i="1"/>
  <c r="N53" i="1"/>
  <c r="M17" i="1"/>
  <c r="M82" i="1"/>
  <c r="M27" i="1"/>
  <c r="M9" i="1"/>
  <c r="M54" i="1"/>
  <c r="M81" i="1"/>
  <c r="M80" i="1"/>
  <c r="M55" i="1"/>
  <c r="M28" i="1"/>
  <c r="M26" i="1"/>
  <c r="M53" i="1"/>
  <c r="M10" i="1"/>
  <c r="I24" i="1"/>
  <c r="J25" i="1"/>
  <c r="M25" i="1"/>
  <c r="T1076" i="4" l="1"/>
  <c r="U1076" i="4" s="1"/>
  <c r="V1076" i="4" s="1"/>
  <c r="W1076" i="4" s="1"/>
  <c r="T825" i="4"/>
  <c r="U825" i="4" s="1"/>
  <c r="V825" i="4" s="1"/>
  <c r="W825" i="4" s="1"/>
  <c r="T676" i="4"/>
  <c r="U676" i="4" s="1"/>
  <c r="V676" i="4" s="1"/>
  <c r="W676" i="4" s="1"/>
  <c r="T614" i="4"/>
  <c r="U614" i="4" s="1"/>
  <c r="V614" i="4" s="1"/>
  <c r="W614" i="4" s="1"/>
  <c r="Y614" i="4" s="1"/>
  <c r="T968" i="4"/>
  <c r="U968" i="4" s="1"/>
  <c r="V968" i="4" s="1"/>
  <c r="W968" i="4" s="1"/>
  <c r="T409" i="4"/>
  <c r="U409" i="4" s="1"/>
  <c r="V409" i="4" s="1"/>
  <c r="W409" i="4" s="1"/>
  <c r="T673" i="4"/>
  <c r="U673" i="4" s="1"/>
  <c r="V673" i="4" s="1"/>
  <c r="W673" i="4" s="1"/>
  <c r="T1077" i="4"/>
  <c r="U1077" i="4" s="1"/>
  <c r="V1077" i="4" s="1"/>
  <c r="W1077" i="4" s="1"/>
  <c r="Y1077" i="4" s="1"/>
  <c r="T935" i="4"/>
  <c r="U935" i="4" s="1"/>
  <c r="V935" i="4" s="1"/>
  <c r="W935" i="4" s="1"/>
  <c r="T608" i="4"/>
  <c r="U608" i="4" s="1"/>
  <c r="V608" i="4" s="1"/>
  <c r="W608" i="4" s="1"/>
  <c r="Y104" i="4"/>
  <c r="X104" i="4"/>
  <c r="X188" i="4"/>
  <c r="Y188" i="4"/>
  <c r="Y196" i="4"/>
  <c r="X196" i="4"/>
  <c r="Y169" i="4"/>
  <c r="X169" i="4"/>
  <c r="Y97" i="4"/>
  <c r="X97" i="4"/>
  <c r="Y163" i="4"/>
  <c r="X163" i="4"/>
  <c r="Y197" i="4"/>
  <c r="X197" i="4"/>
  <c r="X164" i="4"/>
  <c r="Y164" i="4"/>
  <c r="T609" i="4"/>
  <c r="U609" i="4" s="1"/>
  <c r="V609" i="4" s="1"/>
  <c r="W609" i="4" s="1"/>
  <c r="T666" i="4"/>
  <c r="U666" i="4" s="1"/>
  <c r="V666" i="4" s="1"/>
  <c r="W666" i="4" s="1"/>
  <c r="X666" i="4" s="1"/>
  <c r="T976" i="4"/>
  <c r="U976" i="4" s="1"/>
  <c r="V976" i="4" s="1"/>
  <c r="W976" i="4" s="1"/>
  <c r="T930" i="4"/>
  <c r="U930" i="4" s="1"/>
  <c r="V930" i="4" s="1"/>
  <c r="W930" i="4" s="1"/>
  <c r="T963" i="4"/>
  <c r="U963" i="4" s="1"/>
  <c r="V963" i="4" s="1"/>
  <c r="W963" i="4" s="1"/>
  <c r="T684" i="4"/>
  <c r="U684" i="4" s="1"/>
  <c r="V684" i="4" s="1"/>
  <c r="W684" i="4" s="1"/>
  <c r="X684" i="4" s="1"/>
  <c r="T693" i="4"/>
  <c r="U693" i="4" s="1"/>
  <c r="V693" i="4" s="1"/>
  <c r="W693" i="4" s="1"/>
  <c r="T886" i="4"/>
  <c r="U886" i="4" s="1"/>
  <c r="V886" i="4" s="1"/>
  <c r="W886" i="4" s="1"/>
  <c r="X886" i="4" s="1"/>
  <c r="T1085" i="4"/>
  <c r="U1085" i="4" s="1"/>
  <c r="V1085" i="4" s="1"/>
  <c r="W1085" i="4" s="1"/>
  <c r="T617" i="4"/>
  <c r="U617" i="4" s="1"/>
  <c r="V617" i="4" s="1"/>
  <c r="W617" i="4" s="1"/>
  <c r="Y617" i="4" s="1"/>
  <c r="T221" i="4"/>
  <c r="U221" i="4" s="1"/>
  <c r="V221" i="4" s="1"/>
  <c r="W221" i="4" s="1"/>
  <c r="Y193" i="4"/>
  <c r="X193" i="4"/>
  <c r="Y106" i="4"/>
  <c r="X106" i="4"/>
  <c r="Y99" i="4"/>
  <c r="X99" i="4"/>
  <c r="Y107" i="4"/>
  <c r="X107" i="4"/>
  <c r="X185" i="4"/>
  <c r="Y185" i="4"/>
  <c r="X192" i="4"/>
  <c r="Y192" i="4"/>
  <c r="X11" i="4"/>
  <c r="Y11" i="4"/>
  <c r="Y96" i="4"/>
  <c r="X96" i="4"/>
  <c r="Y186" i="4"/>
  <c r="X186" i="4"/>
  <c r="Y102" i="4"/>
  <c r="X102" i="4"/>
  <c r="Y195" i="4"/>
  <c r="X195" i="4"/>
  <c r="Y203" i="4"/>
  <c r="X203" i="4"/>
  <c r="Y198" i="4"/>
  <c r="X198" i="4"/>
  <c r="X171" i="4"/>
  <c r="Y171" i="4"/>
  <c r="Y184" i="4"/>
  <c r="X184" i="4"/>
  <c r="X199" i="4"/>
  <c r="Y199" i="4"/>
  <c r="X201" i="4"/>
  <c r="Y201" i="4"/>
  <c r="Y100" i="4"/>
  <c r="X100" i="4"/>
  <c r="Y10" i="4"/>
  <c r="X10" i="4"/>
  <c r="Y109" i="4"/>
  <c r="X109" i="4"/>
  <c r="Y166" i="4"/>
  <c r="X166" i="4"/>
  <c r="Y189" i="4"/>
  <c r="X189" i="4"/>
  <c r="Y204" i="4"/>
  <c r="X204" i="4"/>
  <c r="Y110" i="4"/>
  <c r="X110" i="4"/>
  <c r="Y168" i="4"/>
  <c r="X168" i="4"/>
  <c r="Y200" i="4"/>
  <c r="X200" i="4"/>
  <c r="X194" i="4"/>
  <c r="Y194" i="4"/>
  <c r="X101" i="4"/>
  <c r="Y101" i="4"/>
  <c r="Y98" i="4"/>
  <c r="X98" i="4"/>
  <c r="Y170" i="4"/>
  <c r="X170" i="4"/>
  <c r="Y167" i="4"/>
  <c r="X167" i="4"/>
  <c r="Y190" i="4"/>
  <c r="X190" i="4"/>
  <c r="Y202" i="4"/>
  <c r="X202" i="4"/>
  <c r="Y112" i="4"/>
  <c r="X112" i="4"/>
  <c r="Y187" i="4"/>
  <c r="X187" i="4"/>
  <c r="Y108" i="4"/>
  <c r="X108" i="4"/>
  <c r="Y103" i="4"/>
  <c r="X103" i="4"/>
  <c r="X165" i="4"/>
  <c r="Y165" i="4"/>
  <c r="X13" i="4"/>
  <c r="Y13" i="4"/>
  <c r="X162" i="4"/>
  <c r="Y162" i="4"/>
  <c r="Y12" i="4"/>
  <c r="X12" i="4"/>
  <c r="X191" i="4"/>
  <c r="Y191" i="4"/>
  <c r="X111" i="4"/>
  <c r="Y111" i="4"/>
  <c r="Y105" i="4"/>
  <c r="X105" i="4"/>
  <c r="T669" i="4"/>
  <c r="U669" i="4" s="1"/>
  <c r="V669" i="4" s="1"/>
  <c r="W669" i="4" s="1"/>
  <c r="Y669" i="4" s="1"/>
  <c r="T678" i="4"/>
  <c r="U678" i="4" s="1"/>
  <c r="V678" i="4" s="1"/>
  <c r="W678" i="4" s="1"/>
  <c r="T973" i="4"/>
  <c r="U973" i="4" s="1"/>
  <c r="V973" i="4" s="1"/>
  <c r="W973" i="4" s="1"/>
  <c r="Y973" i="4" s="1"/>
  <c r="T696" i="4"/>
  <c r="U696" i="4" s="1"/>
  <c r="V696" i="4" s="1"/>
  <c r="W696" i="4" s="1"/>
  <c r="T817" i="4"/>
  <c r="U817" i="4" s="1"/>
  <c r="V817" i="4" s="1"/>
  <c r="W817" i="4" s="1"/>
  <c r="T611" i="4"/>
  <c r="U611" i="4" s="1"/>
  <c r="V611" i="4" s="1"/>
  <c r="W611" i="4" s="1"/>
  <c r="T819" i="4"/>
  <c r="U819" i="4" s="1"/>
  <c r="V819" i="4" s="1"/>
  <c r="W819" i="4" s="1"/>
  <c r="X819" i="4" s="1"/>
  <c r="T977" i="4"/>
  <c r="U977" i="4" s="1"/>
  <c r="V977" i="4" s="1"/>
  <c r="W977" i="4" s="1"/>
  <c r="T899" i="4"/>
  <c r="U899" i="4" s="1"/>
  <c r="V899" i="4" s="1"/>
  <c r="W899" i="4" s="1"/>
  <c r="Y899" i="4" s="1"/>
  <c r="T629" i="4"/>
  <c r="U629" i="4" s="1"/>
  <c r="V629" i="4" s="1"/>
  <c r="W629" i="4" s="1"/>
  <c r="T606" i="4"/>
  <c r="U606" i="4" s="1"/>
  <c r="V606" i="4" s="1"/>
  <c r="W606" i="4" s="1"/>
  <c r="Y606" i="4" s="1"/>
  <c r="T932" i="4"/>
  <c r="U932" i="4" s="1"/>
  <c r="V932" i="4" s="1"/>
  <c r="W932" i="4" s="1"/>
  <c r="T917" i="4"/>
  <c r="U917" i="4" s="1"/>
  <c r="V917" i="4" s="1"/>
  <c r="W917" i="4" s="1"/>
  <c r="Y917" i="4" s="1"/>
  <c r="T950" i="4"/>
  <c r="U950" i="4" s="1"/>
  <c r="V950" i="4" s="1"/>
  <c r="W950" i="4" s="1"/>
  <c r="T672" i="4"/>
  <c r="U672" i="4" s="1"/>
  <c r="V672" i="4" s="1"/>
  <c r="W672" i="4" s="1"/>
  <c r="Y672" i="4" s="1"/>
  <c r="T895" i="4"/>
  <c r="U895" i="4" s="1"/>
  <c r="V895" i="4" s="1"/>
  <c r="W895" i="4" s="1"/>
  <c r="Y174" i="4"/>
  <c r="X174" i="4"/>
  <c r="Y176" i="4"/>
  <c r="X176" i="4"/>
  <c r="T974" i="4"/>
  <c r="U974" i="4" s="1"/>
  <c r="V974" i="4" s="1"/>
  <c r="W974" i="4" s="1"/>
  <c r="X974" i="4" s="1"/>
  <c r="Y182" i="4"/>
  <c r="X182" i="4"/>
  <c r="Y179" i="4"/>
  <c r="X179" i="4"/>
  <c r="Y4" i="4"/>
  <c r="X4" i="4"/>
  <c r="Y5" i="4"/>
  <c r="X5" i="4"/>
  <c r="Y178" i="4"/>
  <c r="X178" i="4"/>
  <c r="Y7" i="4"/>
  <c r="X7" i="4"/>
  <c r="Y175" i="4"/>
  <c r="X175" i="4"/>
  <c r="Y183" i="4"/>
  <c r="X183" i="4"/>
  <c r="Y172" i="4"/>
  <c r="X172" i="4"/>
  <c r="Y180" i="4"/>
  <c r="X180" i="4"/>
  <c r="Y173" i="4"/>
  <c r="X173" i="4"/>
  <c r="Y181" i="4"/>
  <c r="X181" i="4"/>
  <c r="Y9" i="4"/>
  <c r="X9" i="4"/>
  <c r="Y8" i="4"/>
  <c r="X8" i="4"/>
  <c r="Y6" i="4"/>
  <c r="X6" i="4"/>
  <c r="Y177" i="4"/>
  <c r="X177" i="4"/>
  <c r="T634" i="4"/>
  <c r="U634" i="4" s="1"/>
  <c r="V634" i="4" s="1"/>
  <c r="W634" i="4" s="1"/>
  <c r="T660" i="4"/>
  <c r="U660" i="4" s="1"/>
  <c r="V660" i="4" s="1"/>
  <c r="W660" i="4" s="1"/>
  <c r="X660" i="4" s="1"/>
  <c r="T653" i="4"/>
  <c r="U653" i="4" s="1"/>
  <c r="V653" i="4" s="1"/>
  <c r="W653" i="4" s="1"/>
  <c r="X653" i="4" s="1"/>
  <c r="T751" i="4"/>
  <c r="U751" i="4" s="1"/>
  <c r="V751" i="4" s="1"/>
  <c r="W751" i="4" s="1"/>
  <c r="Y751" i="4" s="1"/>
  <c r="T893" i="4"/>
  <c r="U893" i="4" s="1"/>
  <c r="V893" i="4" s="1"/>
  <c r="W893" i="4" s="1"/>
  <c r="T648" i="4"/>
  <c r="U648" i="4" s="1"/>
  <c r="V648" i="4" s="1"/>
  <c r="W648" i="4" s="1"/>
  <c r="Y648" i="4" s="1"/>
  <c r="T824" i="4"/>
  <c r="U824" i="4" s="1"/>
  <c r="V824" i="4" s="1"/>
  <c r="W824" i="4" s="1"/>
  <c r="X824" i="4" s="1"/>
  <c r="T801" i="4"/>
  <c r="U801" i="4" s="1"/>
  <c r="V801" i="4" s="1"/>
  <c r="W801" i="4" s="1"/>
  <c r="Y801" i="4" s="1"/>
  <c r="T659" i="4"/>
  <c r="U659" i="4" s="1"/>
  <c r="V659" i="4" s="1"/>
  <c r="W659" i="4" s="1"/>
  <c r="X659" i="4" s="1"/>
  <c r="T897" i="4"/>
  <c r="U897" i="4" s="1"/>
  <c r="V897" i="4" s="1"/>
  <c r="W897" i="4" s="1"/>
  <c r="Y897" i="4" s="1"/>
  <c r="T408" i="4"/>
  <c r="U408" i="4" s="1"/>
  <c r="V408" i="4" s="1"/>
  <c r="W408" i="4" s="1"/>
  <c r="X408" i="4" s="1"/>
  <c r="T821" i="4"/>
  <c r="U821" i="4" s="1"/>
  <c r="V821" i="4" s="1"/>
  <c r="W821" i="4" s="1"/>
  <c r="Y821" i="4" s="1"/>
  <c r="T807" i="4"/>
  <c r="U807" i="4" s="1"/>
  <c r="V807" i="4" s="1"/>
  <c r="W807" i="4" s="1"/>
  <c r="Y807" i="4" s="1"/>
  <c r="T1080" i="4"/>
  <c r="U1080" i="4" s="1"/>
  <c r="V1080" i="4" s="1"/>
  <c r="W1080" i="4" s="1"/>
  <c r="Y1080" i="4" s="1"/>
  <c r="T665" i="4"/>
  <c r="U665" i="4" s="1"/>
  <c r="V665" i="4" s="1"/>
  <c r="W665" i="4" s="1"/>
  <c r="X665" i="4" s="1"/>
  <c r="T667" i="4"/>
  <c r="U667" i="4" s="1"/>
  <c r="V667" i="4" s="1"/>
  <c r="W667" i="4" s="1"/>
  <c r="Y667" i="4" s="1"/>
  <c r="T662" i="4"/>
  <c r="U662" i="4" s="1"/>
  <c r="V662" i="4" s="1"/>
  <c r="W662" i="4" s="1"/>
  <c r="Y662" i="4" s="1"/>
  <c r="T639" i="4"/>
  <c r="U639" i="4" s="1"/>
  <c r="V639" i="4" s="1"/>
  <c r="W639" i="4" s="1"/>
  <c r="Y639" i="4" s="1"/>
  <c r="T910" i="4"/>
  <c r="U910" i="4" s="1"/>
  <c r="V910" i="4" s="1"/>
  <c r="W910" i="4" s="1"/>
  <c r="Y910" i="4" s="1"/>
  <c r="T972" i="4"/>
  <c r="U972" i="4" s="1"/>
  <c r="V972" i="4" s="1"/>
  <c r="W972" i="4" s="1"/>
  <c r="X972" i="4" s="1"/>
  <c r="T912" i="4"/>
  <c r="U912" i="4" s="1"/>
  <c r="V912" i="4" s="1"/>
  <c r="W912" i="4" s="1"/>
  <c r="Y912" i="4" s="1"/>
  <c r="T914" i="4"/>
  <c r="U914" i="4" s="1"/>
  <c r="V914" i="4" s="1"/>
  <c r="W914" i="4" s="1"/>
  <c r="Y914" i="4" s="1"/>
  <c r="T677" i="4"/>
  <c r="U677" i="4" s="1"/>
  <c r="V677" i="4" s="1"/>
  <c r="W677" i="4" s="1"/>
  <c r="X677" i="4" s="1"/>
  <c r="T663" i="4"/>
  <c r="U663" i="4" s="1"/>
  <c r="V663" i="4" s="1"/>
  <c r="W663" i="4" s="1"/>
  <c r="X663" i="4" s="1"/>
  <c r="T934" i="4"/>
  <c r="U934" i="4" s="1"/>
  <c r="V934" i="4" s="1"/>
  <c r="W934" i="4" s="1"/>
  <c r="X934" i="4" s="1"/>
  <c r="T674" i="4"/>
  <c r="U674" i="4" s="1"/>
  <c r="V674" i="4" s="1"/>
  <c r="W674" i="4" s="1"/>
  <c r="X674" i="4" s="1"/>
  <c r="T953" i="4"/>
  <c r="U953" i="4" s="1"/>
  <c r="V953" i="4" s="1"/>
  <c r="W953" i="4" s="1"/>
  <c r="Y953" i="4" s="1"/>
  <c r="T407" i="4"/>
  <c r="U407" i="4" s="1"/>
  <c r="V407" i="4" s="1"/>
  <c r="W407" i="4" s="1"/>
  <c r="Y407" i="4" s="1"/>
  <c r="T804" i="4"/>
  <c r="U804" i="4" s="1"/>
  <c r="V804" i="4" s="1"/>
  <c r="W804" i="4" s="1"/>
  <c r="X804" i="4" s="1"/>
  <c r="T924" i="4"/>
  <c r="U924" i="4" s="1"/>
  <c r="V924" i="4" s="1"/>
  <c r="W924" i="4" s="1"/>
  <c r="X924" i="4" s="1"/>
  <c r="T957" i="4"/>
  <c r="U957" i="4" s="1"/>
  <c r="V957" i="4" s="1"/>
  <c r="W957" i="4" s="1"/>
  <c r="X957" i="4" s="1"/>
  <c r="T1086" i="4"/>
  <c r="U1086" i="4" s="1"/>
  <c r="V1086" i="4" s="1"/>
  <c r="W1086" i="4" s="1"/>
  <c r="X1086" i="4" s="1"/>
  <c r="T911" i="4"/>
  <c r="U911" i="4" s="1"/>
  <c r="V911" i="4" s="1"/>
  <c r="W911" i="4" s="1"/>
  <c r="Y911" i="4" s="1"/>
  <c r="T657" i="4"/>
  <c r="U657" i="4" s="1"/>
  <c r="V657" i="4" s="1"/>
  <c r="W657" i="4" s="1"/>
  <c r="X657" i="4" s="1"/>
  <c r="T826" i="4"/>
  <c r="U826" i="4" s="1"/>
  <c r="V826" i="4" s="1"/>
  <c r="W826" i="4" s="1"/>
  <c r="Y826" i="4" s="1"/>
  <c r="T961" i="4"/>
  <c r="U961" i="4" s="1"/>
  <c r="V961" i="4" s="1"/>
  <c r="W961" i="4" s="1"/>
  <c r="Y961" i="4" s="1"/>
  <c r="T947" i="4"/>
  <c r="U947" i="4" s="1"/>
  <c r="V947" i="4" s="1"/>
  <c r="W947" i="4" s="1"/>
  <c r="X947" i="4" s="1"/>
  <c r="T613" i="4"/>
  <c r="U613" i="4" s="1"/>
  <c r="V613" i="4" s="1"/>
  <c r="W613" i="4" s="1"/>
  <c r="Y613" i="4" s="1"/>
  <c r="T814" i="4"/>
  <c r="U814" i="4" s="1"/>
  <c r="V814" i="4" s="1"/>
  <c r="W814" i="4" s="1"/>
  <c r="Y814" i="4" s="1"/>
  <c r="T965" i="4"/>
  <c r="U965" i="4" s="1"/>
  <c r="V965" i="4" s="1"/>
  <c r="W965" i="4" s="1"/>
  <c r="Y965" i="4" s="1"/>
  <c r="T1079" i="4"/>
  <c r="U1079" i="4" s="1"/>
  <c r="V1079" i="4" s="1"/>
  <c r="W1079" i="4" s="1"/>
  <c r="Y1079" i="4" s="1"/>
  <c r="T904" i="4"/>
  <c r="U904" i="4" s="1"/>
  <c r="V904" i="4" s="1"/>
  <c r="W904" i="4" s="1"/>
  <c r="Y904" i="4" s="1"/>
  <c r="T753" i="4"/>
  <c r="U753" i="4" s="1"/>
  <c r="V753" i="4" s="1"/>
  <c r="W753" i="4" s="1"/>
  <c r="Y753" i="4" s="1"/>
  <c r="T1090" i="4"/>
  <c r="U1090" i="4" s="1"/>
  <c r="V1090" i="4" s="1"/>
  <c r="W1090" i="4" s="1"/>
  <c r="Y1090" i="4" s="1"/>
  <c r="T931" i="4"/>
  <c r="U931" i="4" s="1"/>
  <c r="V931" i="4" s="1"/>
  <c r="W931" i="4" s="1"/>
  <c r="Y931" i="4" s="1"/>
  <c r="T802" i="4"/>
  <c r="U802" i="4" s="1"/>
  <c r="V802" i="4" s="1"/>
  <c r="W802" i="4" s="1"/>
  <c r="Y802" i="4" s="1"/>
  <c r="T970" i="4"/>
  <c r="U970" i="4" s="1"/>
  <c r="V970" i="4" s="1"/>
  <c r="W970" i="4" s="1"/>
  <c r="Y970" i="4" s="1"/>
  <c r="T641" i="4"/>
  <c r="U641" i="4" s="1"/>
  <c r="V641" i="4" s="1"/>
  <c r="W641" i="4" s="1"/>
  <c r="Y641" i="4" s="1"/>
  <c r="T888" i="4"/>
  <c r="U888" i="4" s="1"/>
  <c r="V888" i="4" s="1"/>
  <c r="W888" i="4" s="1"/>
  <c r="Y888" i="4" s="1"/>
  <c r="T808" i="4"/>
  <c r="U808" i="4" s="1"/>
  <c r="V808" i="4" s="1"/>
  <c r="W808" i="4" s="1"/>
  <c r="Y808" i="4" s="1"/>
  <c r="T885" i="4"/>
  <c r="U885" i="4" s="1"/>
  <c r="V885" i="4" s="1"/>
  <c r="W885" i="4" s="1"/>
  <c r="Y885" i="4" s="1"/>
  <c r="T949" i="4"/>
  <c r="U949" i="4" s="1"/>
  <c r="V949" i="4" s="1"/>
  <c r="W949" i="4" s="1"/>
  <c r="Y949" i="4" s="1"/>
  <c r="T918" i="4"/>
  <c r="U918" i="4" s="1"/>
  <c r="V918" i="4" s="1"/>
  <c r="W918" i="4" s="1"/>
  <c r="X918" i="4" s="1"/>
  <c r="T1078" i="4"/>
  <c r="U1078" i="4" s="1"/>
  <c r="V1078" i="4" s="1"/>
  <c r="W1078" i="4" s="1"/>
  <c r="Y1078" i="4" s="1"/>
  <c r="T903" i="4"/>
  <c r="U903" i="4" s="1"/>
  <c r="V903" i="4" s="1"/>
  <c r="W903" i="4" s="1"/>
  <c r="Y903" i="4" s="1"/>
  <c r="T967" i="4"/>
  <c r="U967" i="4" s="1"/>
  <c r="V967" i="4" s="1"/>
  <c r="W967" i="4" s="1"/>
  <c r="Y967" i="4" s="1"/>
  <c r="T651" i="4"/>
  <c r="U651" i="4" s="1"/>
  <c r="V651" i="4" s="1"/>
  <c r="W651" i="4" s="1"/>
  <c r="Y651" i="4" s="1"/>
  <c r="T628" i="4"/>
  <c r="U628" i="4" s="1"/>
  <c r="V628" i="4" s="1"/>
  <c r="W628" i="4" s="1"/>
  <c r="Y628" i="4" s="1"/>
  <c r="T630" i="4"/>
  <c r="U630" i="4" s="1"/>
  <c r="V630" i="4" s="1"/>
  <c r="W630" i="4" s="1"/>
  <c r="Y630" i="4" s="1"/>
  <c r="T892" i="4"/>
  <c r="U892" i="4" s="1"/>
  <c r="V892" i="4" s="1"/>
  <c r="W892" i="4" s="1"/>
  <c r="Y892" i="4" s="1"/>
  <c r="T680" i="4"/>
  <c r="U680" i="4" s="1"/>
  <c r="V680" i="4" s="1"/>
  <c r="W680" i="4" s="1"/>
  <c r="X680" i="4" s="1"/>
  <c r="T880" i="4"/>
  <c r="U880" i="4" s="1"/>
  <c r="V880" i="4" s="1"/>
  <c r="W880" i="4" s="1"/>
  <c r="Y880" i="4" s="1"/>
  <c r="T621" i="4"/>
  <c r="U621" i="4" s="1"/>
  <c r="V621" i="4" s="1"/>
  <c r="W621" i="4" s="1"/>
  <c r="Y621" i="4" s="1"/>
  <c r="T607" i="4"/>
  <c r="U607" i="4" s="1"/>
  <c r="V607" i="4" s="1"/>
  <c r="W607" i="4" s="1"/>
  <c r="Y607" i="4" s="1"/>
  <c r="T925" i="4"/>
  <c r="U925" i="4" s="1"/>
  <c r="V925" i="4" s="1"/>
  <c r="W925" i="4" s="1"/>
  <c r="Y925" i="4" s="1"/>
  <c r="T975" i="4"/>
  <c r="U975" i="4" s="1"/>
  <c r="V975" i="4" s="1"/>
  <c r="W975" i="4" s="1"/>
  <c r="Y975" i="4" s="1"/>
  <c r="T625" i="4"/>
  <c r="U625" i="4" s="1"/>
  <c r="V625" i="4" s="1"/>
  <c r="W625" i="4" s="1"/>
  <c r="Y625" i="4" s="1"/>
  <c r="T689" i="4"/>
  <c r="U689" i="4" s="1"/>
  <c r="V689" i="4" s="1"/>
  <c r="W689" i="4" s="1"/>
  <c r="Y689" i="4" s="1"/>
  <c r="T618" i="4"/>
  <c r="U618" i="4" s="1"/>
  <c r="V618" i="4" s="1"/>
  <c r="W618" i="4" s="1"/>
  <c r="Y618" i="4" s="1"/>
  <c r="T682" i="4"/>
  <c r="U682" i="4" s="1"/>
  <c r="V682" i="4" s="1"/>
  <c r="W682" i="4" s="1"/>
  <c r="Y682" i="4" s="1"/>
  <c r="T627" i="4"/>
  <c r="U627" i="4" s="1"/>
  <c r="V627" i="4" s="1"/>
  <c r="W627" i="4" s="1"/>
  <c r="X627" i="4" s="1"/>
  <c r="T946" i="4"/>
  <c r="U946" i="4" s="1"/>
  <c r="V946" i="4" s="1"/>
  <c r="W946" i="4" s="1"/>
  <c r="Y946" i="4" s="1"/>
  <c r="T692" i="4"/>
  <c r="U692" i="4" s="1"/>
  <c r="V692" i="4" s="1"/>
  <c r="W692" i="4" s="1"/>
  <c r="Y692" i="4" s="1"/>
  <c r="T694" i="4"/>
  <c r="U694" i="4" s="1"/>
  <c r="V694" i="4" s="1"/>
  <c r="W694" i="4" s="1"/>
  <c r="Y694" i="4" s="1"/>
  <c r="T964" i="4"/>
  <c r="U964" i="4" s="1"/>
  <c r="V964" i="4" s="1"/>
  <c r="W964" i="4" s="1"/>
  <c r="Y964" i="4" s="1"/>
  <c r="T944" i="4"/>
  <c r="U944" i="4" s="1"/>
  <c r="V944" i="4" s="1"/>
  <c r="W944" i="4" s="1"/>
  <c r="Y944" i="4" s="1"/>
  <c r="T929" i="4"/>
  <c r="U929" i="4" s="1"/>
  <c r="V929" i="4" s="1"/>
  <c r="W929" i="4" s="1"/>
  <c r="Y929" i="4" s="1"/>
  <c r="T882" i="4"/>
  <c r="U882" i="4" s="1"/>
  <c r="V882" i="4" s="1"/>
  <c r="W882" i="4" s="1"/>
  <c r="Y882" i="4" s="1"/>
  <c r="T816" i="4"/>
  <c r="U816" i="4" s="1"/>
  <c r="V816" i="4" s="1"/>
  <c r="W816" i="4" s="1"/>
  <c r="Y816" i="4" s="1"/>
  <c r="T658" i="4"/>
  <c r="U658" i="4" s="1"/>
  <c r="V658" i="4" s="1"/>
  <c r="W658" i="4" s="1"/>
  <c r="Y658" i="4" s="1"/>
  <c r="T818" i="4"/>
  <c r="U818" i="4" s="1"/>
  <c r="V818" i="4" s="1"/>
  <c r="W818" i="4" s="1"/>
  <c r="Y818" i="4" s="1"/>
  <c r="T889" i="4"/>
  <c r="U889" i="4" s="1"/>
  <c r="V889" i="4" s="1"/>
  <c r="W889" i="4" s="1"/>
  <c r="Y889" i="4" s="1"/>
  <c r="T922" i="4"/>
  <c r="U922" i="4" s="1"/>
  <c r="V922" i="4" s="1"/>
  <c r="W922" i="4" s="1"/>
  <c r="Y922" i="4" s="1"/>
  <c r="T923" i="4"/>
  <c r="U923" i="4" s="1"/>
  <c r="V923" i="4" s="1"/>
  <c r="W923" i="4" s="1"/>
  <c r="Y923" i="4" s="1"/>
  <c r="Y676" i="4"/>
  <c r="X676" i="4"/>
  <c r="Y813" i="4"/>
  <c r="X813" i="4"/>
  <c r="Y678" i="4"/>
  <c r="X678" i="4"/>
  <c r="Y940" i="4"/>
  <c r="X940" i="4"/>
  <c r="Y974" i="4"/>
  <c r="Y895" i="4"/>
  <c r="X895" i="4"/>
  <c r="Y760" i="4"/>
  <c r="X760" i="4"/>
  <c r="Y803" i="4"/>
  <c r="X803" i="4"/>
  <c r="Y928" i="4"/>
  <c r="X928" i="4"/>
  <c r="Y913" i="4"/>
  <c r="X913" i="4"/>
  <c r="X1077" i="4"/>
  <c r="Y915" i="4"/>
  <c r="X915" i="4"/>
  <c r="Y408" i="4"/>
  <c r="Y684" i="4"/>
  <c r="Y645" i="4"/>
  <c r="X645" i="4"/>
  <c r="Y670" i="4"/>
  <c r="X670" i="4"/>
  <c r="Y631" i="4"/>
  <c r="X631" i="4"/>
  <c r="Y932" i="4"/>
  <c r="X932" i="4"/>
  <c r="Y901" i="4"/>
  <c r="X901" i="4"/>
  <c r="Y934" i="4"/>
  <c r="Y919" i="4"/>
  <c r="X919" i="4"/>
  <c r="Y624" i="4"/>
  <c r="X624" i="4"/>
  <c r="Y809" i="4"/>
  <c r="X809" i="4"/>
  <c r="X658" i="4"/>
  <c r="Y811" i="4"/>
  <c r="X811" i="4"/>
  <c r="Y612" i="4"/>
  <c r="X612" i="4"/>
  <c r="Y653" i="4"/>
  <c r="X614" i="4"/>
  <c r="Y815" i="4"/>
  <c r="X815" i="4"/>
  <c r="Y957" i="4"/>
  <c r="Y926" i="4"/>
  <c r="X926" i="4"/>
  <c r="X911" i="4"/>
  <c r="Y664" i="4"/>
  <c r="X664" i="4"/>
  <c r="X753" i="4"/>
  <c r="Y634" i="4"/>
  <c r="X634" i="4"/>
  <c r="Y762" i="4"/>
  <c r="X762" i="4"/>
  <c r="Y819" i="4"/>
  <c r="Y620" i="4"/>
  <c r="X620" i="4"/>
  <c r="Y748" i="4"/>
  <c r="X748" i="4"/>
  <c r="Y677" i="4"/>
  <c r="X606" i="4"/>
  <c r="Y686" i="4"/>
  <c r="X686" i="4"/>
  <c r="Y823" i="4"/>
  <c r="X823" i="4"/>
  <c r="Y948" i="4"/>
  <c r="X948" i="4"/>
  <c r="X917" i="4"/>
  <c r="Y886" i="4"/>
  <c r="Y950" i="4"/>
  <c r="X950" i="4"/>
  <c r="Y1085" i="4"/>
  <c r="X1085" i="4"/>
  <c r="Y935" i="4"/>
  <c r="X935" i="4"/>
  <c r="Y1076" i="4"/>
  <c r="X1076" i="4"/>
  <c r="Y656" i="4"/>
  <c r="X656" i="4"/>
  <c r="X617" i="4"/>
  <c r="Y825" i="4"/>
  <c r="X825" i="4"/>
  <c r="Y635" i="4"/>
  <c r="X635" i="4"/>
  <c r="X888" i="4"/>
  <c r="Y921" i="4"/>
  <c r="X921" i="4"/>
  <c r="Y954" i="4"/>
  <c r="X954" i="4"/>
  <c r="Y955" i="4"/>
  <c r="X955" i="4"/>
  <c r="Y804" i="4"/>
  <c r="X669" i="4"/>
  <c r="Y806" i="4"/>
  <c r="X806" i="4"/>
  <c r="Y655" i="4"/>
  <c r="X655" i="4"/>
  <c r="Y893" i="4"/>
  <c r="X893" i="4"/>
  <c r="Y942" i="4"/>
  <c r="X942" i="4"/>
  <c r="Y968" i="4"/>
  <c r="X968" i="4"/>
  <c r="Y927" i="4"/>
  <c r="X927" i="4"/>
  <c r="Y409" i="4"/>
  <c r="X409" i="4"/>
  <c r="Y680" i="4"/>
  <c r="Y824" i="4"/>
  <c r="X801" i="4"/>
  <c r="Y650" i="4"/>
  <c r="X650" i="4"/>
  <c r="X826" i="4"/>
  <c r="Y675" i="4"/>
  <c r="X675" i="4"/>
  <c r="Y976" i="4"/>
  <c r="X976" i="4"/>
  <c r="Y883" i="4"/>
  <c r="X883" i="4"/>
  <c r="Y636" i="4"/>
  <c r="X636" i="4"/>
  <c r="Y693" i="4"/>
  <c r="X693" i="4"/>
  <c r="Y622" i="4"/>
  <c r="X622" i="4"/>
  <c r="X814" i="4"/>
  <c r="Y679" i="4"/>
  <c r="X679" i="4"/>
  <c r="Y884" i="4"/>
  <c r="X884" i="4"/>
  <c r="Y1089" i="4"/>
  <c r="X1089" i="4"/>
  <c r="Y933" i="4"/>
  <c r="X933" i="4"/>
  <c r="Y902" i="4"/>
  <c r="X902" i="4"/>
  <c r="Y966" i="4"/>
  <c r="X966" i="4"/>
  <c r="Y887" i="4"/>
  <c r="X887" i="4"/>
  <c r="Y951" i="4"/>
  <c r="X951" i="4"/>
  <c r="Y1081" i="4"/>
  <c r="X1081" i="4"/>
  <c r="Y633" i="4"/>
  <c r="X633" i="4"/>
  <c r="Y610" i="4"/>
  <c r="X610" i="4"/>
  <c r="Y754" i="4"/>
  <c r="X754" i="4"/>
  <c r="X970" i="4"/>
  <c r="Y1088" i="4"/>
  <c r="X1088" i="4"/>
  <c r="Y820" i="4"/>
  <c r="X820" i="4"/>
  <c r="Y685" i="4"/>
  <c r="X685" i="4"/>
  <c r="Y822" i="4"/>
  <c r="X822" i="4"/>
  <c r="Y671" i="4"/>
  <c r="X671" i="4"/>
  <c r="Y909" i="4"/>
  <c r="X909" i="4"/>
  <c r="Y878" i="4"/>
  <c r="X878" i="4"/>
  <c r="Y958" i="4"/>
  <c r="X958" i="4"/>
  <c r="Y879" i="4"/>
  <c r="X879" i="4"/>
  <c r="Y959" i="4"/>
  <c r="X959" i="4"/>
  <c r="Y616" i="4"/>
  <c r="X616" i="4"/>
  <c r="Y696" i="4"/>
  <c r="X696" i="4"/>
  <c r="Y609" i="4"/>
  <c r="X609" i="4"/>
  <c r="Y673" i="4"/>
  <c r="X673" i="4"/>
  <c r="Y817" i="4"/>
  <c r="X817" i="4"/>
  <c r="Y666" i="4"/>
  <c r="Y611" i="4"/>
  <c r="X611" i="4"/>
  <c r="Y691" i="4"/>
  <c r="X691" i="4"/>
  <c r="X912" i="4"/>
  <c r="Y977" i="4"/>
  <c r="X977" i="4"/>
  <c r="Y930" i="4"/>
  <c r="X930" i="4"/>
  <c r="Y963" i="4"/>
  <c r="X963" i="4"/>
  <c r="Y668" i="4"/>
  <c r="X668" i="4"/>
  <c r="Y629" i="4"/>
  <c r="X629" i="4"/>
  <c r="Y757" i="4"/>
  <c r="X757" i="4"/>
  <c r="Y654" i="4"/>
  <c r="X654" i="4"/>
  <c r="Y615" i="4"/>
  <c r="X615" i="4"/>
  <c r="Y695" i="4"/>
  <c r="X695" i="4"/>
  <c r="Y916" i="4"/>
  <c r="X916" i="4"/>
  <c r="X967" i="4"/>
  <c r="Y608" i="4"/>
  <c r="X608" i="4"/>
  <c r="Y688" i="4"/>
  <c r="X688" i="4"/>
  <c r="Y665" i="4"/>
  <c r="Y642" i="4"/>
  <c r="X642" i="4"/>
  <c r="Y936" i="4"/>
  <c r="X936" i="4"/>
  <c r="Y890" i="4"/>
  <c r="X890" i="4"/>
  <c r="Y891" i="4"/>
  <c r="X891" i="4"/>
  <c r="Y221" i="4"/>
  <c r="X221" i="4"/>
  <c r="T827" i="4"/>
  <c r="U827" i="4" s="1"/>
  <c r="V827" i="4" s="1"/>
  <c r="W827" i="4" s="1"/>
  <c r="S827" i="4"/>
  <c r="T681" i="4"/>
  <c r="U681" i="4" s="1"/>
  <c r="V681" i="4" s="1"/>
  <c r="W681" i="4" s="1"/>
  <c r="S681" i="4"/>
  <c r="T626" i="4"/>
  <c r="U626" i="4" s="1"/>
  <c r="V626" i="4" s="1"/>
  <c r="W626" i="4" s="1"/>
  <c r="S626" i="4"/>
  <c r="T690" i="4"/>
  <c r="U690" i="4" s="1"/>
  <c r="V690" i="4" s="1"/>
  <c r="W690" i="4" s="1"/>
  <c r="S690" i="4"/>
  <c r="T619" i="4"/>
  <c r="U619" i="4" s="1"/>
  <c r="V619" i="4" s="1"/>
  <c r="W619" i="4" s="1"/>
  <c r="S619" i="4"/>
  <c r="T683" i="4"/>
  <c r="U683" i="4" s="1"/>
  <c r="V683" i="4" s="1"/>
  <c r="W683" i="4" s="1"/>
  <c r="S683" i="4"/>
  <c r="T920" i="4"/>
  <c r="U920" i="4" s="1"/>
  <c r="V920" i="4" s="1"/>
  <c r="W920" i="4" s="1"/>
  <c r="S920" i="4"/>
  <c r="T905" i="4"/>
  <c r="U905" i="4" s="1"/>
  <c r="V905" i="4" s="1"/>
  <c r="W905" i="4" s="1"/>
  <c r="S905" i="4"/>
  <c r="T969" i="4"/>
  <c r="U969" i="4" s="1"/>
  <c r="V969" i="4" s="1"/>
  <c r="W969" i="4" s="1"/>
  <c r="S969" i="4"/>
  <c r="T938" i="4"/>
  <c r="U938" i="4" s="1"/>
  <c r="V938" i="4" s="1"/>
  <c r="W938" i="4" s="1"/>
  <c r="S938" i="4"/>
  <c r="T960" i="4"/>
  <c r="U960" i="4" s="1"/>
  <c r="V960" i="4" s="1"/>
  <c r="W960" i="4" s="1"/>
  <c r="S960" i="4"/>
  <c r="T939" i="4"/>
  <c r="U939" i="4" s="1"/>
  <c r="V939" i="4" s="1"/>
  <c r="W939" i="4" s="1"/>
  <c r="S939" i="4"/>
  <c r="T956" i="4"/>
  <c r="U956" i="4" s="1"/>
  <c r="V956" i="4" s="1"/>
  <c r="W956" i="4" s="1"/>
  <c r="S956" i="4"/>
  <c r="T406" i="4"/>
  <c r="U406" i="4" s="1"/>
  <c r="V406" i="4" s="1"/>
  <c r="W406" i="4" s="1"/>
  <c r="S406" i="4"/>
  <c r="T644" i="4"/>
  <c r="U644" i="4" s="1"/>
  <c r="V644" i="4" s="1"/>
  <c r="W644" i="4" s="1"/>
  <c r="S644" i="4"/>
  <c r="T756" i="4"/>
  <c r="U756" i="4" s="1"/>
  <c r="V756" i="4" s="1"/>
  <c r="W756" i="4" s="1"/>
  <c r="S756" i="4"/>
  <c r="T637" i="4"/>
  <c r="U637" i="4" s="1"/>
  <c r="V637" i="4" s="1"/>
  <c r="W637" i="4" s="1"/>
  <c r="S637" i="4"/>
  <c r="T749" i="4"/>
  <c r="U749" i="4" s="1"/>
  <c r="V749" i="4" s="1"/>
  <c r="W749" i="4" s="1"/>
  <c r="S749" i="4"/>
  <c r="T646" i="4"/>
  <c r="U646" i="4" s="1"/>
  <c r="V646" i="4" s="1"/>
  <c r="W646" i="4" s="1"/>
  <c r="S646" i="4"/>
  <c r="T758" i="4"/>
  <c r="U758" i="4" s="1"/>
  <c r="V758" i="4" s="1"/>
  <c r="W758" i="4" s="1"/>
  <c r="S758" i="4"/>
  <c r="T623" i="4"/>
  <c r="U623" i="4" s="1"/>
  <c r="V623" i="4" s="1"/>
  <c r="W623" i="4" s="1"/>
  <c r="S623" i="4"/>
  <c r="T687" i="4"/>
  <c r="U687" i="4" s="1"/>
  <c r="V687" i="4" s="1"/>
  <c r="W687" i="4" s="1"/>
  <c r="S687" i="4"/>
  <c r="T908" i="4"/>
  <c r="U908" i="4" s="1"/>
  <c r="V908" i="4" s="1"/>
  <c r="W908" i="4" s="1"/>
  <c r="S908" i="4"/>
  <c r="T1084" i="4"/>
  <c r="U1084" i="4" s="1"/>
  <c r="V1084" i="4" s="1"/>
  <c r="W1084" i="4" s="1"/>
  <c r="S1084" i="4"/>
  <c r="T941" i="4"/>
  <c r="U941" i="4" s="1"/>
  <c r="V941" i="4" s="1"/>
  <c r="W941" i="4" s="1"/>
  <c r="S941" i="4"/>
  <c r="T894" i="4"/>
  <c r="U894" i="4" s="1"/>
  <c r="V894" i="4" s="1"/>
  <c r="W894" i="4" s="1"/>
  <c r="S894" i="4"/>
  <c r="T1087" i="4"/>
  <c r="U1087" i="4" s="1"/>
  <c r="V1087" i="4" s="1"/>
  <c r="W1087" i="4" s="1"/>
  <c r="S1087" i="4"/>
  <c r="T697" i="4"/>
  <c r="U697" i="4" s="1"/>
  <c r="V697" i="4" s="1"/>
  <c r="W697" i="4" s="1"/>
  <c r="S697" i="4"/>
  <c r="T632" i="4"/>
  <c r="U632" i="4" s="1"/>
  <c r="V632" i="4" s="1"/>
  <c r="W632" i="4" s="1"/>
  <c r="S632" i="4"/>
  <c r="T810" i="4"/>
  <c r="U810" i="4" s="1"/>
  <c r="V810" i="4" s="1"/>
  <c r="W810" i="4" s="1"/>
  <c r="S810" i="4"/>
  <c r="T643" i="4"/>
  <c r="U643" i="4" s="1"/>
  <c r="V643" i="4" s="1"/>
  <c r="W643" i="4" s="1"/>
  <c r="S643" i="4"/>
  <c r="T755" i="4"/>
  <c r="U755" i="4" s="1"/>
  <c r="V755" i="4" s="1"/>
  <c r="W755" i="4" s="1"/>
  <c r="S755" i="4"/>
  <c r="T896" i="4"/>
  <c r="U896" i="4" s="1"/>
  <c r="V896" i="4" s="1"/>
  <c r="W896" i="4" s="1"/>
  <c r="S896" i="4"/>
  <c r="T881" i="4"/>
  <c r="U881" i="4" s="1"/>
  <c r="V881" i="4" s="1"/>
  <c r="W881" i="4" s="1"/>
  <c r="S881" i="4"/>
  <c r="T945" i="4"/>
  <c r="U945" i="4" s="1"/>
  <c r="V945" i="4" s="1"/>
  <c r="W945" i="4" s="1"/>
  <c r="S945" i="4"/>
  <c r="T898" i="4"/>
  <c r="U898" i="4" s="1"/>
  <c r="V898" i="4" s="1"/>
  <c r="W898" i="4" s="1"/>
  <c r="S898" i="4"/>
  <c r="T962" i="4"/>
  <c r="U962" i="4" s="1"/>
  <c r="V962" i="4" s="1"/>
  <c r="W962" i="4" s="1"/>
  <c r="S962" i="4"/>
  <c r="T652" i="4"/>
  <c r="U652" i="4" s="1"/>
  <c r="V652" i="4" s="1"/>
  <c r="W652" i="4" s="1"/>
  <c r="S652" i="4"/>
  <c r="T812" i="4"/>
  <c r="U812" i="4" s="1"/>
  <c r="V812" i="4" s="1"/>
  <c r="W812" i="4" s="1"/>
  <c r="S812" i="4"/>
  <c r="T661" i="4"/>
  <c r="U661" i="4" s="1"/>
  <c r="V661" i="4" s="1"/>
  <c r="W661" i="4" s="1"/>
  <c r="S661" i="4"/>
  <c r="T805" i="4"/>
  <c r="U805" i="4" s="1"/>
  <c r="V805" i="4" s="1"/>
  <c r="W805" i="4" s="1"/>
  <c r="S805" i="4"/>
  <c r="T638" i="4"/>
  <c r="U638" i="4" s="1"/>
  <c r="V638" i="4" s="1"/>
  <c r="W638" i="4" s="1"/>
  <c r="S638" i="4"/>
  <c r="T750" i="4"/>
  <c r="U750" i="4" s="1"/>
  <c r="V750" i="4" s="1"/>
  <c r="W750" i="4" s="1"/>
  <c r="S750" i="4"/>
  <c r="T647" i="4"/>
  <c r="U647" i="4" s="1"/>
  <c r="V647" i="4" s="1"/>
  <c r="W647" i="4" s="1"/>
  <c r="S647" i="4"/>
  <c r="T759" i="4"/>
  <c r="U759" i="4" s="1"/>
  <c r="V759" i="4" s="1"/>
  <c r="W759" i="4" s="1"/>
  <c r="S759" i="4"/>
  <c r="T900" i="4"/>
  <c r="U900" i="4" s="1"/>
  <c r="V900" i="4" s="1"/>
  <c r="W900" i="4" s="1"/>
  <c r="S900" i="4"/>
  <c r="T828" i="4"/>
  <c r="U828" i="4" s="1"/>
  <c r="V828" i="4" s="1"/>
  <c r="W828" i="4" s="1"/>
  <c r="S828" i="4"/>
  <c r="T761" i="4"/>
  <c r="U761" i="4" s="1"/>
  <c r="V761" i="4" s="1"/>
  <c r="W761" i="4" s="1"/>
  <c r="S761" i="4"/>
  <c r="T640" i="4"/>
  <c r="U640" i="4" s="1"/>
  <c r="V640" i="4" s="1"/>
  <c r="W640" i="4" s="1"/>
  <c r="S640" i="4"/>
  <c r="T752" i="4"/>
  <c r="U752" i="4" s="1"/>
  <c r="V752" i="4" s="1"/>
  <c r="W752" i="4" s="1"/>
  <c r="S752" i="4"/>
  <c r="T649" i="4"/>
  <c r="U649" i="4" s="1"/>
  <c r="V649" i="4" s="1"/>
  <c r="W649" i="4" s="1"/>
  <c r="S649" i="4"/>
  <c r="T952" i="4"/>
  <c r="U952" i="4" s="1"/>
  <c r="V952" i="4" s="1"/>
  <c r="W952" i="4" s="1"/>
  <c r="S952" i="4"/>
  <c r="T937" i="4"/>
  <c r="U937" i="4" s="1"/>
  <c r="V937" i="4" s="1"/>
  <c r="W937" i="4" s="1"/>
  <c r="S937" i="4"/>
  <c r="T906" i="4"/>
  <c r="U906" i="4" s="1"/>
  <c r="V906" i="4" s="1"/>
  <c r="W906" i="4" s="1"/>
  <c r="S906" i="4"/>
  <c r="T907" i="4"/>
  <c r="U907" i="4" s="1"/>
  <c r="V907" i="4" s="1"/>
  <c r="W907" i="4" s="1"/>
  <c r="S907" i="4"/>
  <c r="T971" i="4"/>
  <c r="U971" i="4" s="1"/>
  <c r="V971" i="4" s="1"/>
  <c r="W971" i="4" s="1"/>
  <c r="S971" i="4"/>
  <c r="T943" i="4"/>
  <c r="U943" i="4" s="1"/>
  <c r="V943" i="4" s="1"/>
  <c r="W943" i="4" s="1"/>
  <c r="S943" i="4"/>
  <c r="T1082" i="4"/>
  <c r="U1082" i="4" s="1"/>
  <c r="V1082" i="4" s="1"/>
  <c r="W1082" i="4" s="1"/>
  <c r="S1082" i="4"/>
  <c r="T1083" i="4"/>
  <c r="U1083" i="4" s="1"/>
  <c r="V1083" i="4" s="1"/>
  <c r="W1083" i="4" s="1"/>
  <c r="S1083" i="4"/>
  <c r="R222" i="4"/>
  <c r="S222" i="4" s="1"/>
  <c r="P978" i="4"/>
  <c r="R978" i="4"/>
  <c r="S978" i="4" s="1"/>
  <c r="P698" i="4"/>
  <c r="R698" i="4"/>
  <c r="S698" i="4" s="1"/>
  <c r="P763" i="4"/>
  <c r="R763" i="4"/>
  <c r="S763" i="4" s="1"/>
  <c r="P829" i="4"/>
  <c r="R829" i="4"/>
  <c r="S829" i="4" s="1"/>
  <c r="P1091" i="4"/>
  <c r="R1091" i="4"/>
  <c r="S1091" i="4" s="1"/>
  <c r="P410" i="4"/>
  <c r="R410" i="4"/>
  <c r="S410" i="4" s="1"/>
  <c r="P222" i="4"/>
  <c r="J699" i="4"/>
  <c r="I699" i="4"/>
  <c r="Q699" i="4" s="1"/>
  <c r="J830" i="4"/>
  <c r="I830" i="4"/>
  <c r="Q830" i="4" s="1"/>
  <c r="J1092" i="4"/>
  <c r="I1092" i="4"/>
  <c r="Q1092" i="4" s="1"/>
  <c r="J764" i="4"/>
  <c r="I764" i="4"/>
  <c r="Q764" i="4" s="1"/>
  <c r="J979" i="4"/>
  <c r="I979" i="4"/>
  <c r="Q979" i="4" s="1"/>
  <c r="I223" i="4"/>
  <c r="Q223" i="4" s="1"/>
  <c r="J411" i="4"/>
  <c r="I411" i="4"/>
  <c r="Q411" i="4" s="1"/>
  <c r="D411" i="4"/>
  <c r="E412" i="4"/>
  <c r="E224" i="4"/>
  <c r="I224" i="4" s="1"/>
  <c r="Q224" i="4" s="1"/>
  <c r="J223" i="4"/>
  <c r="D223" i="4"/>
  <c r="E1093" i="4"/>
  <c r="D1092" i="4"/>
  <c r="E980" i="4"/>
  <c r="D979" i="4"/>
  <c r="E831" i="4"/>
  <c r="D830" i="4"/>
  <c r="E765" i="4"/>
  <c r="D764" i="4"/>
  <c r="D699" i="4"/>
  <c r="E700" i="4"/>
  <c r="Y80" i="1"/>
  <c r="AA80" i="1"/>
  <c r="AB80" i="1"/>
  <c r="Z80" i="1"/>
  <c r="U76" i="1"/>
  <c r="X76" i="1"/>
  <c r="V76" i="1"/>
  <c r="W76" i="1"/>
  <c r="U82" i="1"/>
  <c r="Y82" i="1" s="1"/>
  <c r="V82" i="1"/>
  <c r="Z82" i="1" s="1"/>
  <c r="W82" i="1"/>
  <c r="AA82" i="1" s="1"/>
  <c r="X82" i="1"/>
  <c r="AB82" i="1" s="1"/>
  <c r="U67" i="1"/>
  <c r="V67" i="1"/>
  <c r="W67" i="1"/>
  <c r="X67" i="1"/>
  <c r="U64" i="1"/>
  <c r="X64" i="1"/>
  <c r="V64" i="1"/>
  <c r="W64" i="1"/>
  <c r="U69" i="1"/>
  <c r="W69" i="1"/>
  <c r="X69" i="1"/>
  <c r="V69" i="1"/>
  <c r="U65" i="1"/>
  <c r="W65" i="1"/>
  <c r="X65" i="1"/>
  <c r="V65" i="1"/>
  <c r="U70" i="1"/>
  <c r="V70" i="1"/>
  <c r="W70" i="1"/>
  <c r="X70" i="1"/>
  <c r="U66" i="1"/>
  <c r="V66" i="1"/>
  <c r="W66" i="1"/>
  <c r="X66" i="1"/>
  <c r="U59" i="1"/>
  <c r="X59" i="1"/>
  <c r="W59" i="1"/>
  <c r="V59" i="1"/>
  <c r="U74" i="1"/>
  <c r="V74" i="1"/>
  <c r="W74" i="1"/>
  <c r="X74" i="1"/>
  <c r="U68" i="1"/>
  <c r="X68" i="1"/>
  <c r="V68" i="1"/>
  <c r="W68" i="1"/>
  <c r="U77" i="1"/>
  <c r="W77" i="1"/>
  <c r="X77" i="1"/>
  <c r="V77" i="1"/>
  <c r="U73" i="1"/>
  <c r="W73" i="1"/>
  <c r="X73" i="1"/>
  <c r="V73" i="1"/>
  <c r="U60" i="1"/>
  <c r="X60" i="1"/>
  <c r="V60" i="1"/>
  <c r="W60" i="1"/>
  <c r="U62" i="1"/>
  <c r="V62" i="1"/>
  <c r="W62" i="1"/>
  <c r="X62" i="1"/>
  <c r="U79" i="1"/>
  <c r="V79" i="1"/>
  <c r="W79" i="1"/>
  <c r="X79" i="1"/>
  <c r="U75" i="1"/>
  <c r="V75" i="1"/>
  <c r="W75" i="1"/>
  <c r="X75" i="1"/>
  <c r="U71" i="1"/>
  <c r="V71" i="1"/>
  <c r="W71" i="1"/>
  <c r="X71" i="1"/>
  <c r="U72" i="1"/>
  <c r="X72" i="1"/>
  <c r="V72" i="1"/>
  <c r="W72" i="1"/>
  <c r="U61" i="1"/>
  <c r="W61" i="1"/>
  <c r="X61" i="1"/>
  <c r="V61" i="1"/>
  <c r="U81" i="1"/>
  <c r="Y81" i="1" s="1"/>
  <c r="W81" i="1"/>
  <c r="AA81" i="1" s="1"/>
  <c r="X81" i="1"/>
  <c r="AB81" i="1" s="1"/>
  <c r="V81" i="1"/>
  <c r="Z81" i="1" s="1"/>
  <c r="U78" i="1"/>
  <c r="V78" i="1"/>
  <c r="W78" i="1"/>
  <c r="X78" i="1"/>
  <c r="U63" i="1"/>
  <c r="V63" i="1"/>
  <c r="W63" i="1"/>
  <c r="X63" i="1"/>
  <c r="AC55" i="1"/>
  <c r="AC53" i="1"/>
  <c r="AB53" i="1"/>
  <c r="Z53" i="1"/>
  <c r="AC80" i="1"/>
  <c r="AA53" i="1"/>
  <c r="AC54" i="1"/>
  <c r="U40" i="1"/>
  <c r="V40" i="1"/>
  <c r="W40" i="1"/>
  <c r="X40" i="1"/>
  <c r="U44" i="1"/>
  <c r="V44" i="1"/>
  <c r="W44" i="1"/>
  <c r="X44" i="1"/>
  <c r="U33" i="1"/>
  <c r="X33" i="1"/>
  <c r="V33" i="1"/>
  <c r="W33" i="1"/>
  <c r="U36" i="1"/>
  <c r="V36" i="1"/>
  <c r="W36" i="1"/>
  <c r="X36" i="1"/>
  <c r="U43" i="1"/>
  <c r="V43" i="1"/>
  <c r="W43" i="1"/>
  <c r="X43" i="1"/>
  <c r="U50" i="1"/>
  <c r="W50" i="1"/>
  <c r="X50" i="1"/>
  <c r="V50" i="1"/>
  <c r="U49" i="1"/>
  <c r="X49" i="1"/>
  <c r="V49" i="1"/>
  <c r="W49" i="1"/>
  <c r="U47" i="1"/>
  <c r="V47" i="1"/>
  <c r="W47" i="1"/>
  <c r="X47" i="1"/>
  <c r="U46" i="1"/>
  <c r="W46" i="1"/>
  <c r="X46" i="1"/>
  <c r="V46" i="1"/>
  <c r="U42" i="1"/>
  <c r="W42" i="1"/>
  <c r="X42" i="1"/>
  <c r="V42" i="1"/>
  <c r="U51" i="1"/>
  <c r="V51" i="1"/>
  <c r="W51" i="1"/>
  <c r="X51" i="1"/>
  <c r="U34" i="1"/>
  <c r="W34" i="1"/>
  <c r="X34" i="1"/>
  <c r="V34" i="1"/>
  <c r="U32" i="1"/>
  <c r="X32" i="1"/>
  <c r="W32" i="1"/>
  <c r="V32" i="1"/>
  <c r="U55" i="1"/>
  <c r="Y55" i="1" s="1"/>
  <c r="V55" i="1"/>
  <c r="Z55" i="1" s="1"/>
  <c r="W55" i="1"/>
  <c r="AA55" i="1" s="1"/>
  <c r="X55" i="1"/>
  <c r="AB55" i="1" s="1"/>
  <c r="U45" i="1"/>
  <c r="X45" i="1"/>
  <c r="V45" i="1"/>
  <c r="W45" i="1"/>
  <c r="U39" i="1"/>
  <c r="V39" i="1"/>
  <c r="W39" i="1"/>
  <c r="X39" i="1"/>
  <c r="U38" i="1"/>
  <c r="W38" i="1"/>
  <c r="X38" i="1"/>
  <c r="V38" i="1"/>
  <c r="U48" i="1"/>
  <c r="V48" i="1"/>
  <c r="W48" i="1"/>
  <c r="X48" i="1"/>
  <c r="U37" i="1"/>
  <c r="X37" i="1"/>
  <c r="V37" i="1"/>
  <c r="W37" i="1"/>
  <c r="U41" i="1"/>
  <c r="X41" i="1"/>
  <c r="V41" i="1"/>
  <c r="W41" i="1"/>
  <c r="U52" i="1"/>
  <c r="V52" i="1"/>
  <c r="W52" i="1"/>
  <c r="X52" i="1"/>
  <c r="U35" i="1"/>
  <c r="V35" i="1"/>
  <c r="W35" i="1"/>
  <c r="X35" i="1"/>
  <c r="U54" i="1"/>
  <c r="Y54" i="1" s="1"/>
  <c r="W54" i="1"/>
  <c r="AA54" i="1" s="1"/>
  <c r="X54" i="1"/>
  <c r="AB54" i="1" s="1"/>
  <c r="V54" i="1"/>
  <c r="Z54" i="1" s="1"/>
  <c r="AB26" i="1"/>
  <c r="AA26" i="1"/>
  <c r="Z26" i="1"/>
  <c r="U7" i="1"/>
  <c r="X7" i="1"/>
  <c r="W7" i="1"/>
  <c r="V7" i="1"/>
  <c r="U12" i="1"/>
  <c r="X12" i="1"/>
  <c r="W12" i="1"/>
  <c r="V12" i="1"/>
  <c r="U8" i="1"/>
  <c r="X8" i="1"/>
  <c r="W8" i="1"/>
  <c r="V8" i="1"/>
  <c r="U11" i="1"/>
  <c r="X11" i="1"/>
  <c r="W11" i="1"/>
  <c r="V11" i="1"/>
  <c r="U19" i="1"/>
  <c r="X19" i="1"/>
  <c r="W19" i="1"/>
  <c r="V19" i="1"/>
  <c r="U22" i="1"/>
  <c r="X22" i="1"/>
  <c r="W22" i="1"/>
  <c r="V22" i="1"/>
  <c r="U6" i="1"/>
  <c r="X6" i="1"/>
  <c r="W6" i="1"/>
  <c r="V6" i="1"/>
  <c r="U20" i="1"/>
  <c r="X20" i="1"/>
  <c r="W20" i="1"/>
  <c r="V20" i="1"/>
  <c r="U21" i="1"/>
  <c r="X21" i="1"/>
  <c r="W21" i="1"/>
  <c r="V21" i="1"/>
  <c r="U27" i="1"/>
  <c r="Y27" i="1" s="1"/>
  <c r="X27" i="1"/>
  <c r="AB27" i="1" s="1"/>
  <c r="W27" i="1"/>
  <c r="AA27" i="1" s="1"/>
  <c r="V27" i="1"/>
  <c r="Z27" i="1" s="1"/>
  <c r="U28" i="1"/>
  <c r="X28" i="1"/>
  <c r="AB28" i="1" s="1"/>
  <c r="W28" i="1"/>
  <c r="AA28" i="1" s="1"/>
  <c r="V28" i="1"/>
  <c r="Z28" i="1" s="1"/>
  <c r="U15" i="1"/>
  <c r="X15" i="1"/>
  <c r="W15" i="1"/>
  <c r="V15" i="1"/>
  <c r="U18" i="1"/>
  <c r="X18" i="1"/>
  <c r="W18" i="1"/>
  <c r="V18" i="1"/>
  <c r="U14" i="1"/>
  <c r="X14" i="1"/>
  <c r="W14" i="1"/>
  <c r="V14" i="1"/>
  <c r="U16" i="1"/>
  <c r="X16" i="1"/>
  <c r="W16" i="1"/>
  <c r="V16" i="1"/>
  <c r="U24" i="1"/>
  <c r="X24" i="1"/>
  <c r="W24" i="1"/>
  <c r="V24" i="1"/>
  <c r="U23" i="1"/>
  <c r="X23" i="1"/>
  <c r="W23" i="1"/>
  <c r="V23" i="1"/>
  <c r="U13" i="1"/>
  <c r="X13" i="1"/>
  <c r="W13" i="1"/>
  <c r="V13" i="1"/>
  <c r="Y53" i="1"/>
  <c r="AC26" i="1"/>
  <c r="Y26" i="1"/>
  <c r="AC28" i="1"/>
  <c r="Y28" i="1"/>
  <c r="N79" i="1"/>
  <c r="N52" i="1"/>
  <c r="N25" i="1"/>
  <c r="I23" i="1"/>
  <c r="J24" i="1"/>
  <c r="K24" i="1" s="1"/>
  <c r="K25" i="1" s="1"/>
  <c r="K26" i="1" s="1"/>
  <c r="K27" i="1" s="1"/>
  <c r="K28" i="1" s="1"/>
  <c r="Y924" i="4" l="1"/>
  <c r="X672" i="4"/>
  <c r="X973" i="4"/>
  <c r="Y674" i="4"/>
  <c r="Y660" i="4"/>
  <c r="X904" i="4"/>
  <c r="Y657" i="4"/>
  <c r="X808" i="4"/>
  <c r="X648" i="4"/>
  <c r="X628" i="4"/>
  <c r="X639" i="4"/>
  <c r="X692" i="4"/>
  <c r="X1080" i="4"/>
  <c r="Y918" i="4"/>
  <c r="X662" i="4"/>
  <c r="X931" i="4"/>
  <c r="X807" i="4"/>
  <c r="X899" i="4"/>
  <c r="Y947" i="4"/>
  <c r="Y659" i="4"/>
  <c r="Y1086" i="4"/>
  <c r="X1079" i="4"/>
  <c r="Y663" i="4"/>
  <c r="Y972" i="4"/>
  <c r="X1078" i="4"/>
  <c r="X897" i="4"/>
  <c r="X613" i="4"/>
  <c r="X914" i="4"/>
  <c r="X682" i="4"/>
  <c r="X922" i="4"/>
  <c r="X910" i="4"/>
  <c r="X903" i="4"/>
  <c r="X885" i="4"/>
  <c r="X953" i="4"/>
  <c r="X882" i="4"/>
  <c r="Y627" i="4"/>
  <c r="X1090" i="4"/>
  <c r="X667" i="4"/>
  <c r="X949" i="4"/>
  <c r="X961" i="4"/>
  <c r="X641" i="4"/>
  <c r="X965" i="4"/>
  <c r="X821" i="4"/>
  <c r="X751" i="4"/>
  <c r="X407" i="4"/>
  <c r="X816" i="4"/>
  <c r="X630" i="4"/>
  <c r="X625" i="4"/>
  <c r="X607" i="4"/>
  <c r="X802" i="4"/>
  <c r="X651" i="4"/>
  <c r="X880" i="4"/>
  <c r="X929" i="4"/>
  <c r="X694" i="4"/>
  <c r="X889" i="4"/>
  <c r="X818" i="4"/>
  <c r="X618" i="4"/>
  <c r="X975" i="4"/>
  <c r="X925" i="4"/>
  <c r="X892" i="4"/>
  <c r="X944" i="4"/>
  <c r="X964" i="4"/>
  <c r="X923" i="4"/>
  <c r="X946" i="4"/>
  <c r="X689" i="4"/>
  <c r="X621" i="4"/>
  <c r="Y1083" i="4"/>
  <c r="X1083" i="4"/>
  <c r="Y907" i="4"/>
  <c r="X907" i="4"/>
  <c r="Y649" i="4"/>
  <c r="X649" i="4"/>
  <c r="Y828" i="4"/>
  <c r="X828" i="4"/>
  <c r="Y750" i="4"/>
  <c r="X750" i="4"/>
  <c r="Y812" i="4"/>
  <c r="X812" i="4"/>
  <c r="Y945" i="4"/>
  <c r="X945" i="4"/>
  <c r="Y643" i="4"/>
  <c r="X643" i="4"/>
  <c r="Y1087" i="4"/>
  <c r="X1087" i="4"/>
  <c r="Y908" i="4"/>
  <c r="X908" i="4"/>
  <c r="Y646" i="4"/>
  <c r="X646" i="4"/>
  <c r="Y644" i="4"/>
  <c r="X644" i="4"/>
  <c r="Y920" i="4"/>
  <c r="X920" i="4"/>
  <c r="Y971" i="4"/>
  <c r="X971" i="4"/>
  <c r="Y752" i="4"/>
  <c r="X752" i="4"/>
  <c r="Y900" i="4"/>
  <c r="X900" i="4"/>
  <c r="Y638" i="4"/>
  <c r="X638" i="4"/>
  <c r="Y652" i="4"/>
  <c r="X652" i="4"/>
  <c r="Y898" i="4"/>
  <c r="X898" i="4"/>
  <c r="Y755" i="4"/>
  <c r="X755" i="4"/>
  <c r="Y810" i="4"/>
  <c r="X810" i="4"/>
  <c r="Y697" i="4"/>
  <c r="X697" i="4"/>
  <c r="Y894" i="4"/>
  <c r="X894" i="4"/>
  <c r="Y1084" i="4"/>
  <c r="X1084" i="4"/>
  <c r="Y687" i="4"/>
  <c r="X687" i="4"/>
  <c r="Y758" i="4"/>
  <c r="X758" i="4"/>
  <c r="Y749" i="4"/>
  <c r="X749" i="4"/>
  <c r="Y756" i="4"/>
  <c r="X756" i="4"/>
  <c r="Y406" i="4"/>
  <c r="X406" i="4"/>
  <c r="Y939" i="4"/>
  <c r="X939" i="4"/>
  <c r="Y938" i="4"/>
  <c r="X938" i="4"/>
  <c r="Y905" i="4"/>
  <c r="X905" i="4"/>
  <c r="Y683" i="4"/>
  <c r="X683" i="4"/>
  <c r="Y690" i="4"/>
  <c r="X690" i="4"/>
  <c r="Y681" i="4"/>
  <c r="X681" i="4"/>
  <c r="Y1082" i="4"/>
  <c r="X1082" i="4"/>
  <c r="Y906" i="4"/>
  <c r="X906" i="4"/>
  <c r="Y952" i="4"/>
  <c r="X952" i="4"/>
  <c r="Y761" i="4"/>
  <c r="X761" i="4"/>
  <c r="Y647" i="4"/>
  <c r="X647" i="4"/>
  <c r="Y661" i="4"/>
  <c r="X661" i="4"/>
  <c r="Y881" i="4"/>
  <c r="X881" i="4"/>
  <c r="R223" i="4"/>
  <c r="S223" i="4" s="1"/>
  <c r="Y943" i="4"/>
  <c r="X943" i="4"/>
  <c r="Y937" i="4"/>
  <c r="X937" i="4"/>
  <c r="Y640" i="4"/>
  <c r="X640" i="4"/>
  <c r="Y759" i="4"/>
  <c r="X759" i="4"/>
  <c r="Y805" i="4"/>
  <c r="X805" i="4"/>
  <c r="Y962" i="4"/>
  <c r="X962" i="4"/>
  <c r="Y896" i="4"/>
  <c r="X896" i="4"/>
  <c r="Y632" i="4"/>
  <c r="X632" i="4"/>
  <c r="Y941" i="4"/>
  <c r="X941" i="4"/>
  <c r="Y623" i="4"/>
  <c r="X623" i="4"/>
  <c r="Y637" i="4"/>
  <c r="X637" i="4"/>
  <c r="Y956" i="4"/>
  <c r="X956" i="4"/>
  <c r="Y960" i="4"/>
  <c r="X960" i="4"/>
  <c r="Y969" i="4"/>
  <c r="X969" i="4"/>
  <c r="Y619" i="4"/>
  <c r="X619" i="4"/>
  <c r="Y626" i="4"/>
  <c r="X626" i="4"/>
  <c r="Y827" i="4"/>
  <c r="X827" i="4"/>
  <c r="R979" i="4"/>
  <c r="S979" i="4" s="1"/>
  <c r="R1092" i="4"/>
  <c r="S1092" i="4" s="1"/>
  <c r="R699" i="4"/>
  <c r="S699" i="4" s="1"/>
  <c r="R411" i="4"/>
  <c r="S411" i="4" s="1"/>
  <c r="R764" i="4"/>
  <c r="S764" i="4" s="1"/>
  <c r="R830" i="4"/>
  <c r="S830" i="4" s="1"/>
  <c r="T698" i="4"/>
  <c r="U698" i="4" s="1"/>
  <c r="V698" i="4" s="1"/>
  <c r="W698" i="4" s="1"/>
  <c r="T410" i="4"/>
  <c r="U410" i="4" s="1"/>
  <c r="V410" i="4" s="1"/>
  <c r="W410" i="4" s="1"/>
  <c r="T829" i="4"/>
  <c r="U829" i="4" s="1"/>
  <c r="V829" i="4" s="1"/>
  <c r="W829" i="4" s="1"/>
  <c r="T763" i="4"/>
  <c r="U763" i="4" s="1"/>
  <c r="V763" i="4" s="1"/>
  <c r="W763" i="4" s="1"/>
  <c r="T222" i="4"/>
  <c r="U222" i="4" s="1"/>
  <c r="V222" i="4" s="1"/>
  <c r="W222" i="4" s="1"/>
  <c r="T764" i="4"/>
  <c r="U764" i="4" s="1"/>
  <c r="V764" i="4" s="1"/>
  <c r="W764" i="4" s="1"/>
  <c r="T978" i="4"/>
  <c r="U978" i="4" s="1"/>
  <c r="V978" i="4" s="1"/>
  <c r="W978" i="4" s="1"/>
  <c r="T1091" i="4"/>
  <c r="U1091" i="4" s="1"/>
  <c r="V1091" i="4" s="1"/>
  <c r="W1091" i="4" s="1"/>
  <c r="P764" i="4"/>
  <c r="P830" i="4"/>
  <c r="P223" i="4"/>
  <c r="P979" i="4"/>
  <c r="P1092" i="4"/>
  <c r="P699" i="4"/>
  <c r="P411" i="4"/>
  <c r="F224" i="4"/>
  <c r="J700" i="4"/>
  <c r="I700" i="4"/>
  <c r="Q700" i="4" s="1"/>
  <c r="J412" i="4"/>
  <c r="I412" i="4"/>
  <c r="Q412" i="4" s="1"/>
  <c r="E413" i="4"/>
  <c r="D412" i="4"/>
  <c r="J831" i="4"/>
  <c r="I831" i="4"/>
  <c r="Q831" i="4" s="1"/>
  <c r="J1093" i="4"/>
  <c r="I1093" i="4"/>
  <c r="Q1093" i="4" s="1"/>
  <c r="J765" i="4"/>
  <c r="I765" i="4"/>
  <c r="Q765" i="4" s="1"/>
  <c r="J980" i="4"/>
  <c r="I980" i="4"/>
  <c r="Q980" i="4" s="1"/>
  <c r="E225" i="4"/>
  <c r="I225" i="4" s="1"/>
  <c r="Q225" i="4" s="1"/>
  <c r="J224" i="4"/>
  <c r="R224" i="4" s="1"/>
  <c r="S224" i="4" s="1"/>
  <c r="D224" i="4"/>
  <c r="E1094" i="4"/>
  <c r="D1093" i="4"/>
  <c r="E981" i="4"/>
  <c r="D980" i="4"/>
  <c r="D831" i="4"/>
  <c r="E832" i="4"/>
  <c r="E766" i="4"/>
  <c r="D765" i="4"/>
  <c r="D700" i="4"/>
  <c r="E701" i="4"/>
  <c r="AC79" i="1"/>
  <c r="AB79" i="1"/>
  <c r="AA79" i="1"/>
  <c r="Z79" i="1"/>
  <c r="AA52" i="1"/>
  <c r="AC52" i="1"/>
  <c r="Z52" i="1"/>
  <c r="AB52" i="1"/>
  <c r="AA25" i="1"/>
  <c r="AB25" i="1"/>
  <c r="Z25" i="1"/>
  <c r="Y52" i="1"/>
  <c r="Y79" i="1"/>
  <c r="AC25" i="1"/>
  <c r="Y25" i="1"/>
  <c r="N78" i="1"/>
  <c r="N51" i="1"/>
  <c r="AA51" i="1" s="1"/>
  <c r="N24" i="1"/>
  <c r="I22" i="1"/>
  <c r="J23" i="1"/>
  <c r="K23" i="1" s="1"/>
  <c r="Y763" i="4" l="1"/>
  <c r="X763" i="4"/>
  <c r="T830" i="4"/>
  <c r="U830" i="4" s="1"/>
  <c r="V830" i="4" s="1"/>
  <c r="W830" i="4" s="1"/>
  <c r="Y829" i="4"/>
  <c r="X829" i="4"/>
  <c r="Y410" i="4"/>
  <c r="X410" i="4"/>
  <c r="Y764" i="4"/>
  <c r="X764" i="4"/>
  <c r="Y1091" i="4"/>
  <c r="X1091" i="4"/>
  <c r="Y222" i="4"/>
  <c r="X222" i="4"/>
  <c r="Y698" i="4"/>
  <c r="X698" i="4"/>
  <c r="Y978" i="4"/>
  <c r="X978" i="4"/>
  <c r="R765" i="4"/>
  <c r="S765" i="4" s="1"/>
  <c r="R831" i="4"/>
  <c r="S831" i="4" s="1"/>
  <c r="R412" i="4"/>
  <c r="S412" i="4" s="1"/>
  <c r="R980" i="4"/>
  <c r="S980" i="4" s="1"/>
  <c r="R1093" i="4"/>
  <c r="S1093" i="4" s="1"/>
  <c r="R700" i="4"/>
  <c r="S700" i="4" s="1"/>
  <c r="T224" i="4"/>
  <c r="U224" i="4" s="1"/>
  <c r="V224" i="4" s="1"/>
  <c r="W224" i="4" s="1"/>
  <c r="T699" i="4"/>
  <c r="U699" i="4" s="1"/>
  <c r="V699" i="4" s="1"/>
  <c r="W699" i="4" s="1"/>
  <c r="T1092" i="4"/>
  <c r="U1092" i="4" s="1"/>
  <c r="V1092" i="4" s="1"/>
  <c r="W1092" i="4" s="1"/>
  <c r="T411" i="4"/>
  <c r="U411" i="4" s="1"/>
  <c r="V411" i="4" s="1"/>
  <c r="W411" i="4" s="1"/>
  <c r="T979" i="4"/>
  <c r="U979" i="4" s="1"/>
  <c r="V979" i="4" s="1"/>
  <c r="W979" i="4" s="1"/>
  <c r="T223" i="4"/>
  <c r="U223" i="4" s="1"/>
  <c r="V223" i="4" s="1"/>
  <c r="W223" i="4" s="1"/>
  <c r="P980" i="4"/>
  <c r="P1093" i="4"/>
  <c r="P700" i="4"/>
  <c r="P224" i="4"/>
  <c r="F225" i="4"/>
  <c r="P765" i="4"/>
  <c r="P831" i="4"/>
  <c r="P412" i="4"/>
  <c r="J766" i="4"/>
  <c r="I766" i="4"/>
  <c r="Q766" i="4" s="1"/>
  <c r="J981" i="4"/>
  <c r="I981" i="4"/>
  <c r="Q981" i="4" s="1"/>
  <c r="J701" i="4"/>
  <c r="I701" i="4"/>
  <c r="Q701" i="4" s="1"/>
  <c r="J832" i="4"/>
  <c r="I832" i="4"/>
  <c r="Q832" i="4" s="1"/>
  <c r="J1094" i="4"/>
  <c r="I1094" i="4"/>
  <c r="Q1094" i="4" s="1"/>
  <c r="I413" i="4"/>
  <c r="Q413" i="4" s="1"/>
  <c r="D413" i="4"/>
  <c r="J413" i="4"/>
  <c r="E414" i="4"/>
  <c r="E226" i="4"/>
  <c r="I226" i="4" s="1"/>
  <c r="Q226" i="4" s="1"/>
  <c r="J225" i="4"/>
  <c r="R225" i="4" s="1"/>
  <c r="S225" i="4" s="1"/>
  <c r="D225" i="4"/>
  <c r="E1095" i="4"/>
  <c r="I1095" i="4" s="1"/>
  <c r="Q1095" i="4" s="1"/>
  <c r="D1094" i="4"/>
  <c r="E982" i="4"/>
  <c r="I982" i="4" s="1"/>
  <c r="Q982" i="4" s="1"/>
  <c r="D981" i="4"/>
  <c r="D832" i="4"/>
  <c r="E833" i="4"/>
  <c r="E767" i="4"/>
  <c r="D766" i="4"/>
  <c r="E702" i="4"/>
  <c r="D701" i="4"/>
  <c r="AA78" i="1"/>
  <c r="AB78" i="1"/>
  <c r="Z78" i="1"/>
  <c r="Z51" i="1"/>
  <c r="AB51" i="1"/>
  <c r="AB24" i="1"/>
  <c r="AA24" i="1"/>
  <c r="Z24" i="1"/>
  <c r="AC51" i="1"/>
  <c r="Y51" i="1"/>
  <c r="AC78" i="1"/>
  <c r="Y78" i="1"/>
  <c r="AC24" i="1"/>
  <c r="Y24" i="1"/>
  <c r="N77" i="1"/>
  <c r="N50" i="1"/>
  <c r="N23" i="1"/>
  <c r="I21" i="1"/>
  <c r="J22" i="1"/>
  <c r="Y979" i="4" l="1"/>
  <c r="X979" i="4"/>
  <c r="Y224" i="4"/>
  <c r="X224" i="4"/>
  <c r="Y411" i="4"/>
  <c r="X411" i="4"/>
  <c r="Y830" i="4"/>
  <c r="X830" i="4"/>
  <c r="Y1092" i="4"/>
  <c r="X1092" i="4"/>
  <c r="Y223" i="4"/>
  <c r="X223" i="4"/>
  <c r="Y699" i="4"/>
  <c r="X699" i="4"/>
  <c r="R413" i="4"/>
  <c r="S413" i="4" s="1"/>
  <c r="R1094" i="4"/>
  <c r="S1094" i="4" s="1"/>
  <c r="R701" i="4"/>
  <c r="S701" i="4" s="1"/>
  <c r="R766" i="4"/>
  <c r="R832" i="4"/>
  <c r="S832" i="4" s="1"/>
  <c r="R981" i="4"/>
  <c r="S981" i="4" s="1"/>
  <c r="T225" i="4"/>
  <c r="U225" i="4" s="1"/>
  <c r="V225" i="4" s="1"/>
  <c r="W225" i="4" s="1"/>
  <c r="T980" i="4"/>
  <c r="U980" i="4" s="1"/>
  <c r="V980" i="4" s="1"/>
  <c r="W980" i="4" s="1"/>
  <c r="T412" i="4"/>
  <c r="U412" i="4" s="1"/>
  <c r="V412" i="4" s="1"/>
  <c r="W412" i="4" s="1"/>
  <c r="T831" i="4"/>
  <c r="U831" i="4" s="1"/>
  <c r="V831" i="4" s="1"/>
  <c r="W831" i="4" s="1"/>
  <c r="T700" i="4"/>
  <c r="U700" i="4" s="1"/>
  <c r="V700" i="4" s="1"/>
  <c r="W700" i="4" s="1"/>
  <c r="T765" i="4"/>
  <c r="U765" i="4" s="1"/>
  <c r="V765" i="4" s="1"/>
  <c r="W765" i="4" s="1"/>
  <c r="T701" i="4"/>
  <c r="U701" i="4" s="1"/>
  <c r="V701" i="4" s="1"/>
  <c r="W701" i="4" s="1"/>
  <c r="T1093" i="4"/>
  <c r="U1093" i="4" s="1"/>
  <c r="V1093" i="4" s="1"/>
  <c r="W1093" i="4" s="1"/>
  <c r="P413" i="4"/>
  <c r="P1094" i="4"/>
  <c r="P701" i="4"/>
  <c r="P766" i="4"/>
  <c r="P225" i="4"/>
  <c r="P832" i="4"/>
  <c r="P981" i="4"/>
  <c r="F226" i="4"/>
  <c r="J702" i="4"/>
  <c r="I702" i="4"/>
  <c r="Q702" i="4" s="1"/>
  <c r="I414" i="4"/>
  <c r="Q414" i="4" s="1"/>
  <c r="E415" i="4"/>
  <c r="D414" i="4"/>
  <c r="J414" i="4"/>
  <c r="J767" i="4"/>
  <c r="I767" i="4"/>
  <c r="Q767" i="4" s="1"/>
  <c r="J833" i="4"/>
  <c r="I833" i="4"/>
  <c r="Q833" i="4" s="1"/>
  <c r="J226" i="4"/>
  <c r="R226" i="4" s="1"/>
  <c r="S226" i="4" s="1"/>
  <c r="D226" i="4"/>
  <c r="E227" i="4"/>
  <c r="I227" i="4" s="1"/>
  <c r="Q227" i="4" s="1"/>
  <c r="D982" i="4"/>
  <c r="J982" i="4"/>
  <c r="R982" i="4" s="1"/>
  <c r="S982" i="4" s="1"/>
  <c r="E983" i="4"/>
  <c r="I983" i="4" s="1"/>
  <c r="Q983" i="4" s="1"/>
  <c r="D1095" i="4"/>
  <c r="J1095" i="4"/>
  <c r="R1095" i="4" s="1"/>
  <c r="S1095" i="4" s="1"/>
  <c r="E1096" i="4"/>
  <c r="I1096" i="4" s="1"/>
  <c r="Q1096" i="4" s="1"/>
  <c r="E834" i="4"/>
  <c r="D833" i="4"/>
  <c r="E768" i="4"/>
  <c r="D767" i="4"/>
  <c r="E703" i="4"/>
  <c r="D702" i="4"/>
  <c r="D605" i="4"/>
  <c r="AB77" i="1"/>
  <c r="Z77" i="1"/>
  <c r="AA77" i="1"/>
  <c r="Z50" i="1"/>
  <c r="AB50" i="1"/>
  <c r="AA50" i="1"/>
  <c r="AB23" i="1"/>
  <c r="AA23" i="1"/>
  <c r="Z23" i="1"/>
  <c r="AC50" i="1"/>
  <c r="Y50" i="1"/>
  <c r="AC77" i="1"/>
  <c r="Y77" i="1"/>
  <c r="AC23" i="1"/>
  <c r="Y23" i="1"/>
  <c r="K22" i="1"/>
  <c r="N22" i="1"/>
  <c r="N76" i="1"/>
  <c r="N49" i="1"/>
  <c r="I20" i="1"/>
  <c r="J21" i="1"/>
  <c r="T1094" i="4" l="1"/>
  <c r="U1094" i="4" s="1"/>
  <c r="V1094" i="4" s="1"/>
  <c r="W1094" i="4" s="1"/>
  <c r="X1094" i="4" s="1"/>
  <c r="T981" i="4"/>
  <c r="U981" i="4" s="1"/>
  <c r="V981" i="4" s="1"/>
  <c r="W981" i="4" s="1"/>
  <c r="Y981" i="4" s="1"/>
  <c r="Y765" i="4"/>
  <c r="X765" i="4"/>
  <c r="T832" i="4"/>
  <c r="U832" i="4" s="1"/>
  <c r="V832" i="4" s="1"/>
  <c r="W832" i="4" s="1"/>
  <c r="Y1093" i="4"/>
  <c r="X1093" i="4"/>
  <c r="Y700" i="4"/>
  <c r="X700" i="4"/>
  <c r="Y412" i="4"/>
  <c r="X412" i="4"/>
  <c r="Y701" i="4"/>
  <c r="X701" i="4"/>
  <c r="Y831" i="4"/>
  <c r="X831" i="4"/>
  <c r="Y980" i="4"/>
  <c r="X980" i="4"/>
  <c r="Y1094" i="4"/>
  <c r="Y225" i="4"/>
  <c r="X225" i="4"/>
  <c r="T766" i="4"/>
  <c r="U766" i="4" s="1"/>
  <c r="V766" i="4" s="1"/>
  <c r="W766" i="4" s="1"/>
  <c r="S766" i="4"/>
  <c r="R414" i="4"/>
  <c r="S414" i="4" s="1"/>
  <c r="R767" i="4"/>
  <c r="S767" i="4" s="1"/>
  <c r="R833" i="4"/>
  <c r="S833" i="4" s="1"/>
  <c r="R702" i="4"/>
  <c r="S702" i="4" s="1"/>
  <c r="T982" i="4"/>
  <c r="U982" i="4" s="1"/>
  <c r="V982" i="4" s="1"/>
  <c r="W982" i="4" s="1"/>
  <c r="T226" i="4"/>
  <c r="U226" i="4" s="1"/>
  <c r="V226" i="4" s="1"/>
  <c r="W226" i="4" s="1"/>
  <c r="T413" i="4"/>
  <c r="U413" i="4" s="1"/>
  <c r="V413" i="4" s="1"/>
  <c r="W413" i="4" s="1"/>
  <c r="T1095" i="4"/>
  <c r="U1095" i="4" s="1"/>
  <c r="V1095" i="4" s="1"/>
  <c r="W1095" i="4" s="1"/>
  <c r="P833" i="4"/>
  <c r="P702" i="4"/>
  <c r="F227" i="4"/>
  <c r="P982" i="4"/>
  <c r="P226" i="4"/>
  <c r="P767" i="4"/>
  <c r="P1095" i="4"/>
  <c r="P414" i="4"/>
  <c r="J703" i="4"/>
  <c r="I703" i="4"/>
  <c r="Q703" i="4" s="1"/>
  <c r="J834" i="4"/>
  <c r="I834" i="4"/>
  <c r="Q834" i="4" s="1"/>
  <c r="I415" i="4"/>
  <c r="Q415" i="4" s="1"/>
  <c r="D415" i="4"/>
  <c r="E416" i="4"/>
  <c r="J415" i="4"/>
  <c r="J768" i="4"/>
  <c r="I768" i="4"/>
  <c r="Q768" i="4" s="1"/>
  <c r="E1097" i="4"/>
  <c r="I1097" i="4" s="1"/>
  <c r="Q1097" i="4" s="1"/>
  <c r="J1096" i="4"/>
  <c r="R1096" i="4" s="1"/>
  <c r="S1096" i="4" s="1"/>
  <c r="D1096" i="4"/>
  <c r="J227" i="4"/>
  <c r="R227" i="4" s="1"/>
  <c r="S227" i="4" s="1"/>
  <c r="D227" i="4"/>
  <c r="E228" i="4"/>
  <c r="I228" i="4" s="1"/>
  <c r="Q228" i="4" s="1"/>
  <c r="D983" i="4"/>
  <c r="J983" i="4"/>
  <c r="R983" i="4" s="1"/>
  <c r="S983" i="4" s="1"/>
  <c r="E984" i="4"/>
  <c r="I984" i="4" s="1"/>
  <c r="Q984" i="4" s="1"/>
  <c r="D834" i="4"/>
  <c r="E835" i="4"/>
  <c r="E769" i="4"/>
  <c r="D768" i="4"/>
  <c r="D703" i="4"/>
  <c r="E704" i="4"/>
  <c r="D606" i="4"/>
  <c r="AA76" i="1"/>
  <c r="AB76" i="1"/>
  <c r="Z76" i="1"/>
  <c r="AB49" i="1"/>
  <c r="Z49" i="1"/>
  <c r="AA49" i="1"/>
  <c r="AB22" i="1"/>
  <c r="AA22" i="1"/>
  <c r="Z22" i="1"/>
  <c r="AC76" i="1"/>
  <c r="Y76" i="1"/>
  <c r="AC49" i="1"/>
  <c r="Y49" i="1"/>
  <c r="AC22" i="1"/>
  <c r="Y22" i="1"/>
  <c r="K21" i="1"/>
  <c r="N21" i="1"/>
  <c r="N75" i="1"/>
  <c r="N48" i="1"/>
  <c r="I19" i="1"/>
  <c r="J20" i="1"/>
  <c r="X981" i="4" l="1"/>
  <c r="T767" i="4"/>
  <c r="U767" i="4" s="1"/>
  <c r="V767" i="4" s="1"/>
  <c r="W767" i="4" s="1"/>
  <c r="Y767" i="4" s="1"/>
  <c r="T833" i="4"/>
  <c r="U833" i="4" s="1"/>
  <c r="V833" i="4" s="1"/>
  <c r="W833" i="4" s="1"/>
  <c r="Y833" i="4" s="1"/>
  <c r="Y1095" i="4"/>
  <c r="X1095" i="4"/>
  <c r="Y982" i="4"/>
  <c r="X982" i="4"/>
  <c r="Y413" i="4"/>
  <c r="X413" i="4"/>
  <c r="Y832" i="4"/>
  <c r="X832" i="4"/>
  <c r="R415" i="4"/>
  <c r="S415" i="4" s="1"/>
  <c r="T702" i="4"/>
  <c r="U702" i="4" s="1"/>
  <c r="V702" i="4" s="1"/>
  <c r="W702" i="4" s="1"/>
  <c r="Y226" i="4"/>
  <c r="X226" i="4"/>
  <c r="Y766" i="4"/>
  <c r="X766" i="4"/>
  <c r="R834" i="4"/>
  <c r="R768" i="4"/>
  <c r="R703" i="4"/>
  <c r="S703" i="4" s="1"/>
  <c r="T983" i="4"/>
  <c r="U983" i="4" s="1"/>
  <c r="V983" i="4" s="1"/>
  <c r="W983" i="4" s="1"/>
  <c r="T227" i="4"/>
  <c r="U227" i="4" s="1"/>
  <c r="V227" i="4" s="1"/>
  <c r="W227" i="4" s="1"/>
  <c r="T1096" i="4"/>
  <c r="U1096" i="4" s="1"/>
  <c r="V1096" i="4" s="1"/>
  <c r="W1096" i="4" s="1"/>
  <c r="T415" i="4"/>
  <c r="U415" i="4" s="1"/>
  <c r="V415" i="4" s="1"/>
  <c r="W415" i="4" s="1"/>
  <c r="T414" i="4"/>
  <c r="U414" i="4" s="1"/>
  <c r="V414" i="4" s="1"/>
  <c r="W414" i="4" s="1"/>
  <c r="P768" i="4"/>
  <c r="P703" i="4"/>
  <c r="P1096" i="4"/>
  <c r="P415" i="4"/>
  <c r="P834" i="4"/>
  <c r="P983" i="4"/>
  <c r="P227" i="4"/>
  <c r="F228" i="4"/>
  <c r="J769" i="4"/>
  <c r="I769" i="4"/>
  <c r="Q769" i="4" s="1"/>
  <c r="I416" i="4"/>
  <c r="Q416" i="4" s="1"/>
  <c r="D416" i="4"/>
  <c r="J416" i="4"/>
  <c r="E417" i="4"/>
  <c r="J704" i="4"/>
  <c r="I704" i="4"/>
  <c r="Q704" i="4" s="1"/>
  <c r="J835" i="4"/>
  <c r="I835" i="4"/>
  <c r="Q835" i="4" s="1"/>
  <c r="E229" i="4"/>
  <c r="I229" i="4" s="1"/>
  <c r="Q229" i="4" s="1"/>
  <c r="J228" i="4"/>
  <c r="R228" i="4" s="1"/>
  <c r="S228" i="4" s="1"/>
  <c r="D228" i="4"/>
  <c r="E985" i="4"/>
  <c r="I985" i="4" s="1"/>
  <c r="Q985" i="4" s="1"/>
  <c r="J984" i="4"/>
  <c r="R984" i="4" s="1"/>
  <c r="S984" i="4" s="1"/>
  <c r="D984" i="4"/>
  <c r="E1098" i="4"/>
  <c r="I1098" i="4" s="1"/>
  <c r="Q1098" i="4" s="1"/>
  <c r="D1097" i="4"/>
  <c r="J1097" i="4"/>
  <c r="R1097" i="4" s="1"/>
  <c r="S1097" i="4" s="1"/>
  <c r="D835" i="4"/>
  <c r="E836" i="4"/>
  <c r="D769" i="4"/>
  <c r="E770" i="4"/>
  <c r="D704" i="4"/>
  <c r="E705" i="4"/>
  <c r="D608" i="4"/>
  <c r="D607" i="4"/>
  <c r="AB75" i="1"/>
  <c r="AA75" i="1"/>
  <c r="Z75" i="1"/>
  <c r="Z48" i="1"/>
  <c r="AB48" i="1"/>
  <c r="AA48" i="1"/>
  <c r="AB21" i="1"/>
  <c r="Z21" i="1"/>
  <c r="AA21" i="1"/>
  <c r="AC75" i="1"/>
  <c r="Y75" i="1"/>
  <c r="AC48" i="1"/>
  <c r="Y48" i="1"/>
  <c r="AC21" i="1"/>
  <c r="Y21" i="1"/>
  <c r="K20" i="1"/>
  <c r="N74" i="1"/>
  <c r="N47" i="1"/>
  <c r="N20" i="1"/>
  <c r="I18" i="1"/>
  <c r="J19" i="1"/>
  <c r="X767" i="4" l="1"/>
  <c r="X833" i="4"/>
  <c r="Y1096" i="4"/>
  <c r="X1096" i="4"/>
  <c r="Y227" i="4"/>
  <c r="X227" i="4"/>
  <c r="Y414" i="4"/>
  <c r="X414" i="4"/>
  <c r="Y983" i="4"/>
  <c r="X983" i="4"/>
  <c r="Y702" i="4"/>
  <c r="X702" i="4"/>
  <c r="Y415" i="4"/>
  <c r="X415" i="4"/>
  <c r="T703" i="4"/>
  <c r="U703" i="4" s="1"/>
  <c r="V703" i="4" s="1"/>
  <c r="W703" i="4" s="1"/>
  <c r="T768" i="4"/>
  <c r="U768" i="4" s="1"/>
  <c r="V768" i="4" s="1"/>
  <c r="W768" i="4" s="1"/>
  <c r="S768" i="4"/>
  <c r="T834" i="4"/>
  <c r="U834" i="4" s="1"/>
  <c r="V834" i="4" s="1"/>
  <c r="W834" i="4" s="1"/>
  <c r="S834" i="4"/>
  <c r="R416" i="4"/>
  <c r="S416" i="4" s="1"/>
  <c r="R835" i="4"/>
  <c r="S835" i="4" s="1"/>
  <c r="R769" i="4"/>
  <c r="S769" i="4" s="1"/>
  <c r="R704" i="4"/>
  <c r="S704" i="4" s="1"/>
  <c r="T1097" i="4"/>
  <c r="U1097" i="4" s="1"/>
  <c r="V1097" i="4" s="1"/>
  <c r="W1097" i="4" s="1"/>
  <c r="T984" i="4"/>
  <c r="U984" i="4" s="1"/>
  <c r="V984" i="4" s="1"/>
  <c r="W984" i="4" s="1"/>
  <c r="T228" i="4"/>
  <c r="U228" i="4" s="1"/>
  <c r="V228" i="4" s="1"/>
  <c r="W228" i="4" s="1"/>
  <c r="P835" i="4"/>
  <c r="P416" i="4"/>
  <c r="P769" i="4"/>
  <c r="P228" i="4"/>
  <c r="F229" i="4"/>
  <c r="P1097" i="4"/>
  <c r="P984" i="4"/>
  <c r="P704" i="4"/>
  <c r="J836" i="4"/>
  <c r="I836" i="4"/>
  <c r="Q836" i="4" s="1"/>
  <c r="J705" i="4"/>
  <c r="I705" i="4"/>
  <c r="Q705" i="4" s="1"/>
  <c r="J770" i="4"/>
  <c r="I770" i="4"/>
  <c r="Q770" i="4" s="1"/>
  <c r="I417" i="4"/>
  <c r="Q417" i="4" s="1"/>
  <c r="J417" i="4"/>
  <c r="D417" i="4"/>
  <c r="E418" i="4"/>
  <c r="J1098" i="4"/>
  <c r="R1098" i="4" s="1"/>
  <c r="S1098" i="4" s="1"/>
  <c r="D1098" i="4"/>
  <c r="E1099" i="4"/>
  <c r="I1099" i="4" s="1"/>
  <c r="Q1099" i="4" s="1"/>
  <c r="E230" i="4"/>
  <c r="I230" i="4" s="1"/>
  <c r="Q230" i="4" s="1"/>
  <c r="J229" i="4"/>
  <c r="R229" i="4" s="1"/>
  <c r="S229" i="4" s="1"/>
  <c r="D229" i="4"/>
  <c r="J985" i="4"/>
  <c r="R985" i="4" s="1"/>
  <c r="S985" i="4" s="1"/>
  <c r="E986" i="4"/>
  <c r="I986" i="4" s="1"/>
  <c r="Q986" i="4" s="1"/>
  <c r="D985" i="4"/>
  <c r="E837" i="4"/>
  <c r="D836" i="4"/>
  <c r="E771" i="4"/>
  <c r="D770" i="4"/>
  <c r="D705" i="4"/>
  <c r="E706" i="4"/>
  <c r="AA74" i="1"/>
  <c r="AB74" i="1"/>
  <c r="Z74" i="1"/>
  <c r="Z47" i="1"/>
  <c r="AB47" i="1"/>
  <c r="AA47" i="1"/>
  <c r="AB20" i="1"/>
  <c r="AA20" i="1"/>
  <c r="Z20" i="1"/>
  <c r="AC47" i="1"/>
  <c r="Y47" i="1"/>
  <c r="AC74" i="1"/>
  <c r="Y74" i="1"/>
  <c r="AC20" i="1"/>
  <c r="Y20" i="1"/>
  <c r="K19" i="1"/>
  <c r="N73" i="1"/>
  <c r="N46" i="1"/>
  <c r="N19" i="1"/>
  <c r="I17" i="1"/>
  <c r="J18" i="1"/>
  <c r="Y228" i="4" l="1"/>
  <c r="X228" i="4"/>
  <c r="Y834" i="4"/>
  <c r="X834" i="4"/>
  <c r="Y984" i="4"/>
  <c r="X984" i="4"/>
  <c r="Y1097" i="4"/>
  <c r="X1097" i="4"/>
  <c r="Y768" i="4"/>
  <c r="X768" i="4"/>
  <c r="Y703" i="4"/>
  <c r="X703" i="4"/>
  <c r="R417" i="4"/>
  <c r="R705" i="4"/>
  <c r="S705" i="4" s="1"/>
  <c r="R770" i="4"/>
  <c r="S770" i="4" s="1"/>
  <c r="R836" i="4"/>
  <c r="S836" i="4" s="1"/>
  <c r="T985" i="4"/>
  <c r="U985" i="4" s="1"/>
  <c r="V985" i="4" s="1"/>
  <c r="W985" i="4" s="1"/>
  <c r="T416" i="4"/>
  <c r="U416" i="4" s="1"/>
  <c r="V416" i="4" s="1"/>
  <c r="W416" i="4" s="1"/>
  <c r="T835" i="4"/>
  <c r="U835" i="4" s="1"/>
  <c r="V835" i="4" s="1"/>
  <c r="W835" i="4" s="1"/>
  <c r="T229" i="4"/>
  <c r="U229" i="4" s="1"/>
  <c r="V229" i="4" s="1"/>
  <c r="W229" i="4" s="1"/>
  <c r="T1098" i="4"/>
  <c r="U1098" i="4" s="1"/>
  <c r="V1098" i="4" s="1"/>
  <c r="W1098" i="4" s="1"/>
  <c r="T704" i="4"/>
  <c r="U704" i="4" s="1"/>
  <c r="V704" i="4" s="1"/>
  <c r="W704" i="4" s="1"/>
  <c r="T769" i="4"/>
  <c r="U769" i="4" s="1"/>
  <c r="V769" i="4" s="1"/>
  <c r="W769" i="4" s="1"/>
  <c r="P985" i="4"/>
  <c r="P770" i="4"/>
  <c r="P836" i="4"/>
  <c r="P417" i="4"/>
  <c r="P229" i="4"/>
  <c r="P1098" i="4"/>
  <c r="P705" i="4"/>
  <c r="F230" i="4"/>
  <c r="J837" i="4"/>
  <c r="I837" i="4"/>
  <c r="Q837" i="4" s="1"/>
  <c r="J771" i="4"/>
  <c r="I771" i="4"/>
  <c r="Q771" i="4" s="1"/>
  <c r="I418" i="4"/>
  <c r="Q418" i="4" s="1"/>
  <c r="J418" i="4"/>
  <c r="E419" i="4"/>
  <c r="D418" i="4"/>
  <c r="J706" i="4"/>
  <c r="I706" i="4"/>
  <c r="Q706" i="4" s="1"/>
  <c r="J230" i="4"/>
  <c r="R230" i="4" s="1"/>
  <c r="S230" i="4" s="1"/>
  <c r="D230" i="4"/>
  <c r="E231" i="4"/>
  <c r="I231" i="4" s="1"/>
  <c r="Q231" i="4" s="1"/>
  <c r="J986" i="4"/>
  <c r="R986" i="4" s="1"/>
  <c r="S986" i="4" s="1"/>
  <c r="E987" i="4"/>
  <c r="I987" i="4" s="1"/>
  <c r="Q987" i="4" s="1"/>
  <c r="D986" i="4"/>
  <c r="D1099" i="4"/>
  <c r="J1099" i="4"/>
  <c r="R1099" i="4" s="1"/>
  <c r="S1099" i="4" s="1"/>
  <c r="E1100" i="4"/>
  <c r="I1100" i="4" s="1"/>
  <c r="Q1100" i="4" s="1"/>
  <c r="E838" i="4"/>
  <c r="D837" i="4"/>
  <c r="E772" i="4"/>
  <c r="D771" i="4"/>
  <c r="E707" i="4"/>
  <c r="D706" i="4"/>
  <c r="AB73" i="1"/>
  <c r="Z73" i="1"/>
  <c r="AA73" i="1"/>
  <c r="Z46" i="1"/>
  <c r="AB46" i="1"/>
  <c r="AA46" i="1"/>
  <c r="AB19" i="1"/>
  <c r="AA19" i="1"/>
  <c r="Z19" i="1"/>
  <c r="AC46" i="1"/>
  <c r="Y46" i="1"/>
  <c r="AC73" i="1"/>
  <c r="Y73" i="1"/>
  <c r="AC19" i="1"/>
  <c r="Y19" i="1"/>
  <c r="K18" i="1"/>
  <c r="N18" i="1"/>
  <c r="N72" i="1"/>
  <c r="N45" i="1"/>
  <c r="I16" i="1"/>
  <c r="J17" i="1"/>
  <c r="Y229" i="4" l="1"/>
  <c r="X229" i="4"/>
  <c r="Y769" i="4"/>
  <c r="X769" i="4"/>
  <c r="Y835" i="4"/>
  <c r="X835" i="4"/>
  <c r="Y704" i="4"/>
  <c r="X704" i="4"/>
  <c r="Y416" i="4"/>
  <c r="X416" i="4"/>
  <c r="Y1098" i="4"/>
  <c r="X1098" i="4"/>
  <c r="Y985" i="4"/>
  <c r="X985" i="4"/>
  <c r="R418" i="4"/>
  <c r="S418" i="4" s="1"/>
  <c r="T417" i="4"/>
  <c r="U417" i="4" s="1"/>
  <c r="V417" i="4" s="1"/>
  <c r="W417" i="4" s="1"/>
  <c r="S417" i="4"/>
  <c r="R706" i="4"/>
  <c r="S706" i="4" s="1"/>
  <c r="R837" i="4"/>
  <c r="S837" i="4" s="1"/>
  <c r="R771" i="4"/>
  <c r="T705" i="4"/>
  <c r="U705" i="4" s="1"/>
  <c r="V705" i="4" s="1"/>
  <c r="W705" i="4" s="1"/>
  <c r="T770" i="4"/>
  <c r="U770" i="4" s="1"/>
  <c r="V770" i="4" s="1"/>
  <c r="W770" i="4" s="1"/>
  <c r="T230" i="4"/>
  <c r="U230" i="4" s="1"/>
  <c r="V230" i="4" s="1"/>
  <c r="W230" i="4" s="1"/>
  <c r="T1099" i="4"/>
  <c r="U1099" i="4" s="1"/>
  <c r="V1099" i="4" s="1"/>
  <c r="W1099" i="4" s="1"/>
  <c r="T986" i="4"/>
  <c r="U986" i="4" s="1"/>
  <c r="V986" i="4" s="1"/>
  <c r="W986" i="4" s="1"/>
  <c r="T706" i="4"/>
  <c r="U706" i="4" s="1"/>
  <c r="V706" i="4" s="1"/>
  <c r="W706" i="4" s="1"/>
  <c r="T837" i="4"/>
  <c r="U837" i="4" s="1"/>
  <c r="V837" i="4" s="1"/>
  <c r="W837" i="4" s="1"/>
  <c r="T836" i="4"/>
  <c r="U836" i="4" s="1"/>
  <c r="V836" i="4" s="1"/>
  <c r="W836" i="4" s="1"/>
  <c r="P837" i="4"/>
  <c r="P706" i="4"/>
  <c r="F231" i="4"/>
  <c r="P230" i="4"/>
  <c r="P771" i="4"/>
  <c r="P1099" i="4"/>
  <c r="P986" i="4"/>
  <c r="P418" i="4"/>
  <c r="J838" i="4"/>
  <c r="I838" i="4"/>
  <c r="Q838" i="4" s="1"/>
  <c r="I419" i="4"/>
  <c r="Q419" i="4" s="1"/>
  <c r="D419" i="4"/>
  <c r="J419" i="4"/>
  <c r="E420" i="4"/>
  <c r="J772" i="4"/>
  <c r="I772" i="4"/>
  <c r="Q772" i="4" s="1"/>
  <c r="J707" i="4"/>
  <c r="I707" i="4"/>
  <c r="Q707" i="4" s="1"/>
  <c r="E232" i="4"/>
  <c r="I232" i="4" s="1"/>
  <c r="Q232" i="4" s="1"/>
  <c r="J231" i="4"/>
  <c r="R231" i="4" s="1"/>
  <c r="S231" i="4" s="1"/>
  <c r="D231" i="4"/>
  <c r="E1101" i="4"/>
  <c r="I1101" i="4" s="1"/>
  <c r="Q1101" i="4" s="1"/>
  <c r="J1100" i="4"/>
  <c r="R1100" i="4" s="1"/>
  <c r="S1100" i="4" s="1"/>
  <c r="D1100" i="4"/>
  <c r="J987" i="4"/>
  <c r="R987" i="4" s="1"/>
  <c r="S987" i="4" s="1"/>
  <c r="E988" i="4"/>
  <c r="I988" i="4" s="1"/>
  <c r="Q988" i="4" s="1"/>
  <c r="D987" i="4"/>
  <c r="E839" i="4"/>
  <c r="I839" i="4" s="1"/>
  <c r="Q839" i="4" s="1"/>
  <c r="D838" i="4"/>
  <c r="D772" i="4"/>
  <c r="E773" i="4"/>
  <c r="E708" i="4"/>
  <c r="D707" i="4"/>
  <c r="AA72" i="1"/>
  <c r="AB72" i="1"/>
  <c r="Z72" i="1"/>
  <c r="AB45" i="1"/>
  <c r="Z45" i="1"/>
  <c r="AA45" i="1"/>
  <c r="AB18" i="1"/>
  <c r="AA18" i="1"/>
  <c r="Z18" i="1"/>
  <c r="AC72" i="1"/>
  <c r="Y72" i="1"/>
  <c r="AC45" i="1"/>
  <c r="Y45" i="1"/>
  <c r="AC18" i="1"/>
  <c r="Y18" i="1"/>
  <c r="K17" i="1"/>
  <c r="N71" i="1"/>
  <c r="N44" i="1"/>
  <c r="N17" i="1"/>
  <c r="I15" i="1"/>
  <c r="J16" i="1"/>
  <c r="Y836" i="4" l="1"/>
  <c r="X836" i="4"/>
  <c r="Y1099" i="4"/>
  <c r="X1099" i="4"/>
  <c r="Y417" i="4"/>
  <c r="X417" i="4"/>
  <c r="Y837" i="4"/>
  <c r="X837" i="4"/>
  <c r="Y230" i="4"/>
  <c r="X230" i="4"/>
  <c r="Y706" i="4"/>
  <c r="X706" i="4"/>
  <c r="Y770" i="4"/>
  <c r="X770" i="4"/>
  <c r="Y986" i="4"/>
  <c r="X986" i="4"/>
  <c r="Y705" i="4"/>
  <c r="X705" i="4"/>
  <c r="T771" i="4"/>
  <c r="U771" i="4" s="1"/>
  <c r="V771" i="4" s="1"/>
  <c r="W771" i="4" s="1"/>
  <c r="S771" i="4"/>
  <c r="R419" i="4"/>
  <c r="S419" i="4" s="1"/>
  <c r="R772" i="4"/>
  <c r="S772" i="4" s="1"/>
  <c r="R707" i="4"/>
  <c r="S707" i="4" s="1"/>
  <c r="R838" i="4"/>
  <c r="S838" i="4" s="1"/>
  <c r="T231" i="4"/>
  <c r="U231" i="4" s="1"/>
  <c r="V231" i="4" s="1"/>
  <c r="W231" i="4" s="1"/>
  <c r="T1100" i="4"/>
  <c r="U1100" i="4" s="1"/>
  <c r="V1100" i="4" s="1"/>
  <c r="W1100" i="4" s="1"/>
  <c r="T987" i="4"/>
  <c r="U987" i="4" s="1"/>
  <c r="V987" i="4" s="1"/>
  <c r="W987" i="4" s="1"/>
  <c r="T418" i="4"/>
  <c r="U418" i="4" s="1"/>
  <c r="V418" i="4" s="1"/>
  <c r="W418" i="4" s="1"/>
  <c r="P987" i="4"/>
  <c r="P707" i="4"/>
  <c r="P419" i="4"/>
  <c r="P838" i="4"/>
  <c r="P231" i="4"/>
  <c r="P1100" i="4"/>
  <c r="P772" i="4"/>
  <c r="F232" i="4"/>
  <c r="J708" i="4"/>
  <c r="I708" i="4"/>
  <c r="Q708" i="4" s="1"/>
  <c r="J773" i="4"/>
  <c r="I773" i="4"/>
  <c r="Q773" i="4" s="1"/>
  <c r="I420" i="4"/>
  <c r="Q420" i="4" s="1"/>
  <c r="D420" i="4"/>
  <c r="J420" i="4"/>
  <c r="E421" i="4"/>
  <c r="J988" i="4"/>
  <c r="R988" i="4" s="1"/>
  <c r="S988" i="4" s="1"/>
  <c r="E989" i="4"/>
  <c r="I989" i="4" s="1"/>
  <c r="Q989" i="4" s="1"/>
  <c r="D988" i="4"/>
  <c r="J1101" i="4"/>
  <c r="R1101" i="4" s="1"/>
  <c r="S1101" i="4" s="1"/>
  <c r="D1101" i="4"/>
  <c r="E1102" i="4"/>
  <c r="I1102" i="4" s="1"/>
  <c r="Q1102" i="4" s="1"/>
  <c r="J839" i="4"/>
  <c r="R839" i="4" s="1"/>
  <c r="S839" i="4" s="1"/>
  <c r="E840" i="4"/>
  <c r="I840" i="4" s="1"/>
  <c r="Q840" i="4" s="1"/>
  <c r="E233" i="4"/>
  <c r="I233" i="4" s="1"/>
  <c r="Q233" i="4" s="1"/>
  <c r="J232" i="4"/>
  <c r="R232" i="4" s="1"/>
  <c r="S232" i="4" s="1"/>
  <c r="D232" i="4"/>
  <c r="D839" i="4"/>
  <c r="D773" i="4"/>
  <c r="E774" i="4"/>
  <c r="E709" i="4"/>
  <c r="D708" i="4"/>
  <c r="AB71" i="1"/>
  <c r="AA71" i="1"/>
  <c r="Z71" i="1"/>
  <c r="Z44" i="1"/>
  <c r="AB44" i="1"/>
  <c r="AA44" i="1"/>
  <c r="AA17" i="1"/>
  <c r="AB17" i="1"/>
  <c r="Z17" i="1"/>
  <c r="AC44" i="1"/>
  <c r="Y44" i="1"/>
  <c r="AC71" i="1"/>
  <c r="Y71" i="1"/>
  <c r="AC17" i="1"/>
  <c r="Y17" i="1"/>
  <c r="K16" i="1"/>
  <c r="N70" i="1"/>
  <c r="N43" i="1"/>
  <c r="N16" i="1"/>
  <c r="I14" i="1"/>
  <c r="J15" i="1"/>
  <c r="Y418" i="4" l="1"/>
  <c r="X418" i="4"/>
  <c r="Y987" i="4"/>
  <c r="X987" i="4"/>
  <c r="Y771" i="4"/>
  <c r="X771" i="4"/>
  <c r="Y1100" i="4"/>
  <c r="X1100" i="4"/>
  <c r="Y231" i="4"/>
  <c r="X231" i="4"/>
  <c r="R708" i="4"/>
  <c r="S708" i="4" s="1"/>
  <c r="R420" i="4"/>
  <c r="R773" i="4"/>
  <c r="S773" i="4" s="1"/>
  <c r="T839" i="4"/>
  <c r="U839" i="4" s="1"/>
  <c r="V839" i="4" s="1"/>
  <c r="W839" i="4" s="1"/>
  <c r="T232" i="4"/>
  <c r="U232" i="4" s="1"/>
  <c r="V232" i="4" s="1"/>
  <c r="W232" i="4" s="1"/>
  <c r="T838" i="4"/>
  <c r="U838" i="4" s="1"/>
  <c r="V838" i="4" s="1"/>
  <c r="W838" i="4" s="1"/>
  <c r="D840" i="4"/>
  <c r="T988" i="4"/>
  <c r="U988" i="4" s="1"/>
  <c r="V988" i="4" s="1"/>
  <c r="W988" i="4" s="1"/>
  <c r="T419" i="4"/>
  <c r="U419" i="4" s="1"/>
  <c r="V419" i="4" s="1"/>
  <c r="W419" i="4" s="1"/>
  <c r="T772" i="4"/>
  <c r="U772" i="4" s="1"/>
  <c r="V772" i="4" s="1"/>
  <c r="W772" i="4" s="1"/>
  <c r="T1101" i="4"/>
  <c r="U1101" i="4" s="1"/>
  <c r="V1101" i="4" s="1"/>
  <c r="W1101" i="4" s="1"/>
  <c r="T707" i="4"/>
  <c r="U707" i="4" s="1"/>
  <c r="V707" i="4" s="1"/>
  <c r="W707" i="4" s="1"/>
  <c r="P988" i="4"/>
  <c r="P708" i="4"/>
  <c r="P1101" i="4"/>
  <c r="F233" i="4"/>
  <c r="P839" i="4"/>
  <c r="P420" i="4"/>
  <c r="P773" i="4"/>
  <c r="P232" i="4"/>
  <c r="J774" i="4"/>
  <c r="I774" i="4"/>
  <c r="Q774" i="4" s="1"/>
  <c r="J709" i="4"/>
  <c r="I709" i="4"/>
  <c r="Q709" i="4" s="1"/>
  <c r="I421" i="4"/>
  <c r="Q421" i="4" s="1"/>
  <c r="D421" i="4"/>
  <c r="E422" i="4"/>
  <c r="J421" i="4"/>
  <c r="J1102" i="4"/>
  <c r="R1102" i="4" s="1"/>
  <c r="S1102" i="4" s="1"/>
  <c r="D1102" i="4"/>
  <c r="E1103" i="4"/>
  <c r="I1103" i="4" s="1"/>
  <c r="Q1103" i="4" s="1"/>
  <c r="J989" i="4"/>
  <c r="R989" i="4" s="1"/>
  <c r="S989" i="4" s="1"/>
  <c r="E990" i="4"/>
  <c r="I990" i="4" s="1"/>
  <c r="Q990" i="4" s="1"/>
  <c r="D989" i="4"/>
  <c r="E234" i="4"/>
  <c r="J233" i="4"/>
  <c r="R233" i="4" s="1"/>
  <c r="S233" i="4" s="1"/>
  <c r="D233" i="4"/>
  <c r="J840" i="4"/>
  <c r="R840" i="4" s="1"/>
  <c r="S840" i="4" s="1"/>
  <c r="E841" i="4"/>
  <c r="I841" i="4" s="1"/>
  <c r="Q841" i="4" s="1"/>
  <c r="D774" i="4"/>
  <c r="E775" i="4"/>
  <c r="I775" i="4" s="1"/>
  <c r="Q775" i="4" s="1"/>
  <c r="D709" i="4"/>
  <c r="E710" i="4"/>
  <c r="AA70" i="1"/>
  <c r="AB70" i="1"/>
  <c r="Z70" i="1"/>
  <c r="Z43" i="1"/>
  <c r="AB43" i="1"/>
  <c r="AA43" i="1"/>
  <c r="AB16" i="1"/>
  <c r="AA16" i="1"/>
  <c r="Z16" i="1"/>
  <c r="AC70" i="1"/>
  <c r="Y70" i="1"/>
  <c r="AC43" i="1"/>
  <c r="Y43" i="1"/>
  <c r="AC16" i="1"/>
  <c r="Y16" i="1"/>
  <c r="K15" i="1"/>
  <c r="N69" i="1"/>
  <c r="N42" i="1"/>
  <c r="N15" i="1"/>
  <c r="I13" i="1"/>
  <c r="J14" i="1"/>
  <c r="Y772" i="4" l="1"/>
  <c r="X772" i="4"/>
  <c r="Y838" i="4"/>
  <c r="X838" i="4"/>
  <c r="Y419" i="4"/>
  <c r="X419" i="4"/>
  <c r="Y232" i="4"/>
  <c r="X232" i="4"/>
  <c r="Y707" i="4"/>
  <c r="X707" i="4"/>
  <c r="Y988" i="4"/>
  <c r="X988" i="4"/>
  <c r="Y839" i="4"/>
  <c r="X839" i="4"/>
  <c r="Y1101" i="4"/>
  <c r="X1101" i="4"/>
  <c r="T420" i="4"/>
  <c r="U420" i="4" s="1"/>
  <c r="V420" i="4" s="1"/>
  <c r="W420" i="4" s="1"/>
  <c r="S420" i="4"/>
  <c r="R421" i="4"/>
  <c r="S421" i="4" s="1"/>
  <c r="R774" i="4"/>
  <c r="S774" i="4" s="1"/>
  <c r="R709" i="4"/>
  <c r="S709" i="4" s="1"/>
  <c r="T989" i="4"/>
  <c r="U989" i="4" s="1"/>
  <c r="V989" i="4" s="1"/>
  <c r="W989" i="4" s="1"/>
  <c r="T233" i="4"/>
  <c r="U233" i="4" s="1"/>
  <c r="V233" i="4" s="1"/>
  <c r="W233" i="4" s="1"/>
  <c r="T708" i="4"/>
  <c r="U708" i="4" s="1"/>
  <c r="V708" i="4" s="1"/>
  <c r="W708" i="4" s="1"/>
  <c r="T840" i="4"/>
  <c r="U840" i="4" s="1"/>
  <c r="V840" i="4" s="1"/>
  <c r="W840" i="4" s="1"/>
  <c r="T773" i="4"/>
  <c r="U773" i="4" s="1"/>
  <c r="V773" i="4" s="1"/>
  <c r="W773" i="4" s="1"/>
  <c r="T1102" i="4"/>
  <c r="U1102" i="4" s="1"/>
  <c r="V1102" i="4" s="1"/>
  <c r="W1102" i="4" s="1"/>
  <c r="P1102" i="4"/>
  <c r="P774" i="4"/>
  <c r="P233" i="4"/>
  <c r="P989" i="4"/>
  <c r="P421" i="4"/>
  <c r="F234" i="4"/>
  <c r="P709" i="4"/>
  <c r="P840" i="4"/>
  <c r="I422" i="4"/>
  <c r="Q422" i="4" s="1"/>
  <c r="E423" i="4"/>
  <c r="D422" i="4"/>
  <c r="J422" i="4"/>
  <c r="J710" i="4"/>
  <c r="I710" i="4"/>
  <c r="Q710" i="4" s="1"/>
  <c r="I234" i="4"/>
  <c r="Q234" i="4" s="1"/>
  <c r="E842" i="4"/>
  <c r="I842" i="4" s="1"/>
  <c r="Q842" i="4" s="1"/>
  <c r="J841" i="4"/>
  <c r="R841" i="4" s="1"/>
  <c r="S841" i="4" s="1"/>
  <c r="D841" i="4"/>
  <c r="E235" i="4"/>
  <c r="I235" i="4" s="1"/>
  <c r="Q235" i="4" s="1"/>
  <c r="J234" i="4"/>
  <c r="D234" i="4"/>
  <c r="D1103" i="4"/>
  <c r="J1103" i="4"/>
  <c r="R1103" i="4" s="1"/>
  <c r="S1103" i="4" s="1"/>
  <c r="E1104" i="4"/>
  <c r="I1104" i="4" s="1"/>
  <c r="Q1104" i="4" s="1"/>
  <c r="D775" i="4"/>
  <c r="J775" i="4"/>
  <c r="R775" i="4" s="1"/>
  <c r="S775" i="4" s="1"/>
  <c r="E776" i="4"/>
  <c r="I776" i="4" s="1"/>
  <c r="Q776" i="4" s="1"/>
  <c r="J990" i="4"/>
  <c r="R990" i="4" s="1"/>
  <c r="S990" i="4" s="1"/>
  <c r="D990" i="4"/>
  <c r="E991" i="4"/>
  <c r="I991" i="4" s="1"/>
  <c r="Q991" i="4" s="1"/>
  <c r="D710" i="4"/>
  <c r="E711" i="4"/>
  <c r="AB69" i="1"/>
  <c r="AA69" i="1"/>
  <c r="Z69" i="1"/>
  <c r="Z42" i="1"/>
  <c r="AB42" i="1"/>
  <c r="AA42" i="1"/>
  <c r="AB15" i="1"/>
  <c r="AA15" i="1"/>
  <c r="Z15" i="1"/>
  <c r="AC69" i="1"/>
  <c r="Y69" i="1"/>
  <c r="AC42" i="1"/>
  <c r="Y42" i="1"/>
  <c r="AC15" i="1"/>
  <c r="Y15" i="1"/>
  <c r="K14" i="1"/>
  <c r="N14" i="1"/>
  <c r="N68" i="1"/>
  <c r="N41" i="1"/>
  <c r="I12" i="1"/>
  <c r="J13" i="1"/>
  <c r="R234" i="4" l="1"/>
  <c r="S234" i="4" s="1"/>
  <c r="R422" i="4"/>
  <c r="S422" i="4" s="1"/>
  <c r="Y1102" i="4"/>
  <c r="X1102" i="4"/>
  <c r="T421" i="4"/>
  <c r="U421" i="4" s="1"/>
  <c r="V421" i="4" s="1"/>
  <c r="W421" i="4" s="1"/>
  <c r="Y773" i="4"/>
  <c r="X773" i="4"/>
  <c r="Y233" i="4"/>
  <c r="X233" i="4"/>
  <c r="Y840" i="4"/>
  <c r="X840" i="4"/>
  <c r="Y989" i="4"/>
  <c r="X989" i="4"/>
  <c r="Y708" i="4"/>
  <c r="X708" i="4"/>
  <c r="Y420" i="4"/>
  <c r="X420" i="4"/>
  <c r="R710" i="4"/>
  <c r="T841" i="4"/>
  <c r="U841" i="4" s="1"/>
  <c r="V841" i="4" s="1"/>
  <c r="W841" i="4" s="1"/>
  <c r="T990" i="4"/>
  <c r="U990" i="4" s="1"/>
  <c r="V990" i="4" s="1"/>
  <c r="W990" i="4" s="1"/>
  <c r="T774" i="4"/>
  <c r="U774" i="4" s="1"/>
  <c r="V774" i="4" s="1"/>
  <c r="W774" i="4" s="1"/>
  <c r="T1103" i="4"/>
  <c r="U1103" i="4" s="1"/>
  <c r="V1103" i="4" s="1"/>
  <c r="W1103" i="4" s="1"/>
  <c r="T775" i="4"/>
  <c r="U775" i="4" s="1"/>
  <c r="V775" i="4" s="1"/>
  <c r="W775" i="4" s="1"/>
  <c r="T709" i="4"/>
  <c r="U709" i="4" s="1"/>
  <c r="V709" i="4" s="1"/>
  <c r="W709" i="4" s="1"/>
  <c r="P841" i="4"/>
  <c r="P710" i="4"/>
  <c r="P990" i="4"/>
  <c r="P234" i="4"/>
  <c r="P422" i="4"/>
  <c r="F235" i="4"/>
  <c r="P1103" i="4"/>
  <c r="P775" i="4"/>
  <c r="I423" i="4"/>
  <c r="Q423" i="4" s="1"/>
  <c r="J423" i="4"/>
  <c r="E424" i="4"/>
  <c r="D423" i="4"/>
  <c r="J711" i="4"/>
  <c r="I711" i="4"/>
  <c r="Q711" i="4" s="1"/>
  <c r="J776" i="4"/>
  <c r="R776" i="4" s="1"/>
  <c r="S776" i="4" s="1"/>
  <c r="E777" i="4"/>
  <c r="I777" i="4" s="1"/>
  <c r="Q777" i="4" s="1"/>
  <c r="D776" i="4"/>
  <c r="J991" i="4"/>
  <c r="R991" i="4" s="1"/>
  <c r="S991" i="4" s="1"/>
  <c r="E992" i="4"/>
  <c r="I992" i="4" s="1"/>
  <c r="Q992" i="4" s="1"/>
  <c r="D991" i="4"/>
  <c r="E1105" i="4"/>
  <c r="J1104" i="4"/>
  <c r="R1104" i="4" s="1"/>
  <c r="S1104" i="4" s="1"/>
  <c r="D1104" i="4"/>
  <c r="J842" i="4"/>
  <c r="R842" i="4" s="1"/>
  <c r="S842" i="4" s="1"/>
  <c r="D842" i="4"/>
  <c r="E843" i="4"/>
  <c r="I843" i="4" s="1"/>
  <c r="Q843" i="4" s="1"/>
  <c r="E236" i="4"/>
  <c r="I236" i="4" s="1"/>
  <c r="Q236" i="4" s="1"/>
  <c r="J235" i="4"/>
  <c r="R235" i="4" s="1"/>
  <c r="S235" i="4" s="1"/>
  <c r="D235" i="4"/>
  <c r="D711" i="4"/>
  <c r="E712" i="4"/>
  <c r="AA68" i="1"/>
  <c r="AB68" i="1"/>
  <c r="Z68" i="1"/>
  <c r="AB41" i="1"/>
  <c r="Z41" i="1"/>
  <c r="AA41" i="1"/>
  <c r="AB14" i="1"/>
  <c r="AA14" i="1"/>
  <c r="Z14" i="1"/>
  <c r="AC41" i="1"/>
  <c r="Y41" i="1"/>
  <c r="AC68" i="1"/>
  <c r="Y68" i="1"/>
  <c r="AC14" i="1"/>
  <c r="Y14" i="1"/>
  <c r="K13" i="1"/>
  <c r="N67" i="1"/>
  <c r="N40" i="1"/>
  <c r="N13" i="1"/>
  <c r="I11" i="1"/>
  <c r="J12" i="1"/>
  <c r="Y709" i="4" l="1"/>
  <c r="X709" i="4"/>
  <c r="Y990" i="4"/>
  <c r="X990" i="4"/>
  <c r="Y775" i="4"/>
  <c r="X775" i="4"/>
  <c r="Y841" i="4"/>
  <c r="X841" i="4"/>
  <c r="R423" i="4"/>
  <c r="S423" i="4" s="1"/>
  <c r="Y1103" i="4"/>
  <c r="X1103" i="4"/>
  <c r="Y774" i="4"/>
  <c r="X774" i="4"/>
  <c r="Y421" i="4"/>
  <c r="X421" i="4"/>
  <c r="T710" i="4"/>
  <c r="U710" i="4" s="1"/>
  <c r="V710" i="4" s="1"/>
  <c r="W710" i="4" s="1"/>
  <c r="S710" i="4"/>
  <c r="R711" i="4"/>
  <c r="S711" i="4" s="1"/>
  <c r="T235" i="4"/>
  <c r="U235" i="4" s="1"/>
  <c r="V235" i="4" s="1"/>
  <c r="W235" i="4" s="1"/>
  <c r="T842" i="4"/>
  <c r="U842" i="4" s="1"/>
  <c r="V842" i="4" s="1"/>
  <c r="W842" i="4" s="1"/>
  <c r="T776" i="4"/>
  <c r="U776" i="4" s="1"/>
  <c r="V776" i="4" s="1"/>
  <c r="W776" i="4" s="1"/>
  <c r="T422" i="4"/>
  <c r="U422" i="4" s="1"/>
  <c r="V422" i="4" s="1"/>
  <c r="W422" i="4" s="1"/>
  <c r="T1104" i="4"/>
  <c r="U1104" i="4" s="1"/>
  <c r="V1104" i="4" s="1"/>
  <c r="W1104" i="4" s="1"/>
  <c r="T991" i="4"/>
  <c r="U991" i="4" s="1"/>
  <c r="V991" i="4" s="1"/>
  <c r="W991" i="4" s="1"/>
  <c r="T234" i="4"/>
  <c r="U234" i="4" s="1"/>
  <c r="V234" i="4" s="1"/>
  <c r="W234" i="4" s="1"/>
  <c r="T711" i="4"/>
  <c r="U711" i="4" s="1"/>
  <c r="V711" i="4" s="1"/>
  <c r="W711" i="4" s="1"/>
  <c r="I1105" i="4"/>
  <c r="Q1105" i="4" s="1"/>
  <c r="P711" i="4"/>
  <c r="P235" i="4"/>
  <c r="P842" i="4"/>
  <c r="F236" i="4"/>
  <c r="P776" i="4"/>
  <c r="P1104" i="4"/>
  <c r="P991" i="4"/>
  <c r="P423" i="4"/>
  <c r="I424" i="4"/>
  <c r="Q424" i="4" s="1"/>
  <c r="D424" i="4"/>
  <c r="J424" i="4"/>
  <c r="E425" i="4"/>
  <c r="J712" i="4"/>
  <c r="I712" i="4"/>
  <c r="Q712" i="4" s="1"/>
  <c r="E237" i="4"/>
  <c r="I237" i="4" s="1"/>
  <c r="Q237" i="4" s="1"/>
  <c r="J236" i="4"/>
  <c r="R236" i="4" s="1"/>
  <c r="S236" i="4" s="1"/>
  <c r="D236" i="4"/>
  <c r="J843" i="4"/>
  <c r="R843" i="4" s="1"/>
  <c r="S843" i="4" s="1"/>
  <c r="D843" i="4"/>
  <c r="E844" i="4"/>
  <c r="I844" i="4" s="1"/>
  <c r="Q844" i="4" s="1"/>
  <c r="E1106" i="4"/>
  <c r="I1106" i="4" s="1"/>
  <c r="Q1106" i="4" s="1"/>
  <c r="J1105" i="4"/>
  <c r="D1105" i="4"/>
  <c r="E778" i="4"/>
  <c r="I778" i="4" s="1"/>
  <c r="Q778" i="4" s="1"/>
  <c r="J777" i="4"/>
  <c r="R777" i="4" s="1"/>
  <c r="S777" i="4" s="1"/>
  <c r="D777" i="4"/>
  <c r="J992" i="4"/>
  <c r="R992" i="4" s="1"/>
  <c r="S992" i="4" s="1"/>
  <c r="E993" i="4"/>
  <c r="I993" i="4" s="1"/>
  <c r="Q993" i="4" s="1"/>
  <c r="D992" i="4"/>
  <c r="D712" i="4"/>
  <c r="E713" i="4"/>
  <c r="AB67" i="1"/>
  <c r="AA67" i="1"/>
  <c r="Z67" i="1"/>
  <c r="Z40" i="1"/>
  <c r="AB40" i="1"/>
  <c r="AA40" i="1"/>
  <c r="AB13" i="1"/>
  <c r="Z13" i="1"/>
  <c r="AA13" i="1"/>
  <c r="AC67" i="1"/>
  <c r="Y67" i="1"/>
  <c r="AC40" i="1"/>
  <c r="Y40" i="1"/>
  <c r="AC13" i="1"/>
  <c r="Y13" i="1"/>
  <c r="K12" i="1"/>
  <c r="N66" i="1"/>
  <c r="N39" i="1"/>
  <c r="N12" i="1"/>
  <c r="I10" i="1"/>
  <c r="J11" i="1"/>
  <c r="R1105" i="4" l="1"/>
  <c r="S1105" i="4" s="1"/>
  <c r="Y422" i="4"/>
  <c r="X422" i="4"/>
  <c r="Y234" i="4"/>
  <c r="X234" i="4"/>
  <c r="R712" i="4"/>
  <c r="S712" i="4" s="1"/>
  <c r="Y991" i="4"/>
  <c r="X991" i="4"/>
  <c r="Y842" i="4"/>
  <c r="X842" i="4"/>
  <c r="Y710" i="4"/>
  <c r="X710" i="4"/>
  <c r="Y776" i="4"/>
  <c r="X776" i="4"/>
  <c r="Y1104" i="4"/>
  <c r="X1104" i="4"/>
  <c r="Y235" i="4"/>
  <c r="X235" i="4"/>
  <c r="Y711" i="4"/>
  <c r="X711" i="4"/>
  <c r="R424" i="4"/>
  <c r="S424" i="4" s="1"/>
  <c r="T236" i="4"/>
  <c r="U236" i="4" s="1"/>
  <c r="V236" i="4" s="1"/>
  <c r="W236" i="4" s="1"/>
  <c r="T992" i="4"/>
  <c r="U992" i="4" s="1"/>
  <c r="V992" i="4" s="1"/>
  <c r="W992" i="4" s="1"/>
  <c r="T423" i="4"/>
  <c r="U423" i="4" s="1"/>
  <c r="V423" i="4" s="1"/>
  <c r="W423" i="4" s="1"/>
  <c r="T1105" i="4"/>
  <c r="U1105" i="4" s="1"/>
  <c r="V1105" i="4" s="1"/>
  <c r="W1105" i="4" s="1"/>
  <c r="T843" i="4"/>
  <c r="U843" i="4" s="1"/>
  <c r="V843" i="4" s="1"/>
  <c r="W843" i="4" s="1"/>
  <c r="T777" i="4"/>
  <c r="U777" i="4" s="1"/>
  <c r="V777" i="4" s="1"/>
  <c r="W777" i="4" s="1"/>
  <c r="P992" i="4"/>
  <c r="P424" i="4"/>
  <c r="P1105" i="4"/>
  <c r="P843" i="4"/>
  <c r="P777" i="4"/>
  <c r="P712" i="4"/>
  <c r="P236" i="4"/>
  <c r="F237" i="4"/>
  <c r="I425" i="4"/>
  <c r="Q425" i="4" s="1"/>
  <c r="D425" i="4"/>
  <c r="J425" i="4"/>
  <c r="E426" i="4"/>
  <c r="J713" i="4"/>
  <c r="I713" i="4"/>
  <c r="Q713" i="4" s="1"/>
  <c r="J1106" i="4"/>
  <c r="R1106" i="4" s="1"/>
  <c r="S1106" i="4" s="1"/>
  <c r="D1106" i="4"/>
  <c r="E1107" i="4"/>
  <c r="I1107" i="4" s="1"/>
  <c r="Q1107" i="4" s="1"/>
  <c r="J778" i="4"/>
  <c r="R778" i="4" s="1"/>
  <c r="S778" i="4" s="1"/>
  <c r="E779" i="4"/>
  <c r="I779" i="4" s="1"/>
  <c r="Q779" i="4" s="1"/>
  <c r="D778" i="4"/>
  <c r="J993" i="4"/>
  <c r="R993" i="4" s="1"/>
  <c r="S993" i="4" s="1"/>
  <c r="E994" i="4"/>
  <c r="I994" i="4" s="1"/>
  <c r="Q994" i="4" s="1"/>
  <c r="D993" i="4"/>
  <c r="J844" i="4"/>
  <c r="R844" i="4" s="1"/>
  <c r="S844" i="4" s="1"/>
  <c r="E845" i="4"/>
  <c r="I845" i="4" s="1"/>
  <c r="Q845" i="4" s="1"/>
  <c r="D844" i="4"/>
  <c r="E238" i="4"/>
  <c r="J237" i="4"/>
  <c r="R237" i="4" s="1"/>
  <c r="S237" i="4" s="1"/>
  <c r="D237" i="4"/>
  <c r="D713" i="4"/>
  <c r="E714" i="4"/>
  <c r="I714" i="4" s="1"/>
  <c r="Q714" i="4" s="1"/>
  <c r="AA66" i="1"/>
  <c r="AB66" i="1"/>
  <c r="Z66" i="1"/>
  <c r="Z39" i="1"/>
  <c r="AB39" i="1"/>
  <c r="AA39" i="1"/>
  <c r="AB12" i="1"/>
  <c r="AA12" i="1"/>
  <c r="Z12" i="1"/>
  <c r="AC66" i="1"/>
  <c r="Y66" i="1"/>
  <c r="AC39" i="1"/>
  <c r="Y39" i="1"/>
  <c r="AC12" i="1"/>
  <c r="Y12" i="1"/>
  <c r="K11" i="1"/>
  <c r="N65" i="1"/>
  <c r="N38" i="1"/>
  <c r="N11" i="1"/>
  <c r="I9" i="1"/>
  <c r="J10" i="1"/>
  <c r="R425" i="4" l="1"/>
  <c r="S425" i="4" s="1"/>
  <c r="Y992" i="4"/>
  <c r="X992" i="4"/>
  <c r="Y843" i="4"/>
  <c r="X843" i="4"/>
  <c r="Y1105" i="4"/>
  <c r="X1105" i="4"/>
  <c r="Y777" i="4"/>
  <c r="X777" i="4"/>
  <c r="Y236" i="4"/>
  <c r="X236" i="4"/>
  <c r="Y423" i="4"/>
  <c r="X423" i="4"/>
  <c r="R713" i="4"/>
  <c r="S713" i="4" s="1"/>
  <c r="T993" i="4"/>
  <c r="U993" i="4" s="1"/>
  <c r="V993" i="4" s="1"/>
  <c r="W993" i="4" s="1"/>
  <c r="T237" i="4"/>
  <c r="U237" i="4" s="1"/>
  <c r="V237" i="4" s="1"/>
  <c r="W237" i="4" s="1"/>
  <c r="T844" i="4"/>
  <c r="U844" i="4" s="1"/>
  <c r="V844" i="4" s="1"/>
  <c r="W844" i="4" s="1"/>
  <c r="T712" i="4"/>
  <c r="U712" i="4" s="1"/>
  <c r="V712" i="4" s="1"/>
  <c r="W712" i="4" s="1"/>
  <c r="T1106" i="4"/>
  <c r="U1106" i="4" s="1"/>
  <c r="V1106" i="4" s="1"/>
  <c r="W1106" i="4" s="1"/>
  <c r="T425" i="4"/>
  <c r="U425" i="4" s="1"/>
  <c r="V425" i="4" s="1"/>
  <c r="W425" i="4" s="1"/>
  <c r="T778" i="4"/>
  <c r="U778" i="4" s="1"/>
  <c r="V778" i="4" s="1"/>
  <c r="W778" i="4" s="1"/>
  <c r="T424" i="4"/>
  <c r="U424" i="4" s="1"/>
  <c r="V424" i="4" s="1"/>
  <c r="W424" i="4" s="1"/>
  <c r="P713" i="4"/>
  <c r="P993" i="4"/>
  <c r="P237" i="4"/>
  <c r="P844" i="4"/>
  <c r="F238" i="4"/>
  <c r="P425" i="4"/>
  <c r="P1106" i="4"/>
  <c r="P778" i="4"/>
  <c r="I426" i="4"/>
  <c r="Q426" i="4" s="1"/>
  <c r="D426" i="4"/>
  <c r="J426" i="4"/>
  <c r="E427" i="4"/>
  <c r="I238" i="4"/>
  <c r="Q238" i="4" s="1"/>
  <c r="D994" i="4"/>
  <c r="J994" i="4"/>
  <c r="R994" i="4" s="1"/>
  <c r="S994" i="4" s="1"/>
  <c r="E995" i="4"/>
  <c r="I995" i="4" s="1"/>
  <c r="Q995" i="4" s="1"/>
  <c r="J779" i="4"/>
  <c r="R779" i="4" s="1"/>
  <c r="S779" i="4" s="1"/>
  <c r="E780" i="4"/>
  <c r="I780" i="4" s="1"/>
  <c r="Q780" i="4" s="1"/>
  <c r="D779" i="4"/>
  <c r="E1108" i="4"/>
  <c r="I1108" i="4" s="1"/>
  <c r="Q1108" i="4" s="1"/>
  <c r="J1107" i="4"/>
  <c r="R1107" i="4" s="1"/>
  <c r="S1107" i="4" s="1"/>
  <c r="D1107" i="4"/>
  <c r="J845" i="4"/>
  <c r="R845" i="4" s="1"/>
  <c r="S845" i="4" s="1"/>
  <c r="E846" i="4"/>
  <c r="I846" i="4" s="1"/>
  <c r="Q846" i="4" s="1"/>
  <c r="D845" i="4"/>
  <c r="D714" i="4"/>
  <c r="J714" i="4"/>
  <c r="R714" i="4" s="1"/>
  <c r="S714" i="4" s="1"/>
  <c r="E715" i="4"/>
  <c r="I715" i="4" s="1"/>
  <c r="Q715" i="4" s="1"/>
  <c r="J238" i="4"/>
  <c r="R238" i="4" s="1"/>
  <c r="S238" i="4" s="1"/>
  <c r="D238" i="4"/>
  <c r="E239" i="4"/>
  <c r="I239" i="4" s="1"/>
  <c r="Q239" i="4" s="1"/>
  <c r="Z65" i="1"/>
  <c r="AB65" i="1"/>
  <c r="AA65" i="1"/>
  <c r="Z38" i="1"/>
  <c r="AB38" i="1"/>
  <c r="AA38" i="1"/>
  <c r="AB11" i="1"/>
  <c r="AA11" i="1"/>
  <c r="Z11" i="1"/>
  <c r="AC65" i="1"/>
  <c r="Y65" i="1"/>
  <c r="AC38" i="1"/>
  <c r="Y38" i="1"/>
  <c r="AC11" i="1"/>
  <c r="Y11" i="1"/>
  <c r="K10" i="1"/>
  <c r="N10" i="1"/>
  <c r="N64" i="1"/>
  <c r="N37" i="1"/>
  <c r="I8" i="1"/>
  <c r="J9" i="1"/>
  <c r="Y425" i="4" l="1"/>
  <c r="X425" i="4"/>
  <c r="Y237" i="4"/>
  <c r="X237" i="4"/>
  <c r="Y1106" i="4"/>
  <c r="X1106" i="4"/>
  <c r="T713" i="4"/>
  <c r="U713" i="4" s="1"/>
  <c r="V713" i="4" s="1"/>
  <c r="W713" i="4" s="1"/>
  <c r="Y424" i="4"/>
  <c r="X424" i="4"/>
  <c r="Y712" i="4"/>
  <c r="X712" i="4"/>
  <c r="Y993" i="4"/>
  <c r="X993" i="4"/>
  <c r="Y778" i="4"/>
  <c r="X778" i="4"/>
  <c r="Y844" i="4"/>
  <c r="X844" i="4"/>
  <c r="R426" i="4"/>
  <c r="S426" i="4" s="1"/>
  <c r="T1107" i="4"/>
  <c r="U1107" i="4" s="1"/>
  <c r="V1107" i="4" s="1"/>
  <c r="W1107" i="4" s="1"/>
  <c r="T238" i="4"/>
  <c r="U238" i="4" s="1"/>
  <c r="V238" i="4" s="1"/>
  <c r="W238" i="4" s="1"/>
  <c r="T779" i="4"/>
  <c r="U779" i="4" s="1"/>
  <c r="V779" i="4" s="1"/>
  <c r="W779" i="4" s="1"/>
  <c r="T714" i="4"/>
  <c r="U714" i="4" s="1"/>
  <c r="V714" i="4" s="1"/>
  <c r="W714" i="4" s="1"/>
  <c r="T845" i="4"/>
  <c r="U845" i="4" s="1"/>
  <c r="V845" i="4" s="1"/>
  <c r="W845" i="4" s="1"/>
  <c r="T994" i="4"/>
  <c r="U994" i="4" s="1"/>
  <c r="V994" i="4" s="1"/>
  <c r="W994" i="4" s="1"/>
  <c r="P238" i="4"/>
  <c r="P1107" i="4"/>
  <c r="P779" i="4"/>
  <c r="P714" i="4"/>
  <c r="P845" i="4"/>
  <c r="P994" i="4"/>
  <c r="P426" i="4"/>
  <c r="F239" i="4"/>
  <c r="I427" i="4"/>
  <c r="Q427" i="4" s="1"/>
  <c r="E428" i="4"/>
  <c r="D427" i="4"/>
  <c r="J427" i="4"/>
  <c r="R427" i="4" s="1"/>
  <c r="S427" i="4" s="1"/>
  <c r="J1108" i="4"/>
  <c r="R1108" i="4" s="1"/>
  <c r="S1108" i="4" s="1"/>
  <c r="E1109" i="4"/>
  <c r="I1109" i="4" s="1"/>
  <c r="Q1109" i="4" s="1"/>
  <c r="D1108" i="4"/>
  <c r="D995" i="4"/>
  <c r="J995" i="4"/>
  <c r="R995" i="4" s="1"/>
  <c r="S995" i="4" s="1"/>
  <c r="E996" i="4"/>
  <c r="I996" i="4" s="1"/>
  <c r="Q996" i="4" s="1"/>
  <c r="J846" i="4"/>
  <c r="R846" i="4" s="1"/>
  <c r="S846" i="4" s="1"/>
  <c r="D846" i="4"/>
  <c r="E847" i="4"/>
  <c r="I847" i="4" s="1"/>
  <c r="Q847" i="4" s="1"/>
  <c r="J239" i="4"/>
  <c r="R239" i="4" s="1"/>
  <c r="S239" i="4" s="1"/>
  <c r="E240" i="4"/>
  <c r="I240" i="4" s="1"/>
  <c r="Q240" i="4" s="1"/>
  <c r="D239" i="4"/>
  <c r="J780" i="4"/>
  <c r="R780" i="4" s="1"/>
  <c r="S780" i="4" s="1"/>
  <c r="E781" i="4"/>
  <c r="I781" i="4" s="1"/>
  <c r="Q781" i="4" s="1"/>
  <c r="D780" i="4"/>
  <c r="D715" i="4"/>
  <c r="J715" i="4"/>
  <c r="R715" i="4" s="1"/>
  <c r="S715" i="4" s="1"/>
  <c r="E716" i="4"/>
  <c r="I716" i="4" s="1"/>
  <c r="Q716" i="4" s="1"/>
  <c r="AA64" i="1"/>
  <c r="Z64" i="1"/>
  <c r="AB64" i="1"/>
  <c r="AB37" i="1"/>
  <c r="Z37" i="1"/>
  <c r="AA37" i="1"/>
  <c r="AB10" i="1"/>
  <c r="AA10" i="1"/>
  <c r="Z10" i="1"/>
  <c r="AC37" i="1"/>
  <c r="Y37" i="1"/>
  <c r="AC64" i="1"/>
  <c r="Y64" i="1"/>
  <c r="AC10" i="1"/>
  <c r="Y10" i="1"/>
  <c r="K9" i="1"/>
  <c r="N63" i="1"/>
  <c r="N36" i="1"/>
  <c r="N9" i="1"/>
  <c r="I7" i="1"/>
  <c r="J8" i="1"/>
  <c r="T426" i="4" l="1"/>
  <c r="U426" i="4" s="1"/>
  <c r="V426" i="4" s="1"/>
  <c r="W426" i="4" s="1"/>
  <c r="Y426" i="4" s="1"/>
  <c r="Y994" i="4"/>
  <c r="X994" i="4"/>
  <c r="Y238" i="4"/>
  <c r="X238" i="4"/>
  <c r="Y845" i="4"/>
  <c r="X845" i="4"/>
  <c r="Y1107" i="4"/>
  <c r="X1107" i="4"/>
  <c r="Y713" i="4"/>
  <c r="X713" i="4"/>
  <c r="Y714" i="4"/>
  <c r="X714" i="4"/>
  <c r="Y779" i="4"/>
  <c r="X779" i="4"/>
  <c r="T427" i="4"/>
  <c r="U427" i="4" s="1"/>
  <c r="V427" i="4" s="1"/>
  <c r="W427" i="4" s="1"/>
  <c r="T846" i="4"/>
  <c r="U846" i="4" s="1"/>
  <c r="V846" i="4" s="1"/>
  <c r="W846" i="4" s="1"/>
  <c r="T239" i="4"/>
  <c r="U239" i="4" s="1"/>
  <c r="V239" i="4" s="1"/>
  <c r="W239" i="4" s="1"/>
  <c r="T715" i="4"/>
  <c r="U715" i="4" s="1"/>
  <c r="V715" i="4" s="1"/>
  <c r="W715" i="4" s="1"/>
  <c r="T780" i="4"/>
  <c r="U780" i="4" s="1"/>
  <c r="V780" i="4" s="1"/>
  <c r="W780" i="4" s="1"/>
  <c r="T995" i="4"/>
  <c r="U995" i="4" s="1"/>
  <c r="V995" i="4" s="1"/>
  <c r="W995" i="4" s="1"/>
  <c r="T1108" i="4"/>
  <c r="U1108" i="4" s="1"/>
  <c r="V1108" i="4" s="1"/>
  <c r="W1108" i="4" s="1"/>
  <c r="P715" i="4"/>
  <c r="P1108" i="4"/>
  <c r="P780" i="4"/>
  <c r="P995" i="4"/>
  <c r="P427" i="4"/>
  <c r="F240" i="4"/>
  <c r="P846" i="4"/>
  <c r="P239" i="4"/>
  <c r="I428" i="4"/>
  <c r="Q428" i="4" s="1"/>
  <c r="E429" i="4"/>
  <c r="D428" i="4"/>
  <c r="J428" i="4"/>
  <c r="J847" i="4"/>
  <c r="R847" i="4" s="1"/>
  <c r="S847" i="4" s="1"/>
  <c r="D847" i="4"/>
  <c r="E848" i="4"/>
  <c r="I848" i="4" s="1"/>
  <c r="Q848" i="4" s="1"/>
  <c r="E241" i="4"/>
  <c r="J240" i="4"/>
  <c r="R240" i="4" s="1"/>
  <c r="S240" i="4" s="1"/>
  <c r="D240" i="4"/>
  <c r="E717" i="4"/>
  <c r="I717" i="4" s="1"/>
  <c r="Q717" i="4" s="1"/>
  <c r="J716" i="4"/>
  <c r="R716" i="4" s="1"/>
  <c r="S716" i="4" s="1"/>
  <c r="D716" i="4"/>
  <c r="J781" i="4"/>
  <c r="R781" i="4" s="1"/>
  <c r="S781" i="4" s="1"/>
  <c r="D781" i="4"/>
  <c r="E782" i="4"/>
  <c r="I782" i="4" s="1"/>
  <c r="Q782" i="4" s="1"/>
  <c r="E997" i="4"/>
  <c r="I997" i="4" s="1"/>
  <c r="Q997" i="4" s="1"/>
  <c r="J996" i="4"/>
  <c r="R996" i="4" s="1"/>
  <c r="S996" i="4" s="1"/>
  <c r="D996" i="4"/>
  <c r="J1109" i="4"/>
  <c r="R1109" i="4" s="1"/>
  <c r="S1109" i="4" s="1"/>
  <c r="E1110" i="4"/>
  <c r="I1110" i="4" s="1"/>
  <c r="Q1110" i="4" s="1"/>
  <c r="D1109" i="4"/>
  <c r="AB63" i="1"/>
  <c r="Z63" i="1"/>
  <c r="AA63" i="1"/>
  <c r="Z36" i="1"/>
  <c r="AB36" i="1"/>
  <c r="AA36" i="1"/>
  <c r="AA9" i="1"/>
  <c r="Z9" i="1"/>
  <c r="AB9" i="1"/>
  <c r="AC63" i="1"/>
  <c r="Y63" i="1"/>
  <c r="AC36" i="1"/>
  <c r="Y36" i="1"/>
  <c r="AC9" i="1"/>
  <c r="Y9" i="1"/>
  <c r="K8" i="1"/>
  <c r="N62" i="1"/>
  <c r="N35" i="1"/>
  <c r="N8" i="1"/>
  <c r="I6" i="1"/>
  <c r="J7" i="1"/>
  <c r="R428" i="4" l="1"/>
  <c r="S428" i="4" s="1"/>
  <c r="X426" i="4"/>
  <c r="Y780" i="4"/>
  <c r="X780" i="4"/>
  <c r="Y427" i="4"/>
  <c r="X427" i="4"/>
  <c r="Y715" i="4"/>
  <c r="X715" i="4"/>
  <c r="Y1108" i="4"/>
  <c r="X1108" i="4"/>
  <c r="Y239" i="4"/>
  <c r="X239" i="4"/>
  <c r="Y995" i="4"/>
  <c r="X995" i="4"/>
  <c r="Y846" i="4"/>
  <c r="X846" i="4"/>
  <c r="T781" i="4"/>
  <c r="U781" i="4" s="1"/>
  <c r="V781" i="4" s="1"/>
  <c r="W781" i="4" s="1"/>
  <c r="T1109" i="4"/>
  <c r="U1109" i="4" s="1"/>
  <c r="V1109" i="4" s="1"/>
  <c r="W1109" i="4" s="1"/>
  <c r="T716" i="4"/>
  <c r="U716" i="4" s="1"/>
  <c r="V716" i="4" s="1"/>
  <c r="W716" i="4" s="1"/>
  <c r="T428" i="4"/>
  <c r="U428" i="4" s="1"/>
  <c r="V428" i="4" s="1"/>
  <c r="W428" i="4" s="1"/>
  <c r="T996" i="4"/>
  <c r="U996" i="4" s="1"/>
  <c r="V996" i="4" s="1"/>
  <c r="W996" i="4" s="1"/>
  <c r="T240" i="4"/>
  <c r="U240" i="4" s="1"/>
  <c r="V240" i="4" s="1"/>
  <c r="W240" i="4" s="1"/>
  <c r="T847" i="4"/>
  <c r="U847" i="4" s="1"/>
  <c r="V847" i="4" s="1"/>
  <c r="W847" i="4" s="1"/>
  <c r="P240" i="4"/>
  <c r="P847" i="4"/>
  <c r="P1109" i="4"/>
  <c r="P716" i="4"/>
  <c r="P428" i="4"/>
  <c r="F241" i="4"/>
  <c r="P996" i="4"/>
  <c r="P781" i="4"/>
  <c r="I241" i="4"/>
  <c r="Q241" i="4" s="1"/>
  <c r="I429" i="4"/>
  <c r="Q429" i="4" s="1"/>
  <c r="E430" i="4"/>
  <c r="J429" i="4"/>
  <c r="D429" i="4"/>
  <c r="E718" i="4"/>
  <c r="I718" i="4" s="1"/>
  <c r="Q718" i="4" s="1"/>
  <c r="J717" i="4"/>
  <c r="R717" i="4" s="1"/>
  <c r="S717" i="4" s="1"/>
  <c r="D717" i="4"/>
  <c r="E242" i="4"/>
  <c r="I242" i="4" s="1"/>
  <c r="Q242" i="4" s="1"/>
  <c r="J241" i="4"/>
  <c r="D241" i="4"/>
  <c r="J848" i="4"/>
  <c r="R848" i="4" s="1"/>
  <c r="S848" i="4" s="1"/>
  <c r="E849" i="4"/>
  <c r="I849" i="4" s="1"/>
  <c r="Q849" i="4" s="1"/>
  <c r="D848" i="4"/>
  <c r="J1110" i="4"/>
  <c r="R1110" i="4" s="1"/>
  <c r="S1110" i="4" s="1"/>
  <c r="E1111" i="4"/>
  <c r="I1111" i="4" s="1"/>
  <c r="Q1111" i="4" s="1"/>
  <c r="D1110" i="4"/>
  <c r="J997" i="4"/>
  <c r="R997" i="4" s="1"/>
  <c r="S997" i="4" s="1"/>
  <c r="D997" i="4"/>
  <c r="E998" i="4"/>
  <c r="I998" i="4" s="1"/>
  <c r="Q998" i="4" s="1"/>
  <c r="J782" i="4"/>
  <c r="R782" i="4" s="1"/>
  <c r="S782" i="4" s="1"/>
  <c r="D782" i="4"/>
  <c r="E783" i="4"/>
  <c r="I783" i="4" s="1"/>
  <c r="Q783" i="4" s="1"/>
  <c r="AA62" i="1"/>
  <c r="AB62" i="1"/>
  <c r="Z62" i="1"/>
  <c r="Z35" i="1"/>
  <c r="AB35" i="1"/>
  <c r="AA35" i="1"/>
  <c r="AB8" i="1"/>
  <c r="AA8" i="1"/>
  <c r="Z8" i="1"/>
  <c r="AC62" i="1"/>
  <c r="Y62" i="1"/>
  <c r="AC35" i="1"/>
  <c r="Y35" i="1"/>
  <c r="AC8" i="1"/>
  <c r="Y8" i="1"/>
  <c r="K7" i="1"/>
  <c r="N61" i="1"/>
  <c r="N34" i="1"/>
  <c r="N7" i="1"/>
  <c r="I5" i="1"/>
  <c r="J6" i="1"/>
  <c r="R241" i="4" l="1"/>
  <c r="S241" i="4" s="1"/>
  <c r="Y240" i="4"/>
  <c r="X240" i="4"/>
  <c r="Y1109" i="4"/>
  <c r="X1109" i="4"/>
  <c r="Y996" i="4"/>
  <c r="X996" i="4"/>
  <c r="Y781" i="4"/>
  <c r="X781" i="4"/>
  <c r="Y428" i="4"/>
  <c r="X428" i="4"/>
  <c r="Y847" i="4"/>
  <c r="X847" i="4"/>
  <c r="Y716" i="4"/>
  <c r="X716" i="4"/>
  <c r="R429" i="4"/>
  <c r="T1110" i="4"/>
  <c r="U1110" i="4" s="1"/>
  <c r="V1110" i="4" s="1"/>
  <c r="W1110" i="4" s="1"/>
  <c r="T717" i="4"/>
  <c r="U717" i="4" s="1"/>
  <c r="V717" i="4" s="1"/>
  <c r="W717" i="4" s="1"/>
  <c r="T997" i="4"/>
  <c r="U997" i="4" s="1"/>
  <c r="V997" i="4" s="1"/>
  <c r="W997" i="4" s="1"/>
  <c r="T782" i="4"/>
  <c r="U782" i="4" s="1"/>
  <c r="V782" i="4" s="1"/>
  <c r="W782" i="4" s="1"/>
  <c r="T848" i="4"/>
  <c r="U848" i="4" s="1"/>
  <c r="V848" i="4" s="1"/>
  <c r="W848" i="4" s="1"/>
  <c r="P782" i="4"/>
  <c r="P848" i="4"/>
  <c r="P429" i="4"/>
  <c r="F242" i="4"/>
  <c r="P1110" i="4"/>
  <c r="P717" i="4"/>
  <c r="P997" i="4"/>
  <c r="P241" i="4"/>
  <c r="I430" i="4"/>
  <c r="Q430" i="4" s="1"/>
  <c r="D430" i="4"/>
  <c r="E431" i="4"/>
  <c r="J430" i="4"/>
  <c r="J849" i="4"/>
  <c r="R849" i="4" s="1"/>
  <c r="S849" i="4" s="1"/>
  <c r="E850" i="4"/>
  <c r="I850" i="4" s="1"/>
  <c r="Q850" i="4" s="1"/>
  <c r="D849" i="4"/>
  <c r="E719" i="4"/>
  <c r="I719" i="4" s="1"/>
  <c r="Q719" i="4" s="1"/>
  <c r="J718" i="4"/>
  <c r="R718" i="4" s="1"/>
  <c r="S718" i="4" s="1"/>
  <c r="D718" i="4"/>
  <c r="J998" i="4"/>
  <c r="R998" i="4" s="1"/>
  <c r="S998" i="4" s="1"/>
  <c r="E999" i="4"/>
  <c r="I999" i="4" s="1"/>
  <c r="Q999" i="4" s="1"/>
  <c r="D998" i="4"/>
  <c r="D1111" i="4"/>
  <c r="J1111" i="4"/>
  <c r="R1111" i="4" s="1"/>
  <c r="S1111" i="4" s="1"/>
  <c r="E243" i="4"/>
  <c r="I243" i="4" s="1"/>
  <c r="Q243" i="4" s="1"/>
  <c r="J242" i="4"/>
  <c r="R242" i="4" s="1"/>
  <c r="S242" i="4" s="1"/>
  <c r="D242" i="4"/>
  <c r="J783" i="4"/>
  <c r="R783" i="4" s="1"/>
  <c r="S783" i="4" s="1"/>
  <c r="E784" i="4"/>
  <c r="I784" i="4" s="1"/>
  <c r="Q784" i="4" s="1"/>
  <c r="D783" i="4"/>
  <c r="Z61" i="1"/>
  <c r="AB61" i="1"/>
  <c r="AA61" i="1"/>
  <c r="Z34" i="1"/>
  <c r="AB34" i="1"/>
  <c r="AA34" i="1"/>
  <c r="AB7" i="1"/>
  <c r="AA7" i="1"/>
  <c r="Z7" i="1"/>
  <c r="AC61" i="1"/>
  <c r="Y61" i="1"/>
  <c r="AC34" i="1"/>
  <c r="Y34" i="1"/>
  <c r="AC7" i="1"/>
  <c r="Y7" i="1"/>
  <c r="K6" i="1"/>
  <c r="N6" i="1"/>
  <c r="N60" i="1"/>
  <c r="N33" i="1"/>
  <c r="J5" i="1"/>
  <c r="N5" i="1" s="1"/>
  <c r="R430" i="4" l="1"/>
  <c r="S430" i="4" s="1"/>
  <c r="T241" i="4"/>
  <c r="U241" i="4" s="1"/>
  <c r="V241" i="4" s="1"/>
  <c r="W241" i="4" s="1"/>
  <c r="X241" i="4" s="1"/>
  <c r="Y782" i="4"/>
  <c r="X782" i="4"/>
  <c r="Y1110" i="4"/>
  <c r="X1110" i="4"/>
  <c r="Y997" i="4"/>
  <c r="X997" i="4"/>
  <c r="Y848" i="4"/>
  <c r="X848" i="4"/>
  <c r="Y717" i="4"/>
  <c r="X717" i="4"/>
  <c r="T429" i="4"/>
  <c r="U429" i="4" s="1"/>
  <c r="V429" i="4" s="1"/>
  <c r="W429" i="4" s="1"/>
  <c r="S429" i="4"/>
  <c r="T430" i="4"/>
  <c r="U430" i="4" s="1"/>
  <c r="V430" i="4" s="1"/>
  <c r="W430" i="4" s="1"/>
  <c r="T783" i="4"/>
  <c r="U783" i="4" s="1"/>
  <c r="V783" i="4" s="1"/>
  <c r="W783" i="4" s="1"/>
  <c r="T1111" i="4"/>
  <c r="U1111" i="4" s="1"/>
  <c r="V1111" i="4" s="1"/>
  <c r="W1111" i="4" s="1"/>
  <c r="T998" i="4"/>
  <c r="U998" i="4" s="1"/>
  <c r="V998" i="4" s="1"/>
  <c r="W998" i="4" s="1"/>
  <c r="T242" i="4"/>
  <c r="U242" i="4" s="1"/>
  <c r="V242" i="4" s="1"/>
  <c r="W242" i="4" s="1"/>
  <c r="T718" i="4"/>
  <c r="U718" i="4" s="1"/>
  <c r="V718" i="4" s="1"/>
  <c r="W718" i="4" s="1"/>
  <c r="T849" i="4"/>
  <c r="U849" i="4" s="1"/>
  <c r="V849" i="4" s="1"/>
  <c r="W849" i="4" s="1"/>
  <c r="P242" i="4"/>
  <c r="P718" i="4"/>
  <c r="P849" i="4"/>
  <c r="P430" i="4"/>
  <c r="F243" i="4"/>
  <c r="P783" i="4"/>
  <c r="P1111" i="4"/>
  <c r="P998" i="4"/>
  <c r="I431" i="4"/>
  <c r="Q431" i="4" s="1"/>
  <c r="E432" i="4"/>
  <c r="J431" i="4"/>
  <c r="D431" i="4"/>
  <c r="E244" i="4"/>
  <c r="I244" i="4" s="1"/>
  <c r="Q244" i="4" s="1"/>
  <c r="J243" i="4"/>
  <c r="R243" i="4" s="1"/>
  <c r="S243" i="4" s="1"/>
  <c r="D243" i="4"/>
  <c r="J999" i="4"/>
  <c r="R999" i="4" s="1"/>
  <c r="S999" i="4" s="1"/>
  <c r="D999" i="4"/>
  <c r="E1000" i="4"/>
  <c r="I1000" i="4" s="1"/>
  <c r="Q1000" i="4" s="1"/>
  <c r="J719" i="4"/>
  <c r="R719" i="4" s="1"/>
  <c r="S719" i="4" s="1"/>
  <c r="D719" i="4"/>
  <c r="E720" i="4"/>
  <c r="I720" i="4" s="1"/>
  <c r="Q720" i="4" s="1"/>
  <c r="J784" i="4"/>
  <c r="R784" i="4" s="1"/>
  <c r="S784" i="4" s="1"/>
  <c r="E785" i="4"/>
  <c r="I785" i="4" s="1"/>
  <c r="Q785" i="4" s="1"/>
  <c r="D784" i="4"/>
  <c r="J850" i="4"/>
  <c r="R850" i="4" s="1"/>
  <c r="S850" i="4" s="1"/>
  <c r="E851" i="4"/>
  <c r="I851" i="4" s="1"/>
  <c r="Q851" i="4" s="1"/>
  <c r="D850" i="4"/>
  <c r="AA60" i="1"/>
  <c r="Z60" i="1"/>
  <c r="AB60" i="1"/>
  <c r="AB33" i="1"/>
  <c r="Z33" i="1"/>
  <c r="AA33" i="1"/>
  <c r="AB6" i="1"/>
  <c r="AA6" i="1"/>
  <c r="Z6" i="1"/>
  <c r="AC33" i="1"/>
  <c r="Y33" i="1"/>
  <c r="AC60" i="1"/>
  <c r="Y60" i="1"/>
  <c r="AC6" i="1"/>
  <c r="Y6" i="1"/>
  <c r="K5" i="1"/>
  <c r="N59" i="1"/>
  <c r="N32" i="1"/>
  <c r="Y241" i="4" l="1"/>
  <c r="Y718" i="4"/>
  <c r="X718" i="4"/>
  <c r="Y783" i="4"/>
  <c r="X783" i="4"/>
  <c r="Y242" i="4"/>
  <c r="X242" i="4"/>
  <c r="Y430" i="4"/>
  <c r="X430" i="4"/>
  <c r="Y998" i="4"/>
  <c r="X998" i="4"/>
  <c r="Y849" i="4"/>
  <c r="X849" i="4"/>
  <c r="Y1111" i="4"/>
  <c r="X1111" i="4"/>
  <c r="Y429" i="4"/>
  <c r="X429" i="4"/>
  <c r="R431" i="4"/>
  <c r="S431" i="4" s="1"/>
  <c r="T784" i="4"/>
  <c r="U784" i="4" s="1"/>
  <c r="V784" i="4" s="1"/>
  <c r="W784" i="4" s="1"/>
  <c r="T243" i="4"/>
  <c r="U243" i="4" s="1"/>
  <c r="V243" i="4" s="1"/>
  <c r="W243" i="4" s="1"/>
  <c r="T850" i="4"/>
  <c r="U850" i="4" s="1"/>
  <c r="V850" i="4" s="1"/>
  <c r="W850" i="4" s="1"/>
  <c r="T719" i="4"/>
  <c r="U719" i="4" s="1"/>
  <c r="V719" i="4" s="1"/>
  <c r="W719" i="4" s="1"/>
  <c r="T999" i="4"/>
  <c r="U999" i="4" s="1"/>
  <c r="V999" i="4" s="1"/>
  <c r="W999" i="4" s="1"/>
  <c r="P850" i="4"/>
  <c r="P999" i="4"/>
  <c r="P719" i="4"/>
  <c r="P431" i="4"/>
  <c r="P784" i="4"/>
  <c r="P243" i="4"/>
  <c r="F244" i="4"/>
  <c r="I432" i="4"/>
  <c r="Q432" i="4" s="1"/>
  <c r="D432" i="4"/>
  <c r="J432" i="4"/>
  <c r="E433" i="4"/>
  <c r="J720" i="4"/>
  <c r="R720" i="4" s="1"/>
  <c r="S720" i="4" s="1"/>
  <c r="E721" i="4"/>
  <c r="I721" i="4" s="1"/>
  <c r="Q721" i="4" s="1"/>
  <c r="D720" i="4"/>
  <c r="E245" i="4"/>
  <c r="I245" i="4" s="1"/>
  <c r="Q245" i="4" s="1"/>
  <c r="J244" i="4"/>
  <c r="R244" i="4" s="1"/>
  <c r="S244" i="4" s="1"/>
  <c r="D244" i="4"/>
  <c r="D785" i="4"/>
  <c r="J785" i="4"/>
  <c r="R785" i="4" s="1"/>
  <c r="S785" i="4" s="1"/>
  <c r="E786" i="4"/>
  <c r="I786" i="4" s="1"/>
  <c r="Q786" i="4" s="1"/>
  <c r="J851" i="4"/>
  <c r="R851" i="4" s="1"/>
  <c r="S851" i="4" s="1"/>
  <c r="D851" i="4"/>
  <c r="E852" i="4"/>
  <c r="I852" i="4" s="1"/>
  <c r="Q852" i="4" s="1"/>
  <c r="J1000" i="4"/>
  <c r="R1000" i="4" s="1"/>
  <c r="S1000" i="4" s="1"/>
  <c r="E1001" i="4"/>
  <c r="I1001" i="4" s="1"/>
  <c r="Q1001" i="4" s="1"/>
  <c r="D1000" i="4"/>
  <c r="Z59" i="1"/>
  <c r="AB59" i="1"/>
  <c r="AA59" i="1"/>
  <c r="AB32" i="1"/>
  <c r="Z32" i="1"/>
  <c r="AA32" i="1"/>
  <c r="Z5" i="1"/>
  <c r="AB5" i="1"/>
  <c r="AA5" i="1"/>
  <c r="AC59" i="1"/>
  <c r="Y59" i="1"/>
  <c r="AC32" i="1"/>
  <c r="Y32" i="1"/>
  <c r="AC5" i="1"/>
  <c r="Y5" i="1"/>
  <c r="Y719" i="4" l="1"/>
  <c r="X719" i="4"/>
  <c r="Y850" i="4"/>
  <c r="X850" i="4"/>
  <c r="Y243" i="4"/>
  <c r="X243" i="4"/>
  <c r="Y999" i="4"/>
  <c r="X999" i="4"/>
  <c r="Y784" i="4"/>
  <c r="X784" i="4"/>
  <c r="R432" i="4"/>
  <c r="T785" i="4"/>
  <c r="U785" i="4" s="1"/>
  <c r="V785" i="4" s="1"/>
  <c r="W785" i="4" s="1"/>
  <c r="T431" i="4"/>
  <c r="U431" i="4" s="1"/>
  <c r="V431" i="4" s="1"/>
  <c r="W431" i="4" s="1"/>
  <c r="T851" i="4"/>
  <c r="U851" i="4" s="1"/>
  <c r="V851" i="4" s="1"/>
  <c r="W851" i="4" s="1"/>
  <c r="T1000" i="4"/>
  <c r="U1000" i="4" s="1"/>
  <c r="V1000" i="4" s="1"/>
  <c r="W1000" i="4" s="1"/>
  <c r="T244" i="4"/>
  <c r="U244" i="4" s="1"/>
  <c r="V244" i="4" s="1"/>
  <c r="W244" i="4" s="1"/>
  <c r="T720" i="4"/>
  <c r="U720" i="4" s="1"/>
  <c r="V720" i="4" s="1"/>
  <c r="W720" i="4" s="1"/>
  <c r="P1000" i="4"/>
  <c r="P432" i="4"/>
  <c r="P851" i="4"/>
  <c r="P244" i="4"/>
  <c r="P720" i="4"/>
  <c r="P785" i="4"/>
  <c r="F245" i="4"/>
  <c r="I433" i="4"/>
  <c r="Q433" i="4" s="1"/>
  <c r="J433" i="4"/>
  <c r="D433" i="4"/>
  <c r="E434" i="4"/>
  <c r="J852" i="4"/>
  <c r="R852" i="4" s="1"/>
  <c r="S852" i="4" s="1"/>
  <c r="E853" i="4"/>
  <c r="I853" i="4" s="1"/>
  <c r="Q853" i="4" s="1"/>
  <c r="D852" i="4"/>
  <c r="E246" i="4"/>
  <c r="I246" i="4" s="1"/>
  <c r="Q246" i="4" s="1"/>
  <c r="J245" i="4"/>
  <c r="R245" i="4" s="1"/>
  <c r="S245" i="4" s="1"/>
  <c r="D245" i="4"/>
  <c r="J721" i="4"/>
  <c r="R721" i="4" s="1"/>
  <c r="S721" i="4" s="1"/>
  <c r="E722" i="4"/>
  <c r="I722" i="4" s="1"/>
  <c r="Q722" i="4" s="1"/>
  <c r="D721" i="4"/>
  <c r="J1001" i="4"/>
  <c r="R1001" i="4" s="1"/>
  <c r="S1001" i="4" s="1"/>
  <c r="E1002" i="4"/>
  <c r="I1002" i="4" s="1"/>
  <c r="Q1002" i="4" s="1"/>
  <c r="D1001" i="4"/>
  <c r="D786" i="4"/>
  <c r="J786" i="4"/>
  <c r="R786" i="4" s="1"/>
  <c r="S786" i="4" s="1"/>
  <c r="E787" i="4"/>
  <c r="I787" i="4" s="1"/>
  <c r="Q787" i="4" s="1"/>
  <c r="Y244" i="4" l="1"/>
  <c r="X244" i="4"/>
  <c r="Y785" i="4"/>
  <c r="X785" i="4"/>
  <c r="Y1000" i="4"/>
  <c r="X1000" i="4"/>
  <c r="Y851" i="4"/>
  <c r="X851" i="4"/>
  <c r="Y720" i="4"/>
  <c r="X720" i="4"/>
  <c r="Y431" i="4"/>
  <c r="X431" i="4"/>
  <c r="T432" i="4"/>
  <c r="U432" i="4" s="1"/>
  <c r="V432" i="4" s="1"/>
  <c r="W432" i="4" s="1"/>
  <c r="S432" i="4"/>
  <c r="R433" i="4"/>
  <c r="S433" i="4" s="1"/>
  <c r="T786" i="4"/>
  <c r="U786" i="4" s="1"/>
  <c r="V786" i="4" s="1"/>
  <c r="W786" i="4" s="1"/>
  <c r="T1001" i="4"/>
  <c r="U1001" i="4" s="1"/>
  <c r="V1001" i="4" s="1"/>
  <c r="W1001" i="4" s="1"/>
  <c r="T852" i="4"/>
  <c r="U852" i="4" s="1"/>
  <c r="V852" i="4" s="1"/>
  <c r="W852" i="4" s="1"/>
  <c r="T245" i="4"/>
  <c r="U245" i="4" s="1"/>
  <c r="V245" i="4" s="1"/>
  <c r="W245" i="4" s="1"/>
  <c r="T721" i="4"/>
  <c r="U721" i="4" s="1"/>
  <c r="V721" i="4" s="1"/>
  <c r="W721" i="4" s="1"/>
  <c r="P721" i="4"/>
  <c r="P786" i="4"/>
  <c r="P1001" i="4"/>
  <c r="P433" i="4"/>
  <c r="P245" i="4"/>
  <c r="P852" i="4"/>
  <c r="F246" i="4"/>
  <c r="I434" i="4"/>
  <c r="Q434" i="4" s="1"/>
  <c r="D434" i="4"/>
  <c r="J434" i="4"/>
  <c r="E435" i="4"/>
  <c r="E247" i="4"/>
  <c r="I247" i="4" s="1"/>
  <c r="Q247" i="4" s="1"/>
  <c r="J246" i="4"/>
  <c r="R246" i="4" s="1"/>
  <c r="S246" i="4" s="1"/>
  <c r="D246" i="4"/>
  <c r="E788" i="4"/>
  <c r="I788" i="4" s="1"/>
  <c r="Q788" i="4" s="1"/>
  <c r="J787" i="4"/>
  <c r="R787" i="4" s="1"/>
  <c r="S787" i="4" s="1"/>
  <c r="D787" i="4"/>
  <c r="J853" i="4"/>
  <c r="R853" i="4" s="1"/>
  <c r="S853" i="4" s="1"/>
  <c r="E854" i="4"/>
  <c r="I854" i="4" s="1"/>
  <c r="Q854" i="4" s="1"/>
  <c r="D853" i="4"/>
  <c r="J722" i="4"/>
  <c r="R722" i="4" s="1"/>
  <c r="S722" i="4" s="1"/>
  <c r="D722" i="4"/>
  <c r="E723" i="4"/>
  <c r="I723" i="4" s="1"/>
  <c r="Q723" i="4" s="1"/>
  <c r="J1002" i="4"/>
  <c r="R1002" i="4" s="1"/>
  <c r="S1002" i="4" s="1"/>
  <c r="E1003" i="4"/>
  <c r="I1003" i="4" s="1"/>
  <c r="Q1003" i="4" s="1"/>
  <c r="D1002" i="4"/>
  <c r="Y721" i="4" l="1"/>
  <c r="X721" i="4"/>
  <c r="Y786" i="4"/>
  <c r="X786" i="4"/>
  <c r="Y245" i="4"/>
  <c r="X245" i="4"/>
  <c r="Y852" i="4"/>
  <c r="X852" i="4"/>
  <c r="Y1001" i="4"/>
  <c r="X1001" i="4"/>
  <c r="Y432" i="4"/>
  <c r="X432" i="4"/>
  <c r="R434" i="4"/>
  <c r="S434" i="4" s="1"/>
  <c r="T433" i="4"/>
  <c r="U433" i="4" s="1"/>
  <c r="V433" i="4" s="1"/>
  <c r="W433" i="4" s="1"/>
  <c r="T853" i="4"/>
  <c r="U853" i="4" s="1"/>
  <c r="V853" i="4" s="1"/>
  <c r="W853" i="4" s="1"/>
  <c r="T722" i="4"/>
  <c r="U722" i="4" s="1"/>
  <c r="V722" i="4" s="1"/>
  <c r="W722" i="4" s="1"/>
  <c r="T246" i="4"/>
  <c r="U246" i="4" s="1"/>
  <c r="V246" i="4" s="1"/>
  <c r="W246" i="4" s="1"/>
  <c r="T1002" i="4"/>
  <c r="U1002" i="4" s="1"/>
  <c r="V1002" i="4" s="1"/>
  <c r="W1002" i="4" s="1"/>
  <c r="T787" i="4"/>
  <c r="U787" i="4" s="1"/>
  <c r="V787" i="4" s="1"/>
  <c r="W787" i="4" s="1"/>
  <c r="P434" i="4"/>
  <c r="P853" i="4"/>
  <c r="P722" i="4"/>
  <c r="P246" i="4"/>
  <c r="P1002" i="4"/>
  <c r="P787" i="4"/>
  <c r="F247" i="4"/>
  <c r="I435" i="4"/>
  <c r="Q435" i="4" s="1"/>
  <c r="E436" i="4"/>
  <c r="D435" i="4"/>
  <c r="J435" i="4"/>
  <c r="J788" i="4"/>
  <c r="R788" i="4" s="1"/>
  <c r="S788" i="4" s="1"/>
  <c r="D788" i="4"/>
  <c r="E789" i="4"/>
  <c r="I789" i="4" s="1"/>
  <c r="Q789" i="4" s="1"/>
  <c r="D1003" i="4"/>
  <c r="J1003" i="4"/>
  <c r="R1003" i="4" s="1"/>
  <c r="S1003" i="4" s="1"/>
  <c r="E1004" i="4"/>
  <c r="I1004" i="4" s="1"/>
  <c r="Q1004" i="4" s="1"/>
  <c r="J723" i="4"/>
  <c r="R723" i="4" s="1"/>
  <c r="S723" i="4" s="1"/>
  <c r="D723" i="4"/>
  <c r="E724" i="4"/>
  <c r="I724" i="4" s="1"/>
  <c r="Q724" i="4" s="1"/>
  <c r="D854" i="4"/>
  <c r="J854" i="4"/>
  <c r="R854" i="4" s="1"/>
  <c r="S854" i="4" s="1"/>
  <c r="E855" i="4"/>
  <c r="I855" i="4" s="1"/>
  <c r="Q855" i="4" s="1"/>
  <c r="E248" i="4"/>
  <c r="J247" i="4"/>
  <c r="R247" i="4" s="1"/>
  <c r="S247" i="4" s="1"/>
  <c r="D247" i="4"/>
  <c r="Y787" i="4" l="1"/>
  <c r="X787" i="4"/>
  <c r="Y722" i="4"/>
  <c r="X722" i="4"/>
  <c r="T434" i="4"/>
  <c r="U434" i="4" s="1"/>
  <c r="V434" i="4" s="1"/>
  <c r="W434" i="4" s="1"/>
  <c r="Y853" i="4"/>
  <c r="X853" i="4"/>
  <c r="Y1002" i="4"/>
  <c r="X1002" i="4"/>
  <c r="Y433" i="4"/>
  <c r="X433" i="4"/>
  <c r="Y246" i="4"/>
  <c r="X246" i="4"/>
  <c r="R435" i="4"/>
  <c r="S435" i="4" s="1"/>
  <c r="T1003" i="4"/>
  <c r="U1003" i="4" s="1"/>
  <c r="V1003" i="4" s="1"/>
  <c r="W1003" i="4" s="1"/>
  <c r="T788" i="4"/>
  <c r="U788" i="4" s="1"/>
  <c r="V788" i="4" s="1"/>
  <c r="W788" i="4" s="1"/>
  <c r="T854" i="4"/>
  <c r="U854" i="4" s="1"/>
  <c r="V854" i="4" s="1"/>
  <c r="W854" i="4" s="1"/>
  <c r="T723" i="4"/>
  <c r="U723" i="4" s="1"/>
  <c r="V723" i="4" s="1"/>
  <c r="W723" i="4" s="1"/>
  <c r="T247" i="4"/>
  <c r="U247" i="4" s="1"/>
  <c r="V247" i="4" s="1"/>
  <c r="W247" i="4" s="1"/>
  <c r="P854" i="4"/>
  <c r="P723" i="4"/>
  <c r="P247" i="4"/>
  <c r="P1003" i="4"/>
  <c r="P788" i="4"/>
  <c r="P435" i="4"/>
  <c r="F248" i="4"/>
  <c r="I248" i="4"/>
  <c r="Q248" i="4" s="1"/>
  <c r="I436" i="4"/>
  <c r="Q436" i="4" s="1"/>
  <c r="J436" i="4"/>
  <c r="D436" i="4"/>
  <c r="E437" i="4"/>
  <c r="J789" i="4"/>
  <c r="R789" i="4" s="1"/>
  <c r="S789" i="4" s="1"/>
  <c r="E790" i="4"/>
  <c r="I790" i="4" s="1"/>
  <c r="Q790" i="4" s="1"/>
  <c r="D789" i="4"/>
  <c r="E856" i="4"/>
  <c r="I856" i="4" s="1"/>
  <c r="Q856" i="4" s="1"/>
  <c r="J855" i="4"/>
  <c r="R855" i="4" s="1"/>
  <c r="S855" i="4" s="1"/>
  <c r="D855" i="4"/>
  <c r="E1005" i="4"/>
  <c r="I1005" i="4" s="1"/>
  <c r="Q1005" i="4" s="1"/>
  <c r="J1004" i="4"/>
  <c r="R1004" i="4" s="1"/>
  <c r="S1004" i="4" s="1"/>
  <c r="D1004" i="4"/>
  <c r="J248" i="4"/>
  <c r="D248" i="4"/>
  <c r="E249" i="4"/>
  <c r="I249" i="4" s="1"/>
  <c r="Q249" i="4" s="1"/>
  <c r="J724" i="4"/>
  <c r="R724" i="4" s="1"/>
  <c r="S724" i="4" s="1"/>
  <c r="E725" i="4"/>
  <c r="I725" i="4" s="1"/>
  <c r="Q725" i="4" s="1"/>
  <c r="D724" i="4"/>
  <c r="Y788" i="4" l="1"/>
  <c r="X788" i="4"/>
  <c r="Y247" i="4"/>
  <c r="X247" i="4"/>
  <c r="Y1003" i="4"/>
  <c r="X1003" i="4"/>
  <c r="Y723" i="4"/>
  <c r="X723" i="4"/>
  <c r="Y854" i="4"/>
  <c r="X854" i="4"/>
  <c r="Y434" i="4"/>
  <c r="X434" i="4"/>
  <c r="R248" i="4"/>
  <c r="S248" i="4" s="1"/>
  <c r="R436" i="4"/>
  <c r="T1004" i="4"/>
  <c r="U1004" i="4" s="1"/>
  <c r="V1004" i="4" s="1"/>
  <c r="W1004" i="4" s="1"/>
  <c r="T435" i="4"/>
  <c r="U435" i="4" s="1"/>
  <c r="V435" i="4" s="1"/>
  <c r="W435" i="4" s="1"/>
  <c r="T724" i="4"/>
  <c r="U724" i="4" s="1"/>
  <c r="V724" i="4" s="1"/>
  <c r="W724" i="4" s="1"/>
  <c r="T855" i="4"/>
  <c r="U855" i="4" s="1"/>
  <c r="V855" i="4" s="1"/>
  <c r="W855" i="4" s="1"/>
  <c r="T789" i="4"/>
  <c r="U789" i="4" s="1"/>
  <c r="V789" i="4" s="1"/>
  <c r="W789" i="4" s="1"/>
  <c r="P436" i="4"/>
  <c r="P724" i="4"/>
  <c r="P855" i="4"/>
  <c r="P789" i="4"/>
  <c r="P248" i="4"/>
  <c r="P1004" i="4"/>
  <c r="F249" i="4"/>
  <c r="I437" i="4"/>
  <c r="Q437" i="4" s="1"/>
  <c r="E438" i="4"/>
  <c r="J437" i="4"/>
  <c r="D437" i="4"/>
  <c r="J1005" i="4"/>
  <c r="R1005" i="4" s="1"/>
  <c r="S1005" i="4" s="1"/>
  <c r="D1005" i="4"/>
  <c r="E1006" i="4"/>
  <c r="I1006" i="4" s="1"/>
  <c r="Q1006" i="4" s="1"/>
  <c r="D790" i="4"/>
  <c r="J790" i="4"/>
  <c r="R790" i="4" s="1"/>
  <c r="S790" i="4" s="1"/>
  <c r="E791" i="4"/>
  <c r="I791" i="4" s="1"/>
  <c r="Q791" i="4" s="1"/>
  <c r="E250" i="4"/>
  <c r="I250" i="4" s="1"/>
  <c r="Q250" i="4" s="1"/>
  <c r="J249" i="4"/>
  <c r="R249" i="4" s="1"/>
  <c r="S249" i="4" s="1"/>
  <c r="D249" i="4"/>
  <c r="J725" i="4"/>
  <c r="R725" i="4" s="1"/>
  <c r="S725" i="4" s="1"/>
  <c r="E726" i="4"/>
  <c r="I726" i="4" s="1"/>
  <c r="Q726" i="4" s="1"/>
  <c r="D725" i="4"/>
  <c r="J856" i="4"/>
  <c r="R856" i="4" s="1"/>
  <c r="S856" i="4" s="1"/>
  <c r="D856" i="4"/>
  <c r="E857" i="4"/>
  <c r="I857" i="4" s="1"/>
  <c r="Q857" i="4" s="1"/>
  <c r="Y435" i="4" l="1"/>
  <c r="X435" i="4"/>
  <c r="Y789" i="4"/>
  <c r="X789" i="4"/>
  <c r="Y1004" i="4"/>
  <c r="X1004" i="4"/>
  <c r="Y855" i="4"/>
  <c r="X855" i="4"/>
  <c r="Y724" i="4"/>
  <c r="X724" i="4"/>
  <c r="T436" i="4"/>
  <c r="U436" i="4" s="1"/>
  <c r="V436" i="4" s="1"/>
  <c r="W436" i="4" s="1"/>
  <c r="S436" i="4"/>
  <c r="R437" i="4"/>
  <c r="S437" i="4" s="1"/>
  <c r="T725" i="4"/>
  <c r="U725" i="4" s="1"/>
  <c r="V725" i="4" s="1"/>
  <c r="W725" i="4" s="1"/>
  <c r="T856" i="4"/>
  <c r="U856" i="4" s="1"/>
  <c r="V856" i="4" s="1"/>
  <c r="W856" i="4" s="1"/>
  <c r="T1005" i="4"/>
  <c r="U1005" i="4" s="1"/>
  <c r="V1005" i="4" s="1"/>
  <c r="W1005" i="4" s="1"/>
  <c r="T790" i="4"/>
  <c r="U790" i="4" s="1"/>
  <c r="V790" i="4" s="1"/>
  <c r="W790" i="4" s="1"/>
  <c r="T249" i="4"/>
  <c r="U249" i="4" s="1"/>
  <c r="V249" i="4" s="1"/>
  <c r="W249" i="4" s="1"/>
  <c r="T248" i="4"/>
  <c r="U248" i="4" s="1"/>
  <c r="V248" i="4" s="1"/>
  <c r="W248" i="4" s="1"/>
  <c r="P437" i="4"/>
  <c r="P725" i="4"/>
  <c r="P856" i="4"/>
  <c r="P790" i="4"/>
  <c r="P1005" i="4"/>
  <c r="P249" i="4"/>
  <c r="F250" i="4"/>
  <c r="I438" i="4"/>
  <c r="Q438" i="4" s="1"/>
  <c r="J438" i="4"/>
  <c r="E439" i="4"/>
  <c r="D438" i="4"/>
  <c r="J726" i="4"/>
  <c r="R726" i="4" s="1"/>
  <c r="S726" i="4" s="1"/>
  <c r="E727" i="4"/>
  <c r="I727" i="4" s="1"/>
  <c r="Q727" i="4" s="1"/>
  <c r="D726" i="4"/>
  <c r="E251" i="4"/>
  <c r="I251" i="4" s="1"/>
  <c r="Q251" i="4" s="1"/>
  <c r="J250" i="4"/>
  <c r="R250" i="4" s="1"/>
  <c r="S250" i="4" s="1"/>
  <c r="D250" i="4"/>
  <c r="J1006" i="4"/>
  <c r="R1006" i="4" s="1"/>
  <c r="S1006" i="4" s="1"/>
  <c r="D1006" i="4"/>
  <c r="E1007" i="4"/>
  <c r="I1007" i="4" s="1"/>
  <c r="Q1007" i="4" s="1"/>
  <c r="J857" i="4"/>
  <c r="R857" i="4" s="1"/>
  <c r="S857" i="4" s="1"/>
  <c r="E858" i="4"/>
  <c r="I858" i="4" s="1"/>
  <c r="Q858" i="4" s="1"/>
  <c r="D857" i="4"/>
  <c r="J791" i="4"/>
  <c r="R791" i="4" s="1"/>
  <c r="S791" i="4" s="1"/>
  <c r="E792" i="4"/>
  <c r="I792" i="4" s="1"/>
  <c r="Q792" i="4" s="1"/>
  <c r="D791" i="4"/>
  <c r="Y790" i="4" l="1"/>
  <c r="X790" i="4"/>
  <c r="Y1005" i="4"/>
  <c r="X1005" i="4"/>
  <c r="Y248" i="4"/>
  <c r="X248" i="4"/>
  <c r="Y856" i="4"/>
  <c r="X856" i="4"/>
  <c r="Y436" i="4"/>
  <c r="X436" i="4"/>
  <c r="Y249" i="4"/>
  <c r="X249" i="4"/>
  <c r="Y725" i="4"/>
  <c r="X725" i="4"/>
  <c r="R438" i="4"/>
  <c r="S438" i="4" s="1"/>
  <c r="T250" i="4"/>
  <c r="U250" i="4" s="1"/>
  <c r="V250" i="4" s="1"/>
  <c r="W250" i="4" s="1"/>
  <c r="T1006" i="4"/>
  <c r="U1006" i="4" s="1"/>
  <c r="V1006" i="4" s="1"/>
  <c r="W1006" i="4" s="1"/>
  <c r="T857" i="4"/>
  <c r="U857" i="4" s="1"/>
  <c r="V857" i="4" s="1"/>
  <c r="W857" i="4" s="1"/>
  <c r="T726" i="4"/>
  <c r="U726" i="4" s="1"/>
  <c r="V726" i="4" s="1"/>
  <c r="W726" i="4" s="1"/>
  <c r="T437" i="4"/>
  <c r="U437" i="4" s="1"/>
  <c r="V437" i="4" s="1"/>
  <c r="W437" i="4" s="1"/>
  <c r="T791" i="4"/>
  <c r="U791" i="4" s="1"/>
  <c r="V791" i="4" s="1"/>
  <c r="W791" i="4" s="1"/>
  <c r="P1006" i="4"/>
  <c r="P857" i="4"/>
  <c r="P438" i="4"/>
  <c r="P791" i="4"/>
  <c r="P250" i="4"/>
  <c r="P726" i="4"/>
  <c r="F251" i="4"/>
  <c r="I439" i="4"/>
  <c r="Q439" i="4" s="1"/>
  <c r="J439" i="4"/>
  <c r="E440" i="4"/>
  <c r="D439" i="4"/>
  <c r="E793" i="4"/>
  <c r="I793" i="4" s="1"/>
  <c r="Q793" i="4" s="1"/>
  <c r="J792" i="4"/>
  <c r="R792" i="4" s="1"/>
  <c r="S792" i="4" s="1"/>
  <c r="D792" i="4"/>
  <c r="J858" i="4"/>
  <c r="R858" i="4" s="1"/>
  <c r="S858" i="4" s="1"/>
  <c r="E859" i="4"/>
  <c r="I859" i="4" s="1"/>
  <c r="Q859" i="4" s="1"/>
  <c r="D858" i="4"/>
  <c r="E252" i="4"/>
  <c r="I252" i="4" s="1"/>
  <c r="Q252" i="4" s="1"/>
  <c r="J251" i="4"/>
  <c r="R251" i="4" s="1"/>
  <c r="S251" i="4" s="1"/>
  <c r="D251" i="4"/>
  <c r="E728" i="4"/>
  <c r="I728" i="4" s="1"/>
  <c r="Q728" i="4" s="1"/>
  <c r="J727" i="4"/>
  <c r="R727" i="4" s="1"/>
  <c r="S727" i="4" s="1"/>
  <c r="D727" i="4"/>
  <c r="J1007" i="4"/>
  <c r="R1007" i="4" s="1"/>
  <c r="S1007" i="4" s="1"/>
  <c r="E1008" i="4"/>
  <c r="I1008" i="4" s="1"/>
  <c r="Q1008" i="4" s="1"/>
  <c r="D1007" i="4"/>
  <c r="Y1006" i="4" l="1"/>
  <c r="X1006" i="4"/>
  <c r="Y437" i="4"/>
  <c r="X437" i="4"/>
  <c r="Y250" i="4"/>
  <c r="X250" i="4"/>
  <c r="Y726" i="4"/>
  <c r="X726" i="4"/>
  <c r="Y857" i="4"/>
  <c r="X857" i="4"/>
  <c r="Y791" i="4"/>
  <c r="X791" i="4"/>
  <c r="R439" i="4"/>
  <c r="S439" i="4" s="1"/>
  <c r="T858" i="4"/>
  <c r="U858" i="4" s="1"/>
  <c r="V858" i="4" s="1"/>
  <c r="W858" i="4" s="1"/>
  <c r="T251" i="4"/>
  <c r="U251" i="4" s="1"/>
  <c r="V251" i="4" s="1"/>
  <c r="W251" i="4" s="1"/>
  <c r="T727" i="4"/>
  <c r="U727" i="4" s="1"/>
  <c r="V727" i="4" s="1"/>
  <c r="W727" i="4" s="1"/>
  <c r="T792" i="4"/>
  <c r="U792" i="4" s="1"/>
  <c r="V792" i="4" s="1"/>
  <c r="W792" i="4" s="1"/>
  <c r="T1007" i="4"/>
  <c r="U1007" i="4" s="1"/>
  <c r="V1007" i="4" s="1"/>
  <c r="W1007" i="4" s="1"/>
  <c r="T438" i="4"/>
  <c r="U438" i="4" s="1"/>
  <c r="V438" i="4" s="1"/>
  <c r="W438" i="4" s="1"/>
  <c r="P727" i="4"/>
  <c r="P792" i="4"/>
  <c r="P439" i="4"/>
  <c r="P1007" i="4"/>
  <c r="P251" i="4"/>
  <c r="P858" i="4"/>
  <c r="F252" i="4"/>
  <c r="I440" i="4"/>
  <c r="Q440" i="4" s="1"/>
  <c r="J440" i="4"/>
  <c r="E441" i="4"/>
  <c r="D440" i="4"/>
  <c r="E253" i="4"/>
  <c r="I253" i="4" s="1"/>
  <c r="Q253" i="4" s="1"/>
  <c r="J252" i="4"/>
  <c r="R252" i="4" s="1"/>
  <c r="S252" i="4" s="1"/>
  <c r="D252" i="4"/>
  <c r="J1008" i="4"/>
  <c r="R1008" i="4" s="1"/>
  <c r="S1008" i="4" s="1"/>
  <c r="E1009" i="4"/>
  <c r="I1009" i="4" s="1"/>
  <c r="Q1009" i="4" s="1"/>
  <c r="D1008" i="4"/>
  <c r="E729" i="4"/>
  <c r="I729" i="4" s="1"/>
  <c r="Q729" i="4" s="1"/>
  <c r="J728" i="4"/>
  <c r="R728" i="4" s="1"/>
  <c r="S728" i="4" s="1"/>
  <c r="D728" i="4"/>
  <c r="J859" i="4"/>
  <c r="R859" i="4" s="1"/>
  <c r="S859" i="4" s="1"/>
  <c r="E860" i="4"/>
  <c r="I860" i="4" s="1"/>
  <c r="Q860" i="4" s="1"/>
  <c r="D859" i="4"/>
  <c r="J793" i="4"/>
  <c r="R793" i="4" s="1"/>
  <c r="S793" i="4" s="1"/>
  <c r="E794" i="4"/>
  <c r="I794" i="4" s="1"/>
  <c r="Q794" i="4" s="1"/>
  <c r="D793" i="4"/>
  <c r="Y792" i="4" l="1"/>
  <c r="X792" i="4"/>
  <c r="Y727" i="4"/>
  <c r="X727" i="4"/>
  <c r="Y438" i="4"/>
  <c r="X438" i="4"/>
  <c r="Y251" i="4"/>
  <c r="X251" i="4"/>
  <c r="Y1007" i="4"/>
  <c r="X1007" i="4"/>
  <c r="Y858" i="4"/>
  <c r="X858" i="4"/>
  <c r="R440" i="4"/>
  <c r="S440" i="4" s="1"/>
  <c r="T793" i="4"/>
  <c r="U793" i="4" s="1"/>
  <c r="V793" i="4" s="1"/>
  <c r="W793" i="4" s="1"/>
  <c r="T728" i="4"/>
  <c r="U728" i="4" s="1"/>
  <c r="V728" i="4" s="1"/>
  <c r="W728" i="4" s="1"/>
  <c r="T1008" i="4"/>
  <c r="U1008" i="4" s="1"/>
  <c r="V1008" i="4" s="1"/>
  <c r="W1008" i="4" s="1"/>
  <c r="T859" i="4"/>
  <c r="U859" i="4" s="1"/>
  <c r="V859" i="4" s="1"/>
  <c r="W859" i="4" s="1"/>
  <c r="T252" i="4"/>
  <c r="U252" i="4" s="1"/>
  <c r="V252" i="4" s="1"/>
  <c r="W252" i="4" s="1"/>
  <c r="T439" i="4"/>
  <c r="U439" i="4" s="1"/>
  <c r="V439" i="4" s="1"/>
  <c r="W439" i="4" s="1"/>
  <c r="P793" i="4"/>
  <c r="P859" i="4"/>
  <c r="P252" i="4"/>
  <c r="P440" i="4"/>
  <c r="P728" i="4"/>
  <c r="P1008" i="4"/>
  <c r="F253" i="4"/>
  <c r="I441" i="4"/>
  <c r="Q441" i="4" s="1"/>
  <c r="J441" i="4"/>
  <c r="E442" i="4"/>
  <c r="D441" i="4"/>
  <c r="J1009" i="4"/>
  <c r="R1009" i="4" s="1"/>
  <c r="S1009" i="4" s="1"/>
  <c r="D1009" i="4"/>
  <c r="E1010" i="4"/>
  <c r="I1010" i="4" s="1"/>
  <c r="Q1010" i="4" s="1"/>
  <c r="E254" i="4"/>
  <c r="I254" i="4" s="1"/>
  <c r="Q254" i="4" s="1"/>
  <c r="J253" i="4"/>
  <c r="R253" i="4" s="1"/>
  <c r="S253" i="4" s="1"/>
  <c r="D253" i="4"/>
  <c r="D860" i="4"/>
  <c r="J860" i="4"/>
  <c r="R860" i="4" s="1"/>
  <c r="S860" i="4" s="1"/>
  <c r="E861" i="4"/>
  <c r="I861" i="4" s="1"/>
  <c r="Q861" i="4" s="1"/>
  <c r="J794" i="4"/>
  <c r="R794" i="4" s="1"/>
  <c r="S794" i="4" s="1"/>
  <c r="D794" i="4"/>
  <c r="E795" i="4"/>
  <c r="I795" i="4" s="1"/>
  <c r="Q795" i="4" s="1"/>
  <c r="E730" i="4"/>
  <c r="I730" i="4" s="1"/>
  <c r="Q730" i="4" s="1"/>
  <c r="J729" i="4"/>
  <c r="R729" i="4" s="1"/>
  <c r="S729" i="4" s="1"/>
  <c r="D729" i="4"/>
  <c r="Y439" i="4" l="1"/>
  <c r="X439" i="4"/>
  <c r="Y859" i="4"/>
  <c r="X859" i="4"/>
  <c r="Y1008" i="4"/>
  <c r="X1008" i="4"/>
  <c r="Y728" i="4"/>
  <c r="X728" i="4"/>
  <c r="Y252" i="4"/>
  <c r="X252" i="4"/>
  <c r="Y793" i="4"/>
  <c r="X793" i="4"/>
  <c r="R441" i="4"/>
  <c r="T729" i="4"/>
  <c r="U729" i="4" s="1"/>
  <c r="V729" i="4" s="1"/>
  <c r="W729" i="4" s="1"/>
  <c r="T794" i="4"/>
  <c r="U794" i="4" s="1"/>
  <c r="V794" i="4" s="1"/>
  <c r="W794" i="4" s="1"/>
  <c r="T440" i="4"/>
  <c r="U440" i="4" s="1"/>
  <c r="V440" i="4" s="1"/>
  <c r="W440" i="4" s="1"/>
  <c r="T860" i="4"/>
  <c r="U860" i="4" s="1"/>
  <c r="V860" i="4" s="1"/>
  <c r="W860" i="4" s="1"/>
  <c r="T253" i="4"/>
  <c r="U253" i="4" s="1"/>
  <c r="V253" i="4" s="1"/>
  <c r="W253" i="4" s="1"/>
  <c r="T1009" i="4"/>
  <c r="U1009" i="4" s="1"/>
  <c r="V1009" i="4" s="1"/>
  <c r="W1009" i="4" s="1"/>
  <c r="P253" i="4"/>
  <c r="P1009" i="4"/>
  <c r="P729" i="4"/>
  <c r="P794" i="4"/>
  <c r="P441" i="4"/>
  <c r="P860" i="4"/>
  <c r="F254" i="4"/>
  <c r="I442" i="4"/>
  <c r="Q442" i="4" s="1"/>
  <c r="J442" i="4"/>
  <c r="E443" i="4"/>
  <c r="D442" i="4"/>
  <c r="J795" i="4"/>
  <c r="R795" i="4" s="1"/>
  <c r="S795" i="4" s="1"/>
  <c r="E796" i="4"/>
  <c r="I796" i="4" s="1"/>
  <c r="Q796" i="4" s="1"/>
  <c r="D795" i="4"/>
  <c r="J254" i="4"/>
  <c r="R254" i="4" s="1"/>
  <c r="S254" i="4" s="1"/>
  <c r="D254" i="4"/>
  <c r="E255" i="4"/>
  <c r="I255" i="4" s="1"/>
  <c r="Q255" i="4" s="1"/>
  <c r="J1010" i="4"/>
  <c r="R1010" i="4" s="1"/>
  <c r="S1010" i="4" s="1"/>
  <c r="E1011" i="4"/>
  <c r="I1011" i="4" s="1"/>
  <c r="Q1011" i="4" s="1"/>
  <c r="D1010" i="4"/>
  <c r="E731" i="4"/>
  <c r="I731" i="4" s="1"/>
  <c r="Q731" i="4" s="1"/>
  <c r="J730" i="4"/>
  <c r="R730" i="4" s="1"/>
  <c r="S730" i="4" s="1"/>
  <c r="D730" i="4"/>
  <c r="J861" i="4"/>
  <c r="R861" i="4" s="1"/>
  <c r="S861" i="4" s="1"/>
  <c r="E862" i="4"/>
  <c r="I862" i="4" s="1"/>
  <c r="Q862" i="4" s="1"/>
  <c r="D861" i="4"/>
  <c r="Y860" i="4" l="1"/>
  <c r="X860" i="4"/>
  <c r="Y440" i="4"/>
  <c r="X440" i="4"/>
  <c r="Y1009" i="4"/>
  <c r="X1009" i="4"/>
  <c r="Y794" i="4"/>
  <c r="X794" i="4"/>
  <c r="Y253" i="4"/>
  <c r="X253" i="4"/>
  <c r="Y729" i="4"/>
  <c r="X729" i="4"/>
  <c r="T441" i="4"/>
  <c r="U441" i="4" s="1"/>
  <c r="V441" i="4" s="1"/>
  <c r="W441" i="4" s="1"/>
  <c r="S441" i="4"/>
  <c r="R442" i="4"/>
  <c r="S442" i="4" s="1"/>
  <c r="T795" i="4"/>
  <c r="U795" i="4" s="1"/>
  <c r="V795" i="4" s="1"/>
  <c r="W795" i="4" s="1"/>
  <c r="T254" i="4"/>
  <c r="U254" i="4" s="1"/>
  <c r="V254" i="4" s="1"/>
  <c r="W254" i="4" s="1"/>
  <c r="T861" i="4"/>
  <c r="U861" i="4" s="1"/>
  <c r="V861" i="4" s="1"/>
  <c r="W861" i="4" s="1"/>
  <c r="T730" i="4"/>
  <c r="U730" i="4" s="1"/>
  <c r="V730" i="4" s="1"/>
  <c r="W730" i="4" s="1"/>
  <c r="T1010" i="4"/>
  <c r="U1010" i="4" s="1"/>
  <c r="V1010" i="4" s="1"/>
  <c r="W1010" i="4" s="1"/>
  <c r="P730" i="4"/>
  <c r="P1010" i="4"/>
  <c r="P442" i="4"/>
  <c r="P861" i="4"/>
  <c r="P795" i="4"/>
  <c r="P254" i="4"/>
  <c r="F255" i="4"/>
  <c r="I443" i="4"/>
  <c r="Q443" i="4" s="1"/>
  <c r="D443" i="4"/>
  <c r="J443" i="4"/>
  <c r="E444" i="4"/>
  <c r="J1011" i="4"/>
  <c r="R1011" i="4" s="1"/>
  <c r="S1011" i="4" s="1"/>
  <c r="E1012" i="4"/>
  <c r="I1012" i="4" s="1"/>
  <c r="Q1012" i="4" s="1"/>
  <c r="D1011" i="4"/>
  <c r="J731" i="4"/>
  <c r="R731" i="4" s="1"/>
  <c r="S731" i="4" s="1"/>
  <c r="E732" i="4"/>
  <c r="I732" i="4" s="1"/>
  <c r="Q732" i="4" s="1"/>
  <c r="D731" i="4"/>
  <c r="J255" i="4"/>
  <c r="R255" i="4" s="1"/>
  <c r="S255" i="4" s="1"/>
  <c r="D255" i="4"/>
  <c r="E256" i="4"/>
  <c r="I256" i="4" s="1"/>
  <c r="Q256" i="4" s="1"/>
  <c r="D796" i="4"/>
  <c r="J796" i="4"/>
  <c r="R796" i="4" s="1"/>
  <c r="S796" i="4" s="1"/>
  <c r="E797" i="4"/>
  <c r="I797" i="4" s="1"/>
  <c r="Q797" i="4" s="1"/>
  <c r="E863" i="4"/>
  <c r="I863" i="4" s="1"/>
  <c r="Q863" i="4" s="1"/>
  <c r="J862" i="4"/>
  <c r="R862" i="4" s="1"/>
  <c r="S862" i="4" s="1"/>
  <c r="D862" i="4"/>
  <c r="Y441" i="4" l="1"/>
  <c r="X441" i="4"/>
  <c r="Y1010" i="4"/>
  <c r="X1010" i="4"/>
  <c r="Y795" i="4"/>
  <c r="X795" i="4"/>
  <c r="Y254" i="4"/>
  <c r="X254" i="4"/>
  <c r="Y730" i="4"/>
  <c r="X730" i="4"/>
  <c r="Y861" i="4"/>
  <c r="X861" i="4"/>
  <c r="R443" i="4"/>
  <c r="S443" i="4" s="1"/>
  <c r="T731" i="4"/>
  <c r="U731" i="4" s="1"/>
  <c r="V731" i="4" s="1"/>
  <c r="W731" i="4" s="1"/>
  <c r="T255" i="4"/>
  <c r="U255" i="4" s="1"/>
  <c r="V255" i="4" s="1"/>
  <c r="W255" i="4" s="1"/>
  <c r="T796" i="4"/>
  <c r="U796" i="4" s="1"/>
  <c r="V796" i="4" s="1"/>
  <c r="W796" i="4" s="1"/>
  <c r="T862" i="4"/>
  <c r="U862" i="4" s="1"/>
  <c r="V862" i="4" s="1"/>
  <c r="W862" i="4" s="1"/>
  <c r="T442" i="4"/>
  <c r="U442" i="4" s="1"/>
  <c r="V442" i="4" s="1"/>
  <c r="W442" i="4" s="1"/>
  <c r="T1011" i="4"/>
  <c r="U1011" i="4" s="1"/>
  <c r="V1011" i="4" s="1"/>
  <c r="W1011" i="4" s="1"/>
  <c r="P796" i="4"/>
  <c r="P443" i="4"/>
  <c r="P255" i="4"/>
  <c r="P862" i="4"/>
  <c r="P1011" i="4"/>
  <c r="P731" i="4"/>
  <c r="F256" i="4"/>
  <c r="I444" i="4"/>
  <c r="Q444" i="4" s="1"/>
  <c r="J444" i="4"/>
  <c r="E445" i="4"/>
  <c r="D444" i="4"/>
  <c r="E864" i="4"/>
  <c r="I864" i="4" s="1"/>
  <c r="Q864" i="4" s="1"/>
  <c r="J863" i="4"/>
  <c r="R863" i="4" s="1"/>
  <c r="S863" i="4" s="1"/>
  <c r="D863" i="4"/>
  <c r="J256" i="4"/>
  <c r="R256" i="4" s="1"/>
  <c r="S256" i="4" s="1"/>
  <c r="E257" i="4"/>
  <c r="I257" i="4" s="1"/>
  <c r="Q257" i="4" s="1"/>
  <c r="D256" i="4"/>
  <c r="J1012" i="4"/>
  <c r="R1012" i="4" s="1"/>
  <c r="S1012" i="4" s="1"/>
  <c r="E1013" i="4"/>
  <c r="I1013" i="4" s="1"/>
  <c r="Q1013" i="4" s="1"/>
  <c r="D1012" i="4"/>
  <c r="E798" i="4"/>
  <c r="I798" i="4" s="1"/>
  <c r="Q798" i="4" s="1"/>
  <c r="J797" i="4"/>
  <c r="R797" i="4" s="1"/>
  <c r="S797" i="4" s="1"/>
  <c r="D797" i="4"/>
  <c r="J732" i="4"/>
  <c r="R732" i="4" s="1"/>
  <c r="S732" i="4" s="1"/>
  <c r="E733" i="4"/>
  <c r="I733" i="4" s="1"/>
  <c r="Q733" i="4" s="1"/>
  <c r="D732" i="4"/>
  <c r="Y796" i="4" l="1"/>
  <c r="X796" i="4"/>
  <c r="Y1011" i="4"/>
  <c r="X1011" i="4"/>
  <c r="Y255" i="4"/>
  <c r="X255" i="4"/>
  <c r="Y442" i="4"/>
  <c r="X442" i="4"/>
  <c r="Y731" i="4"/>
  <c r="X731" i="4"/>
  <c r="Y862" i="4"/>
  <c r="X862" i="4"/>
  <c r="R444" i="4"/>
  <c r="S444" i="4" s="1"/>
  <c r="T797" i="4"/>
  <c r="U797" i="4" s="1"/>
  <c r="V797" i="4" s="1"/>
  <c r="W797" i="4" s="1"/>
  <c r="T863" i="4"/>
  <c r="U863" i="4" s="1"/>
  <c r="V863" i="4" s="1"/>
  <c r="W863" i="4" s="1"/>
  <c r="T732" i="4"/>
  <c r="U732" i="4" s="1"/>
  <c r="V732" i="4" s="1"/>
  <c r="W732" i="4" s="1"/>
  <c r="T256" i="4"/>
  <c r="U256" i="4" s="1"/>
  <c r="V256" i="4" s="1"/>
  <c r="W256" i="4" s="1"/>
  <c r="T443" i="4"/>
  <c r="U443" i="4" s="1"/>
  <c r="V443" i="4" s="1"/>
  <c r="W443" i="4" s="1"/>
  <c r="T1012" i="4"/>
  <c r="U1012" i="4" s="1"/>
  <c r="V1012" i="4" s="1"/>
  <c r="W1012" i="4" s="1"/>
  <c r="P797" i="4"/>
  <c r="P1012" i="4"/>
  <c r="P863" i="4"/>
  <c r="P444" i="4"/>
  <c r="P732" i="4"/>
  <c r="P256" i="4"/>
  <c r="F257" i="4"/>
  <c r="I445" i="4"/>
  <c r="Q445" i="4" s="1"/>
  <c r="E446" i="4"/>
  <c r="J445" i="4"/>
  <c r="D445" i="4"/>
  <c r="J733" i="4"/>
  <c r="R733" i="4" s="1"/>
  <c r="S733" i="4" s="1"/>
  <c r="D733" i="4"/>
  <c r="E734" i="4"/>
  <c r="I734" i="4" s="1"/>
  <c r="Q734" i="4" s="1"/>
  <c r="J798" i="4"/>
  <c r="R798" i="4" s="1"/>
  <c r="S798" i="4" s="1"/>
  <c r="D798" i="4"/>
  <c r="E799" i="4"/>
  <c r="J257" i="4"/>
  <c r="R257" i="4" s="1"/>
  <c r="S257" i="4" s="1"/>
  <c r="D257" i="4"/>
  <c r="E258" i="4"/>
  <c r="I258" i="4" s="1"/>
  <c r="Q258" i="4" s="1"/>
  <c r="E865" i="4"/>
  <c r="I865" i="4" s="1"/>
  <c r="Q865" i="4" s="1"/>
  <c r="J864" i="4"/>
  <c r="R864" i="4" s="1"/>
  <c r="S864" i="4" s="1"/>
  <c r="D864" i="4"/>
  <c r="J1013" i="4"/>
  <c r="R1013" i="4" s="1"/>
  <c r="S1013" i="4" s="1"/>
  <c r="D1013" i="4"/>
  <c r="E1014" i="4"/>
  <c r="I1014" i="4" s="1"/>
  <c r="Q1014" i="4" s="1"/>
  <c r="Y732" i="4" l="1"/>
  <c r="X732" i="4"/>
  <c r="Y1012" i="4"/>
  <c r="X1012" i="4"/>
  <c r="Y863" i="4"/>
  <c r="X863" i="4"/>
  <c r="Y443" i="4"/>
  <c r="X443" i="4"/>
  <c r="Y797" i="4"/>
  <c r="X797" i="4"/>
  <c r="Y256" i="4"/>
  <c r="X256" i="4"/>
  <c r="R445" i="4"/>
  <c r="S445" i="4" s="1"/>
  <c r="T444" i="4"/>
  <c r="U444" i="4" s="1"/>
  <c r="V444" i="4" s="1"/>
  <c r="W444" i="4" s="1"/>
  <c r="T733" i="4"/>
  <c r="U733" i="4" s="1"/>
  <c r="V733" i="4" s="1"/>
  <c r="W733" i="4" s="1"/>
  <c r="T798" i="4"/>
  <c r="U798" i="4" s="1"/>
  <c r="V798" i="4" s="1"/>
  <c r="W798" i="4" s="1"/>
  <c r="T864" i="4"/>
  <c r="U864" i="4" s="1"/>
  <c r="V864" i="4" s="1"/>
  <c r="W864" i="4" s="1"/>
  <c r="T1013" i="4"/>
  <c r="U1013" i="4" s="1"/>
  <c r="V1013" i="4" s="1"/>
  <c r="W1013" i="4" s="1"/>
  <c r="T257" i="4"/>
  <c r="U257" i="4" s="1"/>
  <c r="V257" i="4" s="1"/>
  <c r="W257" i="4" s="1"/>
  <c r="P864" i="4"/>
  <c r="P257" i="4"/>
  <c r="P445" i="4"/>
  <c r="P1013" i="4"/>
  <c r="P733" i="4"/>
  <c r="P798" i="4"/>
  <c r="F258" i="4"/>
  <c r="I800" i="4"/>
  <c r="Q800" i="4" s="1"/>
  <c r="R800" i="4" s="1"/>
  <c r="S800" i="4" s="1"/>
  <c r="I799" i="4"/>
  <c r="Q799" i="4" s="1"/>
  <c r="I446" i="4"/>
  <c r="Q446" i="4" s="1"/>
  <c r="J446" i="4"/>
  <c r="E447" i="4"/>
  <c r="D446" i="4"/>
  <c r="J734" i="4"/>
  <c r="R734" i="4" s="1"/>
  <c r="S734" i="4" s="1"/>
  <c r="D734" i="4"/>
  <c r="E735" i="4"/>
  <c r="I735" i="4" s="1"/>
  <c r="Q735" i="4" s="1"/>
  <c r="J1014" i="4"/>
  <c r="R1014" i="4" s="1"/>
  <c r="S1014" i="4" s="1"/>
  <c r="D1014" i="4"/>
  <c r="E1015" i="4"/>
  <c r="I1015" i="4" s="1"/>
  <c r="Q1015" i="4" s="1"/>
  <c r="E866" i="4"/>
  <c r="I866" i="4" s="1"/>
  <c r="Q866" i="4" s="1"/>
  <c r="J865" i="4"/>
  <c r="R865" i="4" s="1"/>
  <c r="S865" i="4" s="1"/>
  <c r="D865" i="4"/>
  <c r="D799" i="4"/>
  <c r="J799" i="4"/>
  <c r="E259" i="4"/>
  <c r="I259" i="4" s="1"/>
  <c r="Q259" i="4" s="1"/>
  <c r="J258" i="4"/>
  <c r="R258" i="4" s="1"/>
  <c r="S258" i="4" s="1"/>
  <c r="D258" i="4"/>
  <c r="Y798" i="4" l="1"/>
  <c r="X798" i="4"/>
  <c r="Y257" i="4"/>
  <c r="X257" i="4"/>
  <c r="Y733" i="4"/>
  <c r="X733" i="4"/>
  <c r="Y1013" i="4"/>
  <c r="X1013" i="4"/>
  <c r="Y444" i="4"/>
  <c r="X444" i="4"/>
  <c r="Y864" i="4"/>
  <c r="X864" i="4"/>
  <c r="R799" i="4"/>
  <c r="S799" i="4" s="1"/>
  <c r="R446" i="4"/>
  <c r="S446" i="4" s="1"/>
  <c r="T258" i="4"/>
  <c r="U258" i="4" s="1"/>
  <c r="V258" i="4" s="1"/>
  <c r="W258" i="4" s="1"/>
  <c r="T865" i="4"/>
  <c r="U865" i="4" s="1"/>
  <c r="V865" i="4" s="1"/>
  <c r="W865" i="4" s="1"/>
  <c r="T1014" i="4"/>
  <c r="U1014" i="4" s="1"/>
  <c r="V1014" i="4" s="1"/>
  <c r="W1014" i="4" s="1"/>
  <c r="T800" i="4"/>
  <c r="U800" i="4" s="1"/>
  <c r="V800" i="4" s="1"/>
  <c r="W800" i="4" s="1"/>
  <c r="T445" i="4"/>
  <c r="U445" i="4" s="1"/>
  <c r="V445" i="4" s="1"/>
  <c r="W445" i="4" s="1"/>
  <c r="T799" i="4"/>
  <c r="U799" i="4" s="1"/>
  <c r="V799" i="4" s="1"/>
  <c r="W799" i="4" s="1"/>
  <c r="T734" i="4"/>
  <c r="U734" i="4" s="1"/>
  <c r="V734" i="4" s="1"/>
  <c r="W734" i="4" s="1"/>
  <c r="P258" i="4"/>
  <c r="P734" i="4"/>
  <c r="P1014" i="4"/>
  <c r="P799" i="4"/>
  <c r="P865" i="4"/>
  <c r="P446" i="4"/>
  <c r="F259" i="4"/>
  <c r="I447" i="4"/>
  <c r="Q447" i="4" s="1"/>
  <c r="J447" i="4"/>
  <c r="D447" i="4"/>
  <c r="E448" i="4"/>
  <c r="J735" i="4"/>
  <c r="R735" i="4" s="1"/>
  <c r="S735" i="4" s="1"/>
  <c r="E736" i="4"/>
  <c r="I736" i="4" s="1"/>
  <c r="Q736" i="4" s="1"/>
  <c r="D735" i="4"/>
  <c r="E867" i="4"/>
  <c r="I867" i="4" s="1"/>
  <c r="Q867" i="4" s="1"/>
  <c r="J866" i="4"/>
  <c r="R866" i="4" s="1"/>
  <c r="S866" i="4" s="1"/>
  <c r="D866" i="4"/>
  <c r="J1015" i="4"/>
  <c r="R1015" i="4" s="1"/>
  <c r="S1015" i="4" s="1"/>
  <c r="D1015" i="4"/>
  <c r="E1016" i="4"/>
  <c r="I1016" i="4" s="1"/>
  <c r="Q1016" i="4" s="1"/>
  <c r="E260" i="4"/>
  <c r="I260" i="4" s="1"/>
  <c r="Q260" i="4" s="1"/>
  <c r="J259" i="4"/>
  <c r="R259" i="4" s="1"/>
  <c r="S259" i="4" s="1"/>
  <c r="D259" i="4"/>
  <c r="Y799" i="4" l="1"/>
  <c r="X799" i="4"/>
  <c r="Y865" i="4"/>
  <c r="X865" i="4"/>
  <c r="Y445" i="4"/>
  <c r="X445" i="4"/>
  <c r="Y258" i="4"/>
  <c r="X258" i="4"/>
  <c r="Y800" i="4"/>
  <c r="X800" i="4"/>
  <c r="Y734" i="4"/>
  <c r="X734" i="4"/>
  <c r="Y1014" i="4"/>
  <c r="X1014" i="4"/>
  <c r="R447" i="4"/>
  <c r="S447" i="4" s="1"/>
  <c r="T866" i="4"/>
  <c r="U866" i="4" s="1"/>
  <c r="V866" i="4" s="1"/>
  <c r="W866" i="4" s="1"/>
  <c r="T735" i="4"/>
  <c r="U735" i="4" s="1"/>
  <c r="V735" i="4" s="1"/>
  <c r="W735" i="4" s="1"/>
  <c r="T259" i="4"/>
  <c r="U259" i="4" s="1"/>
  <c r="V259" i="4" s="1"/>
  <c r="W259" i="4" s="1"/>
  <c r="T1015" i="4"/>
  <c r="U1015" i="4" s="1"/>
  <c r="V1015" i="4" s="1"/>
  <c r="W1015" i="4" s="1"/>
  <c r="T446" i="4"/>
  <c r="U446" i="4" s="1"/>
  <c r="V446" i="4" s="1"/>
  <c r="W446" i="4" s="1"/>
  <c r="P259" i="4"/>
  <c r="P1015" i="4"/>
  <c r="P447" i="4"/>
  <c r="P866" i="4"/>
  <c r="P735" i="4"/>
  <c r="F260" i="4"/>
  <c r="I448" i="4"/>
  <c r="Q448" i="4" s="1"/>
  <c r="J448" i="4"/>
  <c r="E449" i="4"/>
  <c r="D448" i="4"/>
  <c r="E868" i="4"/>
  <c r="I868" i="4" s="1"/>
  <c r="Q868" i="4" s="1"/>
  <c r="J867" i="4"/>
  <c r="R867" i="4" s="1"/>
  <c r="S867" i="4" s="1"/>
  <c r="D867" i="4"/>
  <c r="J736" i="4"/>
  <c r="R736" i="4" s="1"/>
  <c r="S736" i="4" s="1"/>
  <c r="D736" i="4"/>
  <c r="E737" i="4"/>
  <c r="I737" i="4" s="1"/>
  <c r="Q737" i="4" s="1"/>
  <c r="E261" i="4"/>
  <c r="J260" i="4"/>
  <c r="R260" i="4" s="1"/>
  <c r="S260" i="4" s="1"/>
  <c r="D260" i="4"/>
  <c r="D1016" i="4"/>
  <c r="J1016" i="4"/>
  <c r="R1016" i="4" s="1"/>
  <c r="S1016" i="4" s="1"/>
  <c r="E1017" i="4"/>
  <c r="I1017" i="4" s="1"/>
  <c r="Q1017" i="4" s="1"/>
  <c r="T447" i="4" l="1"/>
  <c r="U447" i="4" s="1"/>
  <c r="V447" i="4" s="1"/>
  <c r="W447" i="4" s="1"/>
  <c r="Y447" i="4" s="1"/>
  <c r="Y446" i="4"/>
  <c r="X446" i="4"/>
  <c r="Y866" i="4"/>
  <c r="X866" i="4"/>
  <c r="Y1015" i="4"/>
  <c r="X1015" i="4"/>
  <c r="Y259" i="4"/>
  <c r="X259" i="4"/>
  <c r="Y735" i="4"/>
  <c r="X735" i="4"/>
  <c r="F261" i="4"/>
  <c r="R448" i="4"/>
  <c r="S448" i="4" s="1"/>
  <c r="T260" i="4"/>
  <c r="U260" i="4" s="1"/>
  <c r="V260" i="4" s="1"/>
  <c r="W260" i="4" s="1"/>
  <c r="T736" i="4"/>
  <c r="U736" i="4" s="1"/>
  <c r="V736" i="4" s="1"/>
  <c r="W736" i="4" s="1"/>
  <c r="T1016" i="4"/>
  <c r="U1016" i="4" s="1"/>
  <c r="V1016" i="4" s="1"/>
  <c r="W1016" i="4" s="1"/>
  <c r="T867" i="4"/>
  <c r="U867" i="4" s="1"/>
  <c r="V867" i="4" s="1"/>
  <c r="W867" i="4" s="1"/>
  <c r="P260" i="4"/>
  <c r="P1016" i="4"/>
  <c r="P736" i="4"/>
  <c r="P867" i="4"/>
  <c r="P448" i="4"/>
  <c r="I449" i="4"/>
  <c r="Q449" i="4" s="1"/>
  <c r="J449" i="4"/>
  <c r="E450" i="4"/>
  <c r="D449" i="4"/>
  <c r="I261" i="4"/>
  <c r="Q261" i="4" s="1"/>
  <c r="D737" i="4"/>
  <c r="J737" i="4"/>
  <c r="R737" i="4" s="1"/>
  <c r="S737" i="4" s="1"/>
  <c r="E738" i="4"/>
  <c r="I738" i="4" s="1"/>
  <c r="Q738" i="4" s="1"/>
  <c r="J1017" i="4"/>
  <c r="R1017" i="4" s="1"/>
  <c r="S1017" i="4" s="1"/>
  <c r="E1018" i="4"/>
  <c r="I1018" i="4" s="1"/>
  <c r="Q1018" i="4" s="1"/>
  <c r="D1017" i="4"/>
  <c r="E262" i="4"/>
  <c r="I262" i="4" s="1"/>
  <c r="Q262" i="4" s="1"/>
  <c r="J261" i="4"/>
  <c r="R261" i="4" s="1"/>
  <c r="S261" i="4" s="1"/>
  <c r="D261" i="4"/>
  <c r="E869" i="4"/>
  <c r="I869" i="4" s="1"/>
  <c r="Q869" i="4" s="1"/>
  <c r="J868" i="4"/>
  <c r="R868" i="4" s="1"/>
  <c r="S868" i="4" s="1"/>
  <c r="D868" i="4"/>
  <c r="X447" i="4" l="1"/>
  <c r="T448" i="4"/>
  <c r="U448" i="4" s="1"/>
  <c r="V448" i="4" s="1"/>
  <c r="W448" i="4" s="1"/>
  <c r="Y448" i="4" s="1"/>
  <c r="Y736" i="4"/>
  <c r="X736" i="4"/>
  <c r="Y260" i="4"/>
  <c r="X260" i="4"/>
  <c r="Y867" i="4"/>
  <c r="X867" i="4"/>
  <c r="Y1016" i="4"/>
  <c r="X1016" i="4"/>
  <c r="R449" i="4"/>
  <c r="S449" i="4" s="1"/>
  <c r="T737" i="4"/>
  <c r="U737" i="4" s="1"/>
  <c r="V737" i="4" s="1"/>
  <c r="W737" i="4" s="1"/>
  <c r="T261" i="4"/>
  <c r="U261" i="4" s="1"/>
  <c r="V261" i="4" s="1"/>
  <c r="W261" i="4" s="1"/>
  <c r="T1017" i="4"/>
  <c r="U1017" i="4" s="1"/>
  <c r="V1017" i="4" s="1"/>
  <c r="W1017" i="4" s="1"/>
  <c r="T868" i="4"/>
  <c r="U868" i="4" s="1"/>
  <c r="V868" i="4" s="1"/>
  <c r="W868" i="4" s="1"/>
  <c r="P1017" i="4"/>
  <c r="P868" i="4"/>
  <c r="F262" i="4"/>
  <c r="P737" i="4"/>
  <c r="P261" i="4"/>
  <c r="P449" i="4"/>
  <c r="I450" i="4"/>
  <c r="Q450" i="4" s="1"/>
  <c r="D450" i="4"/>
  <c r="J450" i="4"/>
  <c r="E451" i="4"/>
  <c r="E263" i="4"/>
  <c r="I263" i="4" s="1"/>
  <c r="Q263" i="4" s="1"/>
  <c r="J262" i="4"/>
  <c r="R262" i="4" s="1"/>
  <c r="S262" i="4" s="1"/>
  <c r="D262" i="4"/>
  <c r="J738" i="4"/>
  <c r="R738" i="4" s="1"/>
  <c r="S738" i="4" s="1"/>
  <c r="E739" i="4"/>
  <c r="I739" i="4" s="1"/>
  <c r="Q739" i="4" s="1"/>
  <c r="D738" i="4"/>
  <c r="E870" i="4"/>
  <c r="I870" i="4" s="1"/>
  <c r="Q870" i="4" s="1"/>
  <c r="J869" i="4"/>
  <c r="R869" i="4" s="1"/>
  <c r="S869" i="4" s="1"/>
  <c r="D869" i="4"/>
  <c r="E1019" i="4"/>
  <c r="I1019" i="4" s="1"/>
  <c r="Q1019" i="4" s="1"/>
  <c r="J1018" i="4"/>
  <c r="R1018" i="4" s="1"/>
  <c r="S1018" i="4" s="1"/>
  <c r="D1018" i="4"/>
  <c r="X448" i="4" l="1"/>
  <c r="T449" i="4"/>
  <c r="U449" i="4" s="1"/>
  <c r="V449" i="4" s="1"/>
  <c r="W449" i="4" s="1"/>
  <c r="Y449" i="4" s="1"/>
  <c r="Y868" i="4"/>
  <c r="X868" i="4"/>
  <c r="Y737" i="4"/>
  <c r="X737" i="4"/>
  <c r="Y1017" i="4"/>
  <c r="X1017" i="4"/>
  <c r="Y261" i="4"/>
  <c r="X261" i="4"/>
  <c r="R450" i="4"/>
  <c r="S450" i="4" s="1"/>
  <c r="T869" i="4"/>
  <c r="U869" i="4" s="1"/>
  <c r="V869" i="4" s="1"/>
  <c r="W869" i="4" s="1"/>
  <c r="T738" i="4"/>
  <c r="U738" i="4" s="1"/>
  <c r="V738" i="4" s="1"/>
  <c r="W738" i="4" s="1"/>
  <c r="T1018" i="4"/>
  <c r="U1018" i="4" s="1"/>
  <c r="V1018" i="4" s="1"/>
  <c r="W1018" i="4" s="1"/>
  <c r="T450" i="4"/>
  <c r="U450" i="4" s="1"/>
  <c r="V450" i="4" s="1"/>
  <c r="W450" i="4" s="1"/>
  <c r="T262" i="4"/>
  <c r="U262" i="4" s="1"/>
  <c r="V262" i="4" s="1"/>
  <c r="W262" i="4" s="1"/>
  <c r="P869" i="4"/>
  <c r="P738" i="4"/>
  <c r="P1018" i="4"/>
  <c r="P450" i="4"/>
  <c r="P262" i="4"/>
  <c r="F263" i="4"/>
  <c r="I451" i="4"/>
  <c r="Q451" i="4" s="1"/>
  <c r="E452" i="4"/>
  <c r="D451" i="4"/>
  <c r="J451" i="4"/>
  <c r="E740" i="4"/>
  <c r="I740" i="4" s="1"/>
  <c r="Q740" i="4" s="1"/>
  <c r="J739" i="4"/>
  <c r="R739" i="4" s="1"/>
  <c r="S739" i="4" s="1"/>
  <c r="D739" i="4"/>
  <c r="E264" i="4"/>
  <c r="I264" i="4" s="1"/>
  <c r="Q264" i="4" s="1"/>
  <c r="J263" i="4"/>
  <c r="R263" i="4" s="1"/>
  <c r="S263" i="4" s="1"/>
  <c r="D263" i="4"/>
  <c r="E871" i="4"/>
  <c r="I871" i="4" s="1"/>
  <c r="Q871" i="4" s="1"/>
  <c r="J870" i="4"/>
  <c r="R870" i="4" s="1"/>
  <c r="S870" i="4" s="1"/>
  <c r="D870" i="4"/>
  <c r="J1019" i="4"/>
  <c r="R1019" i="4" s="1"/>
  <c r="S1019" i="4" s="1"/>
  <c r="E1020" i="4"/>
  <c r="I1020" i="4" s="1"/>
  <c r="Q1020" i="4" s="1"/>
  <c r="D1019" i="4"/>
  <c r="X449" i="4" l="1"/>
  <c r="Y262" i="4"/>
  <c r="X262" i="4"/>
  <c r="Y869" i="4"/>
  <c r="X869" i="4"/>
  <c r="Y450" i="4"/>
  <c r="X450" i="4"/>
  <c r="Y1018" i="4"/>
  <c r="X1018" i="4"/>
  <c r="Y738" i="4"/>
  <c r="X738" i="4"/>
  <c r="R451" i="4"/>
  <c r="T870" i="4"/>
  <c r="U870" i="4" s="1"/>
  <c r="V870" i="4" s="1"/>
  <c r="W870" i="4" s="1"/>
  <c r="T739" i="4"/>
  <c r="U739" i="4" s="1"/>
  <c r="V739" i="4" s="1"/>
  <c r="W739" i="4" s="1"/>
  <c r="T1019" i="4"/>
  <c r="U1019" i="4" s="1"/>
  <c r="V1019" i="4" s="1"/>
  <c r="W1019" i="4" s="1"/>
  <c r="T263" i="4"/>
  <c r="U263" i="4" s="1"/>
  <c r="V263" i="4" s="1"/>
  <c r="W263" i="4" s="1"/>
  <c r="P451" i="4"/>
  <c r="F264" i="4"/>
  <c r="P263" i="4"/>
  <c r="P870" i="4"/>
  <c r="P1019" i="4"/>
  <c r="P739" i="4"/>
  <c r="I452" i="4"/>
  <c r="Q452" i="4" s="1"/>
  <c r="J452" i="4"/>
  <c r="E453" i="4"/>
  <c r="D452" i="4"/>
  <c r="E872" i="4"/>
  <c r="I872" i="4" s="1"/>
  <c r="Q872" i="4" s="1"/>
  <c r="J871" i="4"/>
  <c r="R871" i="4" s="1"/>
  <c r="S871" i="4" s="1"/>
  <c r="D871" i="4"/>
  <c r="J740" i="4"/>
  <c r="R740" i="4" s="1"/>
  <c r="S740" i="4" s="1"/>
  <c r="D740" i="4"/>
  <c r="E741" i="4"/>
  <c r="I741" i="4" s="1"/>
  <c r="Q741" i="4" s="1"/>
  <c r="J1020" i="4"/>
  <c r="R1020" i="4" s="1"/>
  <c r="S1020" i="4" s="1"/>
  <c r="D1020" i="4"/>
  <c r="E1021" i="4"/>
  <c r="I1021" i="4" s="1"/>
  <c r="Q1021" i="4" s="1"/>
  <c r="E265" i="4"/>
  <c r="I265" i="4" s="1"/>
  <c r="Q265" i="4" s="1"/>
  <c r="J264" i="4"/>
  <c r="R264" i="4" s="1"/>
  <c r="S264" i="4" s="1"/>
  <c r="D264" i="4"/>
  <c r="Y870" i="4" l="1"/>
  <c r="X870" i="4"/>
  <c r="Y263" i="4"/>
  <c r="X263" i="4"/>
  <c r="Y1019" i="4"/>
  <c r="X1019" i="4"/>
  <c r="Y739" i="4"/>
  <c r="X739" i="4"/>
  <c r="R452" i="4"/>
  <c r="S452" i="4" s="1"/>
  <c r="T451" i="4"/>
  <c r="U451" i="4" s="1"/>
  <c r="V451" i="4" s="1"/>
  <c r="W451" i="4" s="1"/>
  <c r="S451" i="4"/>
  <c r="T740" i="4"/>
  <c r="U740" i="4" s="1"/>
  <c r="V740" i="4" s="1"/>
  <c r="W740" i="4" s="1"/>
  <c r="T264" i="4"/>
  <c r="U264" i="4" s="1"/>
  <c r="V264" i="4" s="1"/>
  <c r="W264" i="4" s="1"/>
  <c r="T1020" i="4"/>
  <c r="U1020" i="4" s="1"/>
  <c r="V1020" i="4" s="1"/>
  <c r="W1020" i="4" s="1"/>
  <c r="T871" i="4"/>
  <c r="U871" i="4" s="1"/>
  <c r="V871" i="4" s="1"/>
  <c r="W871" i="4" s="1"/>
  <c r="P740" i="4"/>
  <c r="F265" i="4"/>
  <c r="P264" i="4"/>
  <c r="P1020" i="4"/>
  <c r="P871" i="4"/>
  <c r="P452" i="4"/>
  <c r="I453" i="4"/>
  <c r="Q453" i="4" s="1"/>
  <c r="D453" i="4"/>
  <c r="E454" i="4"/>
  <c r="J453" i="4"/>
  <c r="J741" i="4"/>
  <c r="R741" i="4" s="1"/>
  <c r="S741" i="4" s="1"/>
  <c r="D741" i="4"/>
  <c r="E742" i="4"/>
  <c r="I742" i="4" s="1"/>
  <c r="Q742" i="4" s="1"/>
  <c r="E266" i="4"/>
  <c r="I266" i="4" s="1"/>
  <c r="Q266" i="4" s="1"/>
  <c r="J265" i="4"/>
  <c r="R265" i="4" s="1"/>
  <c r="S265" i="4" s="1"/>
  <c r="D265" i="4"/>
  <c r="J1021" i="4"/>
  <c r="R1021" i="4" s="1"/>
  <c r="S1021" i="4" s="1"/>
  <c r="D1021" i="4"/>
  <c r="E1022" i="4"/>
  <c r="I1022" i="4" s="1"/>
  <c r="Q1022" i="4" s="1"/>
  <c r="E873" i="4"/>
  <c r="I873" i="4" s="1"/>
  <c r="Q873" i="4" s="1"/>
  <c r="J872" i="4"/>
  <c r="R872" i="4" s="1"/>
  <c r="S872" i="4" s="1"/>
  <c r="D872" i="4"/>
  <c r="Y740" i="4" l="1"/>
  <c r="X740" i="4"/>
  <c r="Y871" i="4"/>
  <c r="X871" i="4"/>
  <c r="T452" i="4"/>
  <c r="U452" i="4" s="1"/>
  <c r="V452" i="4" s="1"/>
  <c r="W452" i="4" s="1"/>
  <c r="Y1020" i="4"/>
  <c r="X1020" i="4"/>
  <c r="Y264" i="4"/>
  <c r="X264" i="4"/>
  <c r="Y451" i="4"/>
  <c r="X451" i="4"/>
  <c r="R453" i="4"/>
  <c r="T265" i="4"/>
  <c r="U265" i="4" s="1"/>
  <c r="V265" i="4" s="1"/>
  <c r="W265" i="4" s="1"/>
  <c r="T741" i="4"/>
  <c r="U741" i="4" s="1"/>
  <c r="V741" i="4" s="1"/>
  <c r="W741" i="4" s="1"/>
  <c r="T1021" i="4"/>
  <c r="U1021" i="4" s="1"/>
  <c r="V1021" i="4" s="1"/>
  <c r="W1021" i="4" s="1"/>
  <c r="T872" i="4"/>
  <c r="U872" i="4" s="1"/>
  <c r="V872" i="4" s="1"/>
  <c r="W872" i="4" s="1"/>
  <c r="P265" i="4"/>
  <c r="P741" i="4"/>
  <c r="P453" i="4"/>
  <c r="F266" i="4"/>
  <c r="P872" i="4"/>
  <c r="P1021" i="4"/>
  <c r="I454" i="4"/>
  <c r="Q454" i="4" s="1"/>
  <c r="E455" i="4"/>
  <c r="J454" i="4"/>
  <c r="D454" i="4"/>
  <c r="E267" i="4"/>
  <c r="I267" i="4" s="1"/>
  <c r="Q267" i="4" s="1"/>
  <c r="J266" i="4"/>
  <c r="R266" i="4" s="1"/>
  <c r="S266" i="4" s="1"/>
  <c r="D266" i="4"/>
  <c r="J742" i="4"/>
  <c r="R742" i="4" s="1"/>
  <c r="S742" i="4" s="1"/>
  <c r="E743" i="4"/>
  <c r="I743" i="4" s="1"/>
  <c r="Q743" i="4" s="1"/>
  <c r="D742" i="4"/>
  <c r="E874" i="4"/>
  <c r="I874" i="4" s="1"/>
  <c r="Q874" i="4" s="1"/>
  <c r="J873" i="4"/>
  <c r="R873" i="4" s="1"/>
  <c r="S873" i="4" s="1"/>
  <c r="D873" i="4"/>
  <c r="D1022" i="4"/>
  <c r="J1022" i="4"/>
  <c r="R1022" i="4" s="1"/>
  <c r="S1022" i="4" s="1"/>
  <c r="E1023" i="4"/>
  <c r="I1023" i="4" s="1"/>
  <c r="Q1023" i="4" s="1"/>
  <c r="Y265" i="4" l="1"/>
  <c r="X265" i="4"/>
  <c r="Y452" i="4"/>
  <c r="X452" i="4"/>
  <c r="Y872" i="4"/>
  <c r="X872" i="4"/>
  <c r="Y1021" i="4"/>
  <c r="X1021" i="4"/>
  <c r="Y741" i="4"/>
  <c r="X741" i="4"/>
  <c r="T453" i="4"/>
  <c r="U453" i="4" s="1"/>
  <c r="V453" i="4" s="1"/>
  <c r="W453" i="4" s="1"/>
  <c r="S453" i="4"/>
  <c r="R454" i="4"/>
  <c r="S454" i="4" s="1"/>
  <c r="T266" i="4"/>
  <c r="U266" i="4" s="1"/>
  <c r="V266" i="4" s="1"/>
  <c r="W266" i="4" s="1"/>
  <c r="T742" i="4"/>
  <c r="U742" i="4" s="1"/>
  <c r="V742" i="4" s="1"/>
  <c r="W742" i="4" s="1"/>
  <c r="T1022" i="4"/>
  <c r="U1022" i="4" s="1"/>
  <c r="V1022" i="4" s="1"/>
  <c r="W1022" i="4" s="1"/>
  <c r="T454" i="4"/>
  <c r="U454" i="4" s="1"/>
  <c r="V454" i="4" s="1"/>
  <c r="W454" i="4" s="1"/>
  <c r="T873" i="4"/>
  <c r="U873" i="4" s="1"/>
  <c r="V873" i="4" s="1"/>
  <c r="W873" i="4" s="1"/>
  <c r="P873" i="4"/>
  <c r="P742" i="4"/>
  <c r="F267" i="4"/>
  <c r="P1022" i="4"/>
  <c r="P454" i="4"/>
  <c r="P266" i="4"/>
  <c r="I455" i="4"/>
  <c r="Q455" i="4" s="1"/>
  <c r="J455" i="4"/>
  <c r="D455" i="4"/>
  <c r="E456" i="4"/>
  <c r="J1023" i="4"/>
  <c r="R1023" i="4" s="1"/>
  <c r="S1023" i="4" s="1"/>
  <c r="E1024" i="4"/>
  <c r="I1024" i="4" s="1"/>
  <c r="Q1024" i="4" s="1"/>
  <c r="D1023" i="4"/>
  <c r="J743" i="4"/>
  <c r="R743" i="4" s="1"/>
  <c r="S743" i="4" s="1"/>
  <c r="D743" i="4"/>
  <c r="E744" i="4"/>
  <c r="I744" i="4" s="1"/>
  <c r="Q744" i="4" s="1"/>
  <c r="E875" i="4"/>
  <c r="I875" i="4" s="1"/>
  <c r="Q875" i="4" s="1"/>
  <c r="J874" i="4"/>
  <c r="R874" i="4" s="1"/>
  <c r="S874" i="4" s="1"/>
  <c r="D874" i="4"/>
  <c r="E268" i="4"/>
  <c r="I268" i="4" s="1"/>
  <c r="Q268" i="4" s="1"/>
  <c r="J267" i="4"/>
  <c r="R267" i="4" s="1"/>
  <c r="S267" i="4" s="1"/>
  <c r="D267" i="4"/>
  <c r="Y1022" i="4" l="1"/>
  <c r="X1022" i="4"/>
  <c r="Y742" i="4"/>
  <c r="X742" i="4"/>
  <c r="Y453" i="4"/>
  <c r="X453" i="4"/>
  <c r="Y873" i="4"/>
  <c r="X873" i="4"/>
  <c r="Y266" i="4"/>
  <c r="X266" i="4"/>
  <c r="Y454" i="4"/>
  <c r="X454" i="4"/>
  <c r="R455" i="4"/>
  <c r="S455" i="4" s="1"/>
  <c r="T1023" i="4"/>
  <c r="U1023" i="4" s="1"/>
  <c r="V1023" i="4" s="1"/>
  <c r="W1023" i="4" s="1"/>
  <c r="T874" i="4"/>
  <c r="U874" i="4" s="1"/>
  <c r="V874" i="4" s="1"/>
  <c r="W874" i="4" s="1"/>
  <c r="T743" i="4"/>
  <c r="U743" i="4" s="1"/>
  <c r="V743" i="4" s="1"/>
  <c r="W743" i="4" s="1"/>
  <c r="T267" i="4"/>
  <c r="U267" i="4" s="1"/>
  <c r="V267" i="4" s="1"/>
  <c r="W267" i="4" s="1"/>
  <c r="P1023" i="4"/>
  <c r="P874" i="4"/>
  <c r="P743" i="4"/>
  <c r="P267" i="4"/>
  <c r="P455" i="4"/>
  <c r="F268" i="4"/>
  <c r="I456" i="4"/>
  <c r="Q456" i="4" s="1"/>
  <c r="D456" i="4"/>
  <c r="E457" i="4"/>
  <c r="J456" i="4"/>
  <c r="E876" i="4"/>
  <c r="J875" i="4"/>
  <c r="R875" i="4" s="1"/>
  <c r="S875" i="4" s="1"/>
  <c r="D875" i="4"/>
  <c r="E1025" i="4"/>
  <c r="I1025" i="4" s="1"/>
  <c r="Q1025" i="4" s="1"/>
  <c r="J1024" i="4"/>
  <c r="R1024" i="4" s="1"/>
  <c r="S1024" i="4" s="1"/>
  <c r="D1024" i="4"/>
  <c r="D744" i="4"/>
  <c r="J744" i="4"/>
  <c r="R744" i="4" s="1"/>
  <c r="S744" i="4" s="1"/>
  <c r="E745" i="4"/>
  <c r="I745" i="4" s="1"/>
  <c r="Q745" i="4" s="1"/>
  <c r="E269" i="4"/>
  <c r="I269" i="4" s="1"/>
  <c r="Q269" i="4" s="1"/>
  <c r="J268" i="4"/>
  <c r="R268" i="4" s="1"/>
  <c r="S268" i="4" s="1"/>
  <c r="D268" i="4"/>
  <c r="Y267" i="4" l="1"/>
  <c r="X267" i="4"/>
  <c r="Y743" i="4"/>
  <c r="X743" i="4"/>
  <c r="Y874" i="4"/>
  <c r="X874" i="4"/>
  <c r="Y1023" i="4"/>
  <c r="X1023" i="4"/>
  <c r="R456" i="4"/>
  <c r="S456" i="4" s="1"/>
  <c r="T1024" i="4"/>
  <c r="U1024" i="4" s="1"/>
  <c r="V1024" i="4" s="1"/>
  <c r="W1024" i="4" s="1"/>
  <c r="T744" i="4"/>
  <c r="U744" i="4" s="1"/>
  <c r="V744" i="4" s="1"/>
  <c r="W744" i="4" s="1"/>
  <c r="T268" i="4"/>
  <c r="U268" i="4" s="1"/>
  <c r="V268" i="4" s="1"/>
  <c r="W268" i="4" s="1"/>
  <c r="T875" i="4"/>
  <c r="U875" i="4" s="1"/>
  <c r="V875" i="4" s="1"/>
  <c r="W875" i="4" s="1"/>
  <c r="T455" i="4"/>
  <c r="U455" i="4" s="1"/>
  <c r="V455" i="4" s="1"/>
  <c r="W455" i="4" s="1"/>
  <c r="P1024" i="4"/>
  <c r="P456" i="4"/>
  <c r="F269" i="4"/>
  <c r="F270" i="4" s="1"/>
  <c r="F271" i="4" s="1"/>
  <c r="F272" i="4" s="1"/>
  <c r="F273" i="4" s="1"/>
  <c r="P744" i="4"/>
  <c r="P268" i="4"/>
  <c r="P875" i="4"/>
  <c r="I457" i="4"/>
  <c r="Q457" i="4" s="1"/>
  <c r="J457" i="4"/>
  <c r="E458" i="4"/>
  <c r="D457" i="4"/>
  <c r="I876" i="4"/>
  <c r="Q876" i="4" s="1"/>
  <c r="I877" i="4"/>
  <c r="Q877" i="4" s="1"/>
  <c r="R877" i="4" s="1"/>
  <c r="S877" i="4" s="1"/>
  <c r="J1025" i="4"/>
  <c r="R1025" i="4" s="1"/>
  <c r="S1025" i="4" s="1"/>
  <c r="D1025" i="4"/>
  <c r="E1026" i="4"/>
  <c r="I1026" i="4" s="1"/>
  <c r="Q1026" i="4" s="1"/>
  <c r="I270" i="4"/>
  <c r="Q270" i="4" s="1"/>
  <c r="J269" i="4"/>
  <c r="R269" i="4" s="1"/>
  <c r="S269" i="4" s="1"/>
  <c r="D269" i="4"/>
  <c r="D745" i="4"/>
  <c r="J745" i="4"/>
  <c r="R745" i="4" s="1"/>
  <c r="S745" i="4" s="1"/>
  <c r="E746" i="4"/>
  <c r="J876" i="4"/>
  <c r="D876" i="4"/>
  <c r="Y875" i="4" l="1"/>
  <c r="X875" i="4"/>
  <c r="Y268" i="4"/>
  <c r="X268" i="4"/>
  <c r="Y744" i="4"/>
  <c r="X744" i="4"/>
  <c r="Y455" i="4"/>
  <c r="X455" i="4"/>
  <c r="Y1024" i="4"/>
  <c r="X1024" i="4"/>
  <c r="R876" i="4"/>
  <c r="S876" i="4" s="1"/>
  <c r="R457" i="4"/>
  <c r="S457" i="4" s="1"/>
  <c r="T745" i="4"/>
  <c r="U745" i="4" s="1"/>
  <c r="V745" i="4" s="1"/>
  <c r="W745" i="4" s="1"/>
  <c r="T269" i="4"/>
  <c r="U269" i="4" s="1"/>
  <c r="V269" i="4" s="1"/>
  <c r="W269" i="4" s="1"/>
  <c r="T1025" i="4"/>
  <c r="U1025" i="4" s="1"/>
  <c r="V1025" i="4" s="1"/>
  <c r="W1025" i="4" s="1"/>
  <c r="T456" i="4"/>
  <c r="U456" i="4" s="1"/>
  <c r="V456" i="4" s="1"/>
  <c r="W456" i="4" s="1"/>
  <c r="T877" i="4"/>
  <c r="U877" i="4" s="1"/>
  <c r="V877" i="4" s="1"/>
  <c r="W877" i="4" s="1"/>
  <c r="P745" i="4"/>
  <c r="P876" i="4"/>
  <c r="P269" i="4"/>
  <c r="P1025" i="4"/>
  <c r="P457" i="4"/>
  <c r="I458" i="4"/>
  <c r="Q458" i="4" s="1"/>
  <c r="J458" i="4"/>
  <c r="E459" i="4"/>
  <c r="D458" i="4"/>
  <c r="I746" i="4"/>
  <c r="Q746" i="4" s="1"/>
  <c r="I747" i="4"/>
  <c r="Q747" i="4" s="1"/>
  <c r="R747" i="4" s="1"/>
  <c r="S747" i="4" s="1"/>
  <c r="I271" i="4"/>
  <c r="Q271" i="4" s="1"/>
  <c r="J270" i="4"/>
  <c r="R270" i="4" s="1"/>
  <c r="S270" i="4" s="1"/>
  <c r="D270" i="4"/>
  <c r="J1026" i="4"/>
  <c r="R1026" i="4" s="1"/>
  <c r="S1026" i="4" s="1"/>
  <c r="D1026" i="4"/>
  <c r="E1027" i="4"/>
  <c r="I1027" i="4" s="1"/>
  <c r="Q1027" i="4" s="1"/>
  <c r="J746" i="4"/>
  <c r="R746" i="4" s="1"/>
  <c r="S746" i="4" s="1"/>
  <c r="D746" i="4"/>
  <c r="T457" i="4" l="1"/>
  <c r="U457" i="4" s="1"/>
  <c r="V457" i="4" s="1"/>
  <c r="W457" i="4" s="1"/>
  <c r="Y457" i="4" s="1"/>
  <c r="Y745" i="4"/>
  <c r="X745" i="4"/>
  <c r="Y456" i="4"/>
  <c r="X456" i="4"/>
  <c r="Y1025" i="4"/>
  <c r="X1025" i="4"/>
  <c r="Y269" i="4"/>
  <c r="X269" i="4"/>
  <c r="Y877" i="4"/>
  <c r="X877" i="4"/>
  <c r="R458" i="4"/>
  <c r="S458" i="4" s="1"/>
  <c r="T1026" i="4"/>
  <c r="U1026" i="4" s="1"/>
  <c r="V1026" i="4" s="1"/>
  <c r="W1026" i="4" s="1"/>
  <c r="T270" i="4"/>
  <c r="U270" i="4" s="1"/>
  <c r="V270" i="4" s="1"/>
  <c r="W270" i="4" s="1"/>
  <c r="T876" i="4"/>
  <c r="U876" i="4" s="1"/>
  <c r="V876" i="4" s="1"/>
  <c r="W876" i="4" s="1"/>
  <c r="T458" i="4"/>
  <c r="U458" i="4" s="1"/>
  <c r="V458" i="4" s="1"/>
  <c r="W458" i="4" s="1"/>
  <c r="T747" i="4"/>
  <c r="U747" i="4" s="1"/>
  <c r="V747" i="4" s="1"/>
  <c r="W747" i="4" s="1"/>
  <c r="T746" i="4"/>
  <c r="U746" i="4" s="1"/>
  <c r="V746" i="4" s="1"/>
  <c r="W746" i="4" s="1"/>
  <c r="P270" i="4"/>
  <c r="P746" i="4"/>
  <c r="P1026" i="4"/>
  <c r="P458" i="4"/>
  <c r="I459" i="4"/>
  <c r="Q459" i="4" s="1"/>
  <c r="J459" i="4"/>
  <c r="D459" i="4"/>
  <c r="E460" i="4"/>
  <c r="J1027" i="4"/>
  <c r="R1027" i="4" s="1"/>
  <c r="S1027" i="4" s="1"/>
  <c r="E1028" i="4"/>
  <c r="I1028" i="4" s="1"/>
  <c r="Q1028" i="4" s="1"/>
  <c r="D1027" i="4"/>
  <c r="I272" i="4"/>
  <c r="Q272" i="4" s="1"/>
  <c r="J271" i="4"/>
  <c r="R271" i="4" s="1"/>
  <c r="S271" i="4" s="1"/>
  <c r="D271" i="4"/>
  <c r="X457" i="4" l="1"/>
  <c r="Y876" i="4"/>
  <c r="X876" i="4"/>
  <c r="Y746" i="4"/>
  <c r="X746" i="4"/>
  <c r="Y270" i="4"/>
  <c r="X270" i="4"/>
  <c r="Y747" i="4"/>
  <c r="X747" i="4"/>
  <c r="Y1026" i="4"/>
  <c r="X1026" i="4"/>
  <c r="Y458" i="4"/>
  <c r="X458" i="4"/>
  <c r="R459" i="4"/>
  <c r="T271" i="4"/>
  <c r="U271" i="4" s="1"/>
  <c r="V271" i="4" s="1"/>
  <c r="W271" i="4" s="1"/>
  <c r="T1027" i="4"/>
  <c r="U1027" i="4" s="1"/>
  <c r="V1027" i="4" s="1"/>
  <c r="W1027" i="4" s="1"/>
  <c r="P459" i="4"/>
  <c r="P271" i="4"/>
  <c r="P1027" i="4"/>
  <c r="I460" i="4"/>
  <c r="Q460" i="4" s="1"/>
  <c r="D460" i="4"/>
  <c r="J460" i="4"/>
  <c r="E461" i="4"/>
  <c r="J1028" i="4"/>
  <c r="R1028" i="4" s="1"/>
  <c r="S1028" i="4" s="1"/>
  <c r="D1028" i="4"/>
  <c r="E1029" i="4"/>
  <c r="I1029" i="4" s="1"/>
  <c r="Q1029" i="4" s="1"/>
  <c r="I273" i="4"/>
  <c r="Q273" i="4" s="1"/>
  <c r="J272" i="4"/>
  <c r="R272" i="4" s="1"/>
  <c r="S272" i="4" s="1"/>
  <c r="D272" i="4"/>
  <c r="Y1027" i="4" l="1"/>
  <c r="X1027" i="4"/>
  <c r="Y271" i="4"/>
  <c r="X271" i="4"/>
  <c r="T459" i="4"/>
  <c r="U459" i="4" s="1"/>
  <c r="V459" i="4" s="1"/>
  <c r="W459" i="4" s="1"/>
  <c r="S459" i="4"/>
  <c r="R460" i="4"/>
  <c r="S460" i="4" s="1"/>
  <c r="T272" i="4"/>
  <c r="U272" i="4" s="1"/>
  <c r="V272" i="4" s="1"/>
  <c r="W272" i="4" s="1"/>
  <c r="T1028" i="4"/>
  <c r="U1028" i="4" s="1"/>
  <c r="V1028" i="4" s="1"/>
  <c r="W1028" i="4" s="1"/>
  <c r="P272" i="4"/>
  <c r="P1028" i="4"/>
  <c r="P460" i="4"/>
  <c r="I461" i="4"/>
  <c r="Q461" i="4" s="1"/>
  <c r="D461" i="4"/>
  <c r="J461" i="4"/>
  <c r="E462" i="4"/>
  <c r="E274" i="4"/>
  <c r="J273" i="4"/>
  <c r="R273" i="4" s="1"/>
  <c r="S273" i="4" s="1"/>
  <c r="D273" i="4"/>
  <c r="J1029" i="4"/>
  <c r="R1029" i="4" s="1"/>
  <c r="S1029" i="4" s="1"/>
  <c r="D1029" i="4"/>
  <c r="E1030" i="4"/>
  <c r="I1030" i="4" s="1"/>
  <c r="Q1030" i="4" s="1"/>
  <c r="Y272" i="4" l="1"/>
  <c r="X272" i="4"/>
  <c r="Y1028" i="4"/>
  <c r="X1028" i="4"/>
  <c r="Y459" i="4"/>
  <c r="X459" i="4"/>
  <c r="R461" i="4"/>
  <c r="T273" i="4"/>
  <c r="U273" i="4" s="1"/>
  <c r="V273" i="4" s="1"/>
  <c r="W273" i="4" s="1"/>
  <c r="T460" i="4"/>
  <c r="U460" i="4" s="1"/>
  <c r="V460" i="4" s="1"/>
  <c r="W460" i="4" s="1"/>
  <c r="T1029" i="4"/>
  <c r="U1029" i="4" s="1"/>
  <c r="V1029" i="4" s="1"/>
  <c r="W1029" i="4" s="1"/>
  <c r="P273" i="4"/>
  <c r="P1029" i="4"/>
  <c r="I274" i="4"/>
  <c r="Q274" i="4" s="1"/>
  <c r="F274" i="4"/>
  <c r="P461" i="4"/>
  <c r="I462" i="4"/>
  <c r="Q462" i="4" s="1"/>
  <c r="D462" i="4"/>
  <c r="E463" i="4"/>
  <c r="J462" i="4"/>
  <c r="J1030" i="4"/>
  <c r="R1030" i="4" s="1"/>
  <c r="S1030" i="4" s="1"/>
  <c r="E1031" i="4"/>
  <c r="I1031" i="4" s="1"/>
  <c r="Q1031" i="4" s="1"/>
  <c r="D1030" i="4"/>
  <c r="E275" i="4"/>
  <c r="I275" i="4" s="1"/>
  <c r="Q275" i="4" s="1"/>
  <c r="J274" i="4"/>
  <c r="D274" i="4"/>
  <c r="Y273" i="4" l="1"/>
  <c r="X273" i="4"/>
  <c r="Y1029" i="4"/>
  <c r="X1029" i="4"/>
  <c r="Y460" i="4"/>
  <c r="X460" i="4"/>
  <c r="T461" i="4"/>
  <c r="U461" i="4" s="1"/>
  <c r="V461" i="4" s="1"/>
  <c r="W461" i="4" s="1"/>
  <c r="S461" i="4"/>
  <c r="R274" i="4"/>
  <c r="S274" i="4" s="1"/>
  <c r="R462" i="4"/>
  <c r="S462" i="4" s="1"/>
  <c r="T1030" i="4"/>
  <c r="U1030" i="4" s="1"/>
  <c r="V1030" i="4" s="1"/>
  <c r="W1030" i="4" s="1"/>
  <c r="P462" i="4"/>
  <c r="F275" i="4"/>
  <c r="P274" i="4"/>
  <c r="P1030" i="4"/>
  <c r="I463" i="4"/>
  <c r="Q463" i="4" s="1"/>
  <c r="D463" i="4"/>
  <c r="E464" i="4"/>
  <c r="J463" i="4"/>
  <c r="J1031" i="4"/>
  <c r="R1031" i="4" s="1"/>
  <c r="S1031" i="4" s="1"/>
  <c r="E1032" i="4"/>
  <c r="I1032" i="4" s="1"/>
  <c r="Q1032" i="4" s="1"/>
  <c r="D1031" i="4"/>
  <c r="E276" i="4"/>
  <c r="I276" i="4" s="1"/>
  <c r="Q276" i="4" s="1"/>
  <c r="J275" i="4"/>
  <c r="R275" i="4" s="1"/>
  <c r="S275" i="4" s="1"/>
  <c r="D275" i="4"/>
  <c r="Y461" i="4" l="1"/>
  <c r="X461" i="4"/>
  <c r="Y1030" i="4"/>
  <c r="X1030" i="4"/>
  <c r="R463" i="4"/>
  <c r="S463" i="4" s="1"/>
  <c r="T274" i="4"/>
  <c r="U274" i="4" s="1"/>
  <c r="V274" i="4" s="1"/>
  <c r="W274" i="4" s="1"/>
  <c r="T275" i="4"/>
  <c r="U275" i="4" s="1"/>
  <c r="V275" i="4" s="1"/>
  <c r="W275" i="4" s="1"/>
  <c r="T462" i="4"/>
  <c r="U462" i="4" s="1"/>
  <c r="V462" i="4" s="1"/>
  <c r="W462" i="4" s="1"/>
  <c r="T1031" i="4"/>
  <c r="U1031" i="4" s="1"/>
  <c r="V1031" i="4" s="1"/>
  <c r="W1031" i="4" s="1"/>
  <c r="P463" i="4"/>
  <c r="F276" i="4"/>
  <c r="P275" i="4"/>
  <c r="P1031" i="4"/>
  <c r="I464" i="4"/>
  <c r="Q464" i="4" s="1"/>
  <c r="D464" i="4"/>
  <c r="E465" i="4"/>
  <c r="J464" i="4"/>
  <c r="E277" i="4"/>
  <c r="I277" i="4" s="1"/>
  <c r="Q277" i="4" s="1"/>
  <c r="J276" i="4"/>
  <c r="R276" i="4" s="1"/>
  <c r="S276" i="4" s="1"/>
  <c r="D276" i="4"/>
  <c r="J1032" i="4"/>
  <c r="R1032" i="4" s="1"/>
  <c r="S1032" i="4" s="1"/>
  <c r="D1032" i="4"/>
  <c r="E1033" i="4"/>
  <c r="I1033" i="4" s="1"/>
  <c r="Q1033" i="4" s="1"/>
  <c r="Y462" i="4" l="1"/>
  <c r="X462" i="4"/>
  <c r="Y275" i="4"/>
  <c r="X275" i="4"/>
  <c r="Y274" i="4"/>
  <c r="X274" i="4"/>
  <c r="Y1031" i="4"/>
  <c r="X1031" i="4"/>
  <c r="R464" i="4"/>
  <c r="S464" i="4" s="1"/>
  <c r="T463" i="4"/>
  <c r="U463" i="4" s="1"/>
  <c r="V463" i="4" s="1"/>
  <c r="W463" i="4" s="1"/>
  <c r="T1032" i="4"/>
  <c r="U1032" i="4" s="1"/>
  <c r="V1032" i="4" s="1"/>
  <c r="W1032" i="4" s="1"/>
  <c r="T276" i="4"/>
  <c r="U276" i="4" s="1"/>
  <c r="V276" i="4" s="1"/>
  <c r="W276" i="4" s="1"/>
  <c r="P464" i="4"/>
  <c r="F277" i="4"/>
  <c r="P1032" i="4"/>
  <c r="P276" i="4"/>
  <c r="I465" i="4"/>
  <c r="Q465" i="4" s="1"/>
  <c r="E466" i="4"/>
  <c r="D465" i="4"/>
  <c r="J465" i="4"/>
  <c r="J1033" i="4"/>
  <c r="R1033" i="4" s="1"/>
  <c r="S1033" i="4" s="1"/>
  <c r="D1033" i="4"/>
  <c r="E1034" i="4"/>
  <c r="I1034" i="4" s="1"/>
  <c r="Q1034" i="4" s="1"/>
  <c r="E278" i="4"/>
  <c r="I278" i="4" s="1"/>
  <c r="Q278" i="4" s="1"/>
  <c r="J277" i="4"/>
  <c r="R277" i="4" s="1"/>
  <c r="S277" i="4" s="1"/>
  <c r="D277" i="4"/>
  <c r="R465" i="4" l="1"/>
  <c r="S465" i="4" s="1"/>
  <c r="Y276" i="4"/>
  <c r="X276" i="4"/>
  <c r="Y1032" i="4"/>
  <c r="X1032" i="4"/>
  <c r="Y463" i="4"/>
  <c r="X463" i="4"/>
  <c r="T464" i="4"/>
  <c r="U464" i="4" s="1"/>
  <c r="V464" i="4" s="1"/>
  <c r="W464" i="4" s="1"/>
  <c r="T277" i="4"/>
  <c r="U277" i="4" s="1"/>
  <c r="V277" i="4" s="1"/>
  <c r="W277" i="4" s="1"/>
  <c r="T1033" i="4"/>
  <c r="U1033" i="4" s="1"/>
  <c r="V1033" i="4" s="1"/>
  <c r="W1033" i="4" s="1"/>
  <c r="F278" i="4"/>
  <c r="P277" i="4"/>
  <c r="P465" i="4"/>
  <c r="P1033" i="4"/>
  <c r="I466" i="4"/>
  <c r="Q466" i="4" s="1"/>
  <c r="E467" i="4"/>
  <c r="D466" i="4"/>
  <c r="J466" i="4"/>
  <c r="J1034" i="4"/>
  <c r="R1034" i="4" s="1"/>
  <c r="S1034" i="4" s="1"/>
  <c r="E1035" i="4"/>
  <c r="I1035" i="4" s="1"/>
  <c r="Q1035" i="4" s="1"/>
  <c r="D1034" i="4"/>
  <c r="E279" i="4"/>
  <c r="I279" i="4" s="1"/>
  <c r="Q279" i="4" s="1"/>
  <c r="J278" i="4"/>
  <c r="R278" i="4" s="1"/>
  <c r="S278" i="4" s="1"/>
  <c r="D278" i="4"/>
  <c r="T465" i="4" l="1"/>
  <c r="U465" i="4" s="1"/>
  <c r="V465" i="4" s="1"/>
  <c r="W465" i="4" s="1"/>
  <c r="X465" i="4" s="1"/>
  <c r="Y277" i="4"/>
  <c r="X277" i="4"/>
  <c r="Y464" i="4"/>
  <c r="X464" i="4"/>
  <c r="Y1033" i="4"/>
  <c r="X1033" i="4"/>
  <c r="R466" i="4"/>
  <c r="S466" i="4" s="1"/>
  <c r="T278" i="4"/>
  <c r="U278" i="4" s="1"/>
  <c r="V278" i="4" s="1"/>
  <c r="W278" i="4" s="1"/>
  <c r="T1034" i="4"/>
  <c r="U1034" i="4" s="1"/>
  <c r="V1034" i="4" s="1"/>
  <c r="W1034" i="4" s="1"/>
  <c r="P278" i="4"/>
  <c r="P1034" i="4"/>
  <c r="P466" i="4"/>
  <c r="F279" i="4"/>
  <c r="I467" i="4"/>
  <c r="Q467" i="4" s="1"/>
  <c r="E468" i="4"/>
  <c r="J467" i="4"/>
  <c r="D467" i="4"/>
  <c r="E280" i="4"/>
  <c r="I280" i="4" s="1"/>
  <c r="Q280" i="4" s="1"/>
  <c r="J279" i="4"/>
  <c r="R279" i="4" s="1"/>
  <c r="S279" i="4" s="1"/>
  <c r="D279" i="4"/>
  <c r="J1035" i="4"/>
  <c r="R1035" i="4" s="1"/>
  <c r="S1035" i="4" s="1"/>
  <c r="E1036" i="4"/>
  <c r="I1036" i="4" s="1"/>
  <c r="Q1036" i="4" s="1"/>
  <c r="D1035" i="4"/>
  <c r="Y465" i="4" l="1"/>
  <c r="T466" i="4"/>
  <c r="U466" i="4" s="1"/>
  <c r="V466" i="4" s="1"/>
  <c r="W466" i="4" s="1"/>
  <c r="Y466" i="4" s="1"/>
  <c r="Y1034" i="4"/>
  <c r="X1034" i="4"/>
  <c r="Y278" i="4"/>
  <c r="X278" i="4"/>
  <c r="R467" i="4"/>
  <c r="S467" i="4" s="1"/>
  <c r="T279" i="4"/>
  <c r="U279" i="4" s="1"/>
  <c r="V279" i="4" s="1"/>
  <c r="W279" i="4" s="1"/>
  <c r="T1035" i="4"/>
  <c r="U1035" i="4" s="1"/>
  <c r="V1035" i="4" s="1"/>
  <c r="W1035" i="4" s="1"/>
  <c r="P1035" i="4"/>
  <c r="F280" i="4"/>
  <c r="P467" i="4"/>
  <c r="P279" i="4"/>
  <c r="I468" i="4"/>
  <c r="Q468" i="4" s="1"/>
  <c r="J468" i="4"/>
  <c r="D468" i="4"/>
  <c r="E469" i="4"/>
  <c r="D1036" i="4"/>
  <c r="J1036" i="4"/>
  <c r="R1036" i="4" s="1"/>
  <c r="S1036" i="4" s="1"/>
  <c r="E1037" i="4"/>
  <c r="I1037" i="4" s="1"/>
  <c r="Q1037" i="4" s="1"/>
  <c r="E281" i="4"/>
  <c r="I281" i="4" s="1"/>
  <c r="Q281" i="4" s="1"/>
  <c r="J280" i="4"/>
  <c r="R280" i="4" s="1"/>
  <c r="S280" i="4" s="1"/>
  <c r="D280" i="4"/>
  <c r="X466" i="4" l="1"/>
  <c r="Y279" i="4"/>
  <c r="X279" i="4"/>
  <c r="Y1035" i="4"/>
  <c r="X1035" i="4"/>
  <c r="R468" i="4"/>
  <c r="S468" i="4" s="1"/>
  <c r="T1036" i="4"/>
  <c r="U1036" i="4" s="1"/>
  <c r="V1036" i="4" s="1"/>
  <c r="W1036" i="4" s="1"/>
  <c r="T467" i="4"/>
  <c r="U467" i="4" s="1"/>
  <c r="V467" i="4" s="1"/>
  <c r="W467" i="4" s="1"/>
  <c r="T280" i="4"/>
  <c r="U280" i="4" s="1"/>
  <c r="V280" i="4" s="1"/>
  <c r="W280" i="4" s="1"/>
  <c r="P280" i="4"/>
  <c r="F281" i="4"/>
  <c r="P1036" i="4"/>
  <c r="P468" i="4"/>
  <c r="I469" i="4"/>
  <c r="Q469" i="4" s="1"/>
  <c r="D469" i="4"/>
  <c r="E470" i="4"/>
  <c r="J469" i="4"/>
  <c r="J1037" i="4"/>
  <c r="R1037" i="4" s="1"/>
  <c r="S1037" i="4" s="1"/>
  <c r="D1037" i="4"/>
  <c r="E1038" i="4"/>
  <c r="I1038" i="4" s="1"/>
  <c r="Q1038" i="4" s="1"/>
  <c r="E282" i="4"/>
  <c r="I282" i="4" s="1"/>
  <c r="Q282" i="4" s="1"/>
  <c r="J281" i="4"/>
  <c r="R281" i="4" s="1"/>
  <c r="S281" i="4" s="1"/>
  <c r="D281" i="4"/>
  <c r="R469" i="4" l="1"/>
  <c r="S469" i="4" s="1"/>
  <c r="Y280" i="4"/>
  <c r="X280" i="4"/>
  <c r="Y467" i="4"/>
  <c r="X467" i="4"/>
  <c r="Y1036" i="4"/>
  <c r="X1036" i="4"/>
  <c r="T468" i="4"/>
  <c r="U468" i="4" s="1"/>
  <c r="V468" i="4" s="1"/>
  <c r="W468" i="4" s="1"/>
  <c r="T281" i="4"/>
  <c r="U281" i="4" s="1"/>
  <c r="V281" i="4" s="1"/>
  <c r="W281" i="4" s="1"/>
  <c r="T1037" i="4"/>
  <c r="U1037" i="4" s="1"/>
  <c r="V1037" i="4" s="1"/>
  <c r="W1037" i="4" s="1"/>
  <c r="P1037" i="4"/>
  <c r="F282" i="4"/>
  <c r="P281" i="4"/>
  <c r="P469" i="4"/>
  <c r="I470" i="4"/>
  <c r="Q470" i="4" s="1"/>
  <c r="E471" i="4"/>
  <c r="D470" i="4"/>
  <c r="J470" i="4"/>
  <c r="E1039" i="4"/>
  <c r="I1039" i="4" s="1"/>
  <c r="Q1039" i="4" s="1"/>
  <c r="J1038" i="4"/>
  <c r="R1038" i="4" s="1"/>
  <c r="S1038" i="4" s="1"/>
  <c r="D1038" i="4"/>
  <c r="E283" i="4"/>
  <c r="I283" i="4" s="1"/>
  <c r="Q283" i="4" s="1"/>
  <c r="J282" i="4"/>
  <c r="R282" i="4" s="1"/>
  <c r="S282" i="4" s="1"/>
  <c r="D282" i="4"/>
  <c r="T469" i="4" l="1"/>
  <c r="U469" i="4" s="1"/>
  <c r="V469" i="4" s="1"/>
  <c r="W469" i="4" s="1"/>
  <c r="Y469" i="4" s="1"/>
  <c r="Y468" i="4"/>
  <c r="X468" i="4"/>
  <c r="Y1037" i="4"/>
  <c r="X1037" i="4"/>
  <c r="Y281" i="4"/>
  <c r="X281" i="4"/>
  <c r="R470" i="4"/>
  <c r="S470" i="4" s="1"/>
  <c r="T282" i="4"/>
  <c r="U282" i="4" s="1"/>
  <c r="V282" i="4" s="1"/>
  <c r="W282" i="4" s="1"/>
  <c r="T1038" i="4"/>
  <c r="U1038" i="4" s="1"/>
  <c r="V1038" i="4" s="1"/>
  <c r="W1038" i="4" s="1"/>
  <c r="F283" i="4"/>
  <c r="P282" i="4"/>
  <c r="P470" i="4"/>
  <c r="P1038" i="4"/>
  <c r="I471" i="4"/>
  <c r="Q471" i="4" s="1"/>
  <c r="J471" i="4"/>
  <c r="D471" i="4"/>
  <c r="E472" i="4"/>
  <c r="E284" i="4"/>
  <c r="I284" i="4" s="1"/>
  <c r="Q284" i="4" s="1"/>
  <c r="J283" i="4"/>
  <c r="R283" i="4" s="1"/>
  <c r="S283" i="4" s="1"/>
  <c r="D283" i="4"/>
  <c r="J1039" i="4"/>
  <c r="R1039" i="4" s="1"/>
  <c r="S1039" i="4" s="1"/>
  <c r="E1040" i="4"/>
  <c r="I1040" i="4" s="1"/>
  <c r="Q1040" i="4" s="1"/>
  <c r="D1039" i="4"/>
  <c r="X469" i="4" l="1"/>
  <c r="T470" i="4"/>
  <c r="U470" i="4" s="1"/>
  <c r="V470" i="4" s="1"/>
  <c r="W470" i="4" s="1"/>
  <c r="Y470" i="4" s="1"/>
  <c r="R471" i="4"/>
  <c r="S471" i="4" s="1"/>
  <c r="Y1038" i="4"/>
  <c r="X1038" i="4"/>
  <c r="Y282" i="4"/>
  <c r="X282" i="4"/>
  <c r="T283" i="4"/>
  <c r="U283" i="4" s="1"/>
  <c r="V283" i="4" s="1"/>
  <c r="W283" i="4" s="1"/>
  <c r="T1039" i="4"/>
  <c r="U1039" i="4" s="1"/>
  <c r="V1039" i="4" s="1"/>
  <c r="W1039" i="4" s="1"/>
  <c r="P1039" i="4"/>
  <c r="P283" i="4"/>
  <c r="P471" i="4"/>
  <c r="F284" i="4"/>
  <c r="I472" i="4"/>
  <c r="Q472" i="4" s="1"/>
  <c r="E473" i="4"/>
  <c r="J472" i="4"/>
  <c r="D472" i="4"/>
  <c r="E1041" i="4"/>
  <c r="I1041" i="4" s="1"/>
  <c r="Q1041" i="4" s="1"/>
  <c r="J1040" i="4"/>
  <c r="R1040" i="4" s="1"/>
  <c r="S1040" i="4" s="1"/>
  <c r="D1040" i="4"/>
  <c r="E285" i="4"/>
  <c r="I285" i="4" s="1"/>
  <c r="Q285" i="4" s="1"/>
  <c r="J284" i="4"/>
  <c r="R284" i="4" s="1"/>
  <c r="S284" i="4" s="1"/>
  <c r="D284" i="4"/>
  <c r="X470" i="4" l="1"/>
  <c r="T471" i="4"/>
  <c r="U471" i="4" s="1"/>
  <c r="V471" i="4" s="1"/>
  <c r="W471" i="4" s="1"/>
  <c r="Y471" i="4" s="1"/>
  <c r="Y283" i="4"/>
  <c r="X283" i="4"/>
  <c r="Y1039" i="4"/>
  <c r="X1039" i="4"/>
  <c r="R472" i="4"/>
  <c r="S472" i="4" s="1"/>
  <c r="T1040" i="4"/>
  <c r="U1040" i="4" s="1"/>
  <c r="V1040" i="4" s="1"/>
  <c r="W1040" i="4" s="1"/>
  <c r="T284" i="4"/>
  <c r="U284" i="4" s="1"/>
  <c r="V284" i="4" s="1"/>
  <c r="W284" i="4" s="1"/>
  <c r="F285" i="4"/>
  <c r="P284" i="4"/>
  <c r="P472" i="4"/>
  <c r="P1040" i="4"/>
  <c r="I473" i="4"/>
  <c r="Q473" i="4" s="1"/>
  <c r="J473" i="4"/>
  <c r="E474" i="4"/>
  <c r="D473" i="4"/>
  <c r="E286" i="4"/>
  <c r="I286" i="4" s="1"/>
  <c r="Q286" i="4" s="1"/>
  <c r="J285" i="4"/>
  <c r="R285" i="4" s="1"/>
  <c r="S285" i="4" s="1"/>
  <c r="D285" i="4"/>
  <c r="E1042" i="4"/>
  <c r="I1042" i="4" s="1"/>
  <c r="Q1042" i="4" s="1"/>
  <c r="J1041" i="4"/>
  <c r="R1041" i="4" s="1"/>
  <c r="S1041" i="4" s="1"/>
  <c r="D1041" i="4"/>
  <c r="R473" i="4" l="1"/>
  <c r="S473" i="4" s="1"/>
  <c r="T472" i="4"/>
  <c r="U472" i="4" s="1"/>
  <c r="V472" i="4" s="1"/>
  <c r="W472" i="4" s="1"/>
  <c r="X472" i="4" s="1"/>
  <c r="X471" i="4"/>
  <c r="Y284" i="4"/>
  <c r="X284" i="4"/>
  <c r="Y1040" i="4"/>
  <c r="X1040" i="4"/>
  <c r="T1041" i="4"/>
  <c r="U1041" i="4" s="1"/>
  <c r="V1041" i="4" s="1"/>
  <c r="W1041" i="4" s="1"/>
  <c r="T285" i="4"/>
  <c r="U285" i="4" s="1"/>
  <c r="V285" i="4" s="1"/>
  <c r="W285" i="4" s="1"/>
  <c r="P1041" i="4"/>
  <c r="P285" i="4"/>
  <c r="P473" i="4"/>
  <c r="F286" i="4"/>
  <c r="I474" i="4"/>
  <c r="Q474" i="4" s="1"/>
  <c r="J474" i="4"/>
  <c r="E475" i="4"/>
  <c r="D474" i="4"/>
  <c r="E1043" i="4"/>
  <c r="I1043" i="4" s="1"/>
  <c r="Q1043" i="4" s="1"/>
  <c r="J1042" i="4"/>
  <c r="R1042" i="4" s="1"/>
  <c r="S1042" i="4" s="1"/>
  <c r="D1042" i="4"/>
  <c r="E287" i="4"/>
  <c r="I287" i="4" s="1"/>
  <c r="Q287" i="4" s="1"/>
  <c r="J286" i="4"/>
  <c r="R286" i="4" s="1"/>
  <c r="S286" i="4" s="1"/>
  <c r="D286" i="4"/>
  <c r="Y472" i="4" l="1"/>
  <c r="Y285" i="4"/>
  <c r="X285" i="4"/>
  <c r="Y1041" i="4"/>
  <c r="X1041" i="4"/>
  <c r="R474" i="4"/>
  <c r="T286" i="4"/>
  <c r="U286" i="4" s="1"/>
  <c r="V286" i="4" s="1"/>
  <c r="W286" i="4" s="1"/>
  <c r="T473" i="4"/>
  <c r="U473" i="4" s="1"/>
  <c r="V473" i="4" s="1"/>
  <c r="W473" i="4" s="1"/>
  <c r="T1042" i="4"/>
  <c r="U1042" i="4" s="1"/>
  <c r="V1042" i="4" s="1"/>
  <c r="W1042" i="4" s="1"/>
  <c r="F287" i="4"/>
  <c r="F288" i="4" s="1"/>
  <c r="F289" i="4" s="1"/>
  <c r="F290" i="4" s="1"/>
  <c r="F291" i="4" s="1"/>
  <c r="P286" i="4"/>
  <c r="P1042" i="4"/>
  <c r="P474" i="4"/>
  <c r="I475" i="4"/>
  <c r="Q475" i="4" s="1"/>
  <c r="E476" i="4"/>
  <c r="D475" i="4"/>
  <c r="J475" i="4"/>
  <c r="I288" i="4"/>
  <c r="Q288" i="4" s="1"/>
  <c r="J287" i="4"/>
  <c r="R287" i="4" s="1"/>
  <c r="S287" i="4" s="1"/>
  <c r="D287" i="4"/>
  <c r="E1044" i="4"/>
  <c r="I1044" i="4" s="1"/>
  <c r="Q1044" i="4" s="1"/>
  <c r="J1043" i="4"/>
  <c r="R1043" i="4" s="1"/>
  <c r="S1043" i="4" s="1"/>
  <c r="D1043" i="4"/>
  <c r="Y1042" i="4" l="1"/>
  <c r="X1042" i="4"/>
  <c r="Y473" i="4"/>
  <c r="X473" i="4"/>
  <c r="Y286" i="4"/>
  <c r="X286" i="4"/>
  <c r="T474" i="4"/>
  <c r="U474" i="4" s="1"/>
  <c r="V474" i="4" s="1"/>
  <c r="W474" i="4" s="1"/>
  <c r="S474" i="4"/>
  <c r="R475" i="4"/>
  <c r="T287" i="4"/>
  <c r="U287" i="4" s="1"/>
  <c r="V287" i="4" s="1"/>
  <c r="W287" i="4" s="1"/>
  <c r="T1043" i="4"/>
  <c r="U1043" i="4" s="1"/>
  <c r="V1043" i="4" s="1"/>
  <c r="W1043" i="4" s="1"/>
  <c r="P1043" i="4"/>
  <c r="P475" i="4"/>
  <c r="P287" i="4"/>
  <c r="I476" i="4"/>
  <c r="Q476" i="4" s="1"/>
  <c r="E477" i="4"/>
  <c r="J476" i="4"/>
  <c r="D476" i="4"/>
  <c r="E1045" i="4"/>
  <c r="I1045" i="4" s="1"/>
  <c r="Q1045" i="4" s="1"/>
  <c r="J1044" i="4"/>
  <c r="R1044" i="4" s="1"/>
  <c r="S1044" i="4" s="1"/>
  <c r="D1044" i="4"/>
  <c r="I289" i="4"/>
  <c r="Q289" i="4" s="1"/>
  <c r="J288" i="4"/>
  <c r="R288" i="4" s="1"/>
  <c r="S288" i="4" s="1"/>
  <c r="D288" i="4"/>
  <c r="Y474" i="4" l="1"/>
  <c r="X474" i="4"/>
  <c r="Y287" i="4"/>
  <c r="X287" i="4"/>
  <c r="Y1043" i="4"/>
  <c r="X1043" i="4"/>
  <c r="T475" i="4"/>
  <c r="U475" i="4" s="1"/>
  <c r="V475" i="4" s="1"/>
  <c r="W475" i="4" s="1"/>
  <c r="S475" i="4"/>
  <c r="R476" i="4"/>
  <c r="S476" i="4" s="1"/>
  <c r="T288" i="4"/>
  <c r="U288" i="4" s="1"/>
  <c r="V288" i="4" s="1"/>
  <c r="W288" i="4" s="1"/>
  <c r="T1044" i="4"/>
  <c r="U1044" i="4" s="1"/>
  <c r="V1044" i="4" s="1"/>
  <c r="W1044" i="4" s="1"/>
  <c r="P288" i="4"/>
  <c r="P476" i="4"/>
  <c r="P1044" i="4"/>
  <c r="I477" i="4"/>
  <c r="Q477" i="4" s="1"/>
  <c r="J477" i="4"/>
  <c r="D477" i="4"/>
  <c r="E478" i="4"/>
  <c r="E1046" i="4"/>
  <c r="I1046" i="4" s="1"/>
  <c r="Q1046" i="4" s="1"/>
  <c r="J1045" i="4"/>
  <c r="R1045" i="4" s="1"/>
  <c r="S1045" i="4" s="1"/>
  <c r="D1045" i="4"/>
  <c r="I290" i="4"/>
  <c r="Q290" i="4" s="1"/>
  <c r="J289" i="4"/>
  <c r="R289" i="4" s="1"/>
  <c r="S289" i="4" s="1"/>
  <c r="D289" i="4"/>
  <c r="Y475" i="4" l="1"/>
  <c r="X475" i="4"/>
  <c r="Y288" i="4"/>
  <c r="X288" i="4"/>
  <c r="Y1044" i="4"/>
  <c r="X1044" i="4"/>
  <c r="R477" i="4"/>
  <c r="T1045" i="4"/>
  <c r="U1045" i="4" s="1"/>
  <c r="V1045" i="4" s="1"/>
  <c r="W1045" i="4" s="1"/>
  <c r="T289" i="4"/>
  <c r="U289" i="4" s="1"/>
  <c r="V289" i="4" s="1"/>
  <c r="W289" i="4" s="1"/>
  <c r="T476" i="4"/>
  <c r="U476" i="4" s="1"/>
  <c r="V476" i="4" s="1"/>
  <c r="W476" i="4" s="1"/>
  <c r="P1045" i="4"/>
  <c r="P477" i="4"/>
  <c r="P289" i="4"/>
  <c r="I478" i="4"/>
  <c r="Q478" i="4" s="1"/>
  <c r="E479" i="4"/>
  <c r="J478" i="4"/>
  <c r="D478" i="4"/>
  <c r="I291" i="4"/>
  <c r="Q291" i="4" s="1"/>
  <c r="J290" i="4"/>
  <c r="R290" i="4" s="1"/>
  <c r="S290" i="4" s="1"/>
  <c r="D290" i="4"/>
  <c r="E1047" i="4"/>
  <c r="I1047" i="4" s="1"/>
  <c r="Q1047" i="4" s="1"/>
  <c r="J1046" i="4"/>
  <c r="R1046" i="4" s="1"/>
  <c r="S1046" i="4" s="1"/>
  <c r="D1046" i="4"/>
  <c r="Y1045" i="4" l="1"/>
  <c r="X1045" i="4"/>
  <c r="Y476" i="4"/>
  <c r="X476" i="4"/>
  <c r="Y289" i="4"/>
  <c r="X289" i="4"/>
  <c r="T477" i="4"/>
  <c r="U477" i="4" s="1"/>
  <c r="V477" i="4" s="1"/>
  <c r="W477" i="4" s="1"/>
  <c r="S477" i="4"/>
  <c r="R478" i="4"/>
  <c r="S478" i="4" s="1"/>
  <c r="T1046" i="4"/>
  <c r="U1046" i="4" s="1"/>
  <c r="V1046" i="4" s="1"/>
  <c r="W1046" i="4" s="1"/>
  <c r="T290" i="4"/>
  <c r="U290" i="4" s="1"/>
  <c r="V290" i="4" s="1"/>
  <c r="W290" i="4" s="1"/>
  <c r="P1046" i="4"/>
  <c r="P290" i="4"/>
  <c r="P478" i="4"/>
  <c r="I479" i="4"/>
  <c r="Q479" i="4" s="1"/>
  <c r="D479" i="4"/>
  <c r="E480" i="4"/>
  <c r="J479" i="4"/>
  <c r="J1047" i="4"/>
  <c r="R1047" i="4" s="1"/>
  <c r="S1047" i="4" s="1"/>
  <c r="D1047" i="4"/>
  <c r="E1048" i="4"/>
  <c r="I1048" i="4" s="1"/>
  <c r="Q1048" i="4" s="1"/>
  <c r="E292" i="4"/>
  <c r="J291" i="4"/>
  <c r="R291" i="4" s="1"/>
  <c r="S291" i="4" s="1"/>
  <c r="D291" i="4"/>
  <c r="Y290" i="4" l="1"/>
  <c r="X290" i="4"/>
  <c r="Y477" i="4"/>
  <c r="X477" i="4"/>
  <c r="Y1046" i="4"/>
  <c r="X1046" i="4"/>
  <c r="R479" i="4"/>
  <c r="S479" i="4" s="1"/>
  <c r="T478" i="4"/>
  <c r="U478" i="4" s="1"/>
  <c r="V478" i="4" s="1"/>
  <c r="W478" i="4" s="1"/>
  <c r="T291" i="4"/>
  <c r="U291" i="4" s="1"/>
  <c r="V291" i="4" s="1"/>
  <c r="W291" i="4" s="1"/>
  <c r="T1047" i="4"/>
  <c r="U1047" i="4" s="1"/>
  <c r="V1047" i="4" s="1"/>
  <c r="W1047" i="4" s="1"/>
  <c r="P291" i="4"/>
  <c r="P1047" i="4"/>
  <c r="P479" i="4"/>
  <c r="I292" i="4"/>
  <c r="Q292" i="4" s="1"/>
  <c r="F292" i="4"/>
  <c r="I480" i="4"/>
  <c r="Q480" i="4" s="1"/>
  <c r="J480" i="4"/>
  <c r="E481" i="4"/>
  <c r="D480" i="4"/>
  <c r="J1048" i="4"/>
  <c r="R1048" i="4" s="1"/>
  <c r="S1048" i="4" s="1"/>
  <c r="E1049" i="4"/>
  <c r="I1049" i="4" s="1"/>
  <c r="Q1049" i="4" s="1"/>
  <c r="D1048" i="4"/>
  <c r="E293" i="4"/>
  <c r="I293" i="4" s="1"/>
  <c r="Q293" i="4" s="1"/>
  <c r="J292" i="4"/>
  <c r="D292" i="4"/>
  <c r="Y478" i="4" l="1"/>
  <c r="X478" i="4"/>
  <c r="Y1047" i="4"/>
  <c r="X1047" i="4"/>
  <c r="Y291" i="4"/>
  <c r="X291" i="4"/>
  <c r="R292" i="4"/>
  <c r="S292" i="4" s="1"/>
  <c r="R480" i="4"/>
  <c r="T1048" i="4"/>
  <c r="U1048" i="4" s="1"/>
  <c r="V1048" i="4" s="1"/>
  <c r="W1048" i="4" s="1"/>
  <c r="T479" i="4"/>
  <c r="U479" i="4" s="1"/>
  <c r="V479" i="4" s="1"/>
  <c r="W479" i="4" s="1"/>
  <c r="F293" i="4"/>
  <c r="P480" i="4"/>
  <c r="P292" i="4"/>
  <c r="P1048" i="4"/>
  <c r="I481" i="4"/>
  <c r="Q481" i="4" s="1"/>
  <c r="J481" i="4"/>
  <c r="D481" i="4"/>
  <c r="E482" i="4"/>
  <c r="E294" i="4"/>
  <c r="I294" i="4" s="1"/>
  <c r="Q294" i="4" s="1"/>
  <c r="J293" i="4"/>
  <c r="R293" i="4" s="1"/>
  <c r="S293" i="4" s="1"/>
  <c r="D293" i="4"/>
  <c r="J1049" i="4"/>
  <c r="R1049" i="4" s="1"/>
  <c r="S1049" i="4" s="1"/>
  <c r="D1049" i="4"/>
  <c r="E1050" i="4"/>
  <c r="I1050" i="4" s="1"/>
  <c r="Q1050" i="4" s="1"/>
  <c r="R481" i="4" l="1"/>
  <c r="S481" i="4" s="1"/>
  <c r="Y479" i="4"/>
  <c r="X479" i="4"/>
  <c r="Y1048" i="4"/>
  <c r="X1048" i="4"/>
  <c r="T480" i="4"/>
  <c r="U480" i="4" s="1"/>
  <c r="V480" i="4" s="1"/>
  <c r="W480" i="4" s="1"/>
  <c r="S480" i="4"/>
  <c r="T1049" i="4"/>
  <c r="U1049" i="4" s="1"/>
  <c r="V1049" i="4" s="1"/>
  <c r="W1049" i="4" s="1"/>
  <c r="T292" i="4"/>
  <c r="U292" i="4" s="1"/>
  <c r="V292" i="4" s="1"/>
  <c r="W292" i="4" s="1"/>
  <c r="T293" i="4"/>
  <c r="U293" i="4" s="1"/>
  <c r="V293" i="4" s="1"/>
  <c r="W293" i="4" s="1"/>
  <c r="P1049" i="4"/>
  <c r="P293" i="4"/>
  <c r="P481" i="4"/>
  <c r="F294" i="4"/>
  <c r="I482" i="4"/>
  <c r="Q482" i="4" s="1"/>
  <c r="J482" i="4"/>
  <c r="E483" i="4"/>
  <c r="D482" i="4"/>
  <c r="J1050" i="4"/>
  <c r="R1050" i="4" s="1"/>
  <c r="S1050" i="4" s="1"/>
  <c r="E1051" i="4"/>
  <c r="I1051" i="4" s="1"/>
  <c r="Q1051" i="4" s="1"/>
  <c r="D1050" i="4"/>
  <c r="E295" i="4"/>
  <c r="I295" i="4" s="1"/>
  <c r="Q295" i="4" s="1"/>
  <c r="J294" i="4"/>
  <c r="R294" i="4" s="1"/>
  <c r="S294" i="4" s="1"/>
  <c r="D294" i="4"/>
  <c r="Y293" i="4" l="1"/>
  <c r="X293" i="4"/>
  <c r="Y1049" i="4"/>
  <c r="X1049" i="4"/>
  <c r="T481" i="4"/>
  <c r="U481" i="4" s="1"/>
  <c r="V481" i="4" s="1"/>
  <c r="W481" i="4" s="1"/>
  <c r="Y480" i="4"/>
  <c r="X480" i="4"/>
  <c r="Y292" i="4"/>
  <c r="X292" i="4"/>
  <c r="R482" i="4"/>
  <c r="S482" i="4" s="1"/>
  <c r="T294" i="4"/>
  <c r="U294" i="4" s="1"/>
  <c r="V294" i="4" s="1"/>
  <c r="W294" i="4" s="1"/>
  <c r="T1050" i="4"/>
  <c r="U1050" i="4" s="1"/>
  <c r="V1050" i="4" s="1"/>
  <c r="W1050" i="4" s="1"/>
  <c r="F295" i="4"/>
  <c r="P294" i="4"/>
  <c r="P1050" i="4"/>
  <c r="P482" i="4"/>
  <c r="I483" i="4"/>
  <c r="Q483" i="4" s="1"/>
  <c r="J483" i="4"/>
  <c r="E484" i="4"/>
  <c r="D483" i="4"/>
  <c r="E296" i="4"/>
  <c r="I296" i="4" s="1"/>
  <c r="Q296" i="4" s="1"/>
  <c r="J295" i="4"/>
  <c r="R295" i="4" s="1"/>
  <c r="S295" i="4" s="1"/>
  <c r="D295" i="4"/>
  <c r="J1051" i="4"/>
  <c r="R1051" i="4" s="1"/>
  <c r="S1051" i="4" s="1"/>
  <c r="D1051" i="4"/>
  <c r="E1052" i="4"/>
  <c r="I1052" i="4" s="1"/>
  <c r="Q1052" i="4" s="1"/>
  <c r="R483" i="4" l="1"/>
  <c r="S483" i="4" s="1"/>
  <c r="T482" i="4"/>
  <c r="U482" i="4" s="1"/>
  <c r="V482" i="4" s="1"/>
  <c r="W482" i="4" s="1"/>
  <c r="Y482" i="4" s="1"/>
  <c r="Y294" i="4"/>
  <c r="X294" i="4"/>
  <c r="Y1050" i="4"/>
  <c r="X1050" i="4"/>
  <c r="Y481" i="4"/>
  <c r="X481" i="4"/>
  <c r="T1051" i="4"/>
  <c r="U1051" i="4" s="1"/>
  <c r="V1051" i="4" s="1"/>
  <c r="W1051" i="4" s="1"/>
  <c r="T295" i="4"/>
  <c r="U295" i="4" s="1"/>
  <c r="V295" i="4" s="1"/>
  <c r="W295" i="4" s="1"/>
  <c r="P1051" i="4"/>
  <c r="P295" i="4"/>
  <c r="P483" i="4"/>
  <c r="F296" i="4"/>
  <c r="I484" i="4"/>
  <c r="Q484" i="4" s="1"/>
  <c r="J484" i="4"/>
  <c r="D484" i="4"/>
  <c r="E485" i="4"/>
  <c r="E297" i="4"/>
  <c r="I297" i="4" s="1"/>
  <c r="Q297" i="4" s="1"/>
  <c r="J296" i="4"/>
  <c r="R296" i="4" s="1"/>
  <c r="S296" i="4" s="1"/>
  <c r="D296" i="4"/>
  <c r="J1052" i="4"/>
  <c r="R1052" i="4" s="1"/>
  <c r="S1052" i="4" s="1"/>
  <c r="D1052" i="4"/>
  <c r="E1053" i="4"/>
  <c r="I1053" i="4" s="1"/>
  <c r="Q1053" i="4" s="1"/>
  <c r="X482" i="4" l="1"/>
  <c r="Y295" i="4"/>
  <c r="X295" i="4"/>
  <c r="Y1051" i="4"/>
  <c r="X1051" i="4"/>
  <c r="R484" i="4"/>
  <c r="T1052" i="4"/>
  <c r="U1052" i="4" s="1"/>
  <c r="V1052" i="4" s="1"/>
  <c r="W1052" i="4" s="1"/>
  <c r="T483" i="4"/>
  <c r="U483" i="4" s="1"/>
  <c r="V483" i="4" s="1"/>
  <c r="W483" i="4" s="1"/>
  <c r="T296" i="4"/>
  <c r="U296" i="4" s="1"/>
  <c r="V296" i="4" s="1"/>
  <c r="W296" i="4" s="1"/>
  <c r="P1052" i="4"/>
  <c r="F297" i="4"/>
  <c r="P296" i="4"/>
  <c r="P484" i="4"/>
  <c r="I485" i="4"/>
  <c r="Q485" i="4" s="1"/>
  <c r="J485" i="4"/>
  <c r="E486" i="4"/>
  <c r="D485" i="4"/>
  <c r="D1053" i="4"/>
  <c r="J1053" i="4"/>
  <c r="R1053" i="4" s="1"/>
  <c r="S1053" i="4" s="1"/>
  <c r="E1054" i="4"/>
  <c r="I1054" i="4" s="1"/>
  <c r="Q1054" i="4" s="1"/>
  <c r="E298" i="4"/>
  <c r="I298" i="4" s="1"/>
  <c r="Q298" i="4" s="1"/>
  <c r="J297" i="4"/>
  <c r="R297" i="4" s="1"/>
  <c r="S297" i="4" s="1"/>
  <c r="D297" i="4"/>
  <c r="R485" i="4" l="1"/>
  <c r="S485" i="4" s="1"/>
  <c r="Y296" i="4"/>
  <c r="X296" i="4"/>
  <c r="Y483" i="4"/>
  <c r="X483" i="4"/>
  <c r="Y1052" i="4"/>
  <c r="X1052" i="4"/>
  <c r="T484" i="4"/>
  <c r="U484" i="4" s="1"/>
  <c r="V484" i="4" s="1"/>
  <c r="W484" i="4" s="1"/>
  <c r="S484" i="4"/>
  <c r="T297" i="4"/>
  <c r="U297" i="4" s="1"/>
  <c r="V297" i="4" s="1"/>
  <c r="W297" i="4" s="1"/>
  <c r="T1053" i="4"/>
  <c r="U1053" i="4" s="1"/>
  <c r="V1053" i="4" s="1"/>
  <c r="W1053" i="4" s="1"/>
  <c r="P297" i="4"/>
  <c r="F298" i="4"/>
  <c r="P1053" i="4"/>
  <c r="P485" i="4"/>
  <c r="I486" i="4"/>
  <c r="Q486" i="4" s="1"/>
  <c r="J486" i="4"/>
  <c r="E487" i="4"/>
  <c r="D486" i="4"/>
  <c r="J298" i="4"/>
  <c r="R298" i="4" s="1"/>
  <c r="S298" i="4" s="1"/>
  <c r="D298" i="4"/>
  <c r="E299" i="4"/>
  <c r="I299" i="4" s="1"/>
  <c r="Q299" i="4" s="1"/>
  <c r="D1054" i="4"/>
  <c r="J1054" i="4"/>
  <c r="R1054" i="4" s="1"/>
  <c r="S1054" i="4" s="1"/>
  <c r="E1055" i="4"/>
  <c r="I1055" i="4" s="1"/>
  <c r="Q1055" i="4" s="1"/>
  <c r="T485" i="4" l="1"/>
  <c r="U485" i="4" s="1"/>
  <c r="V485" i="4" s="1"/>
  <c r="W485" i="4" s="1"/>
  <c r="X485" i="4" s="1"/>
  <c r="R486" i="4"/>
  <c r="S486" i="4" s="1"/>
  <c r="Y1053" i="4"/>
  <c r="X1053" i="4"/>
  <c r="Y484" i="4"/>
  <c r="X484" i="4"/>
  <c r="Y297" i="4"/>
  <c r="X297" i="4"/>
  <c r="T1054" i="4"/>
  <c r="U1054" i="4" s="1"/>
  <c r="V1054" i="4" s="1"/>
  <c r="W1054" i="4" s="1"/>
  <c r="T298" i="4"/>
  <c r="U298" i="4" s="1"/>
  <c r="V298" i="4" s="1"/>
  <c r="W298" i="4" s="1"/>
  <c r="P1054" i="4"/>
  <c r="F299" i="4"/>
  <c r="P298" i="4"/>
  <c r="P486" i="4"/>
  <c r="I487" i="4"/>
  <c r="Q487" i="4" s="1"/>
  <c r="J487" i="4"/>
  <c r="E488" i="4"/>
  <c r="D487" i="4"/>
  <c r="J299" i="4"/>
  <c r="R299" i="4" s="1"/>
  <c r="S299" i="4" s="1"/>
  <c r="E300" i="4"/>
  <c r="D299" i="4"/>
  <c r="E1056" i="4"/>
  <c r="I1056" i="4" s="1"/>
  <c r="Q1056" i="4" s="1"/>
  <c r="J1055" i="4"/>
  <c r="R1055" i="4" s="1"/>
  <c r="S1055" i="4" s="1"/>
  <c r="D1055" i="4"/>
  <c r="Y485" i="4" l="1"/>
  <c r="Y1054" i="4"/>
  <c r="X1054" i="4"/>
  <c r="Y298" i="4"/>
  <c r="X298" i="4"/>
  <c r="R487" i="4"/>
  <c r="S487" i="4" s="1"/>
  <c r="T299" i="4"/>
  <c r="U299" i="4" s="1"/>
  <c r="V299" i="4" s="1"/>
  <c r="W299" i="4" s="1"/>
  <c r="T1055" i="4"/>
  <c r="U1055" i="4" s="1"/>
  <c r="V1055" i="4" s="1"/>
  <c r="W1055" i="4" s="1"/>
  <c r="T486" i="4"/>
  <c r="U486" i="4" s="1"/>
  <c r="V486" i="4" s="1"/>
  <c r="W486" i="4" s="1"/>
  <c r="P299" i="4"/>
  <c r="F300" i="4"/>
  <c r="P1055" i="4"/>
  <c r="P487" i="4"/>
  <c r="I300" i="4"/>
  <c r="Q300" i="4" s="1"/>
  <c r="I488" i="4"/>
  <c r="Q488" i="4" s="1"/>
  <c r="E489" i="4"/>
  <c r="J488" i="4"/>
  <c r="D488" i="4"/>
  <c r="E301" i="4"/>
  <c r="I301" i="4" s="1"/>
  <c r="Q301" i="4" s="1"/>
  <c r="J300" i="4"/>
  <c r="D300" i="4"/>
  <c r="J1056" i="4"/>
  <c r="R1056" i="4" s="1"/>
  <c r="S1056" i="4" s="1"/>
  <c r="E1057" i="4"/>
  <c r="I1057" i="4" s="1"/>
  <c r="Q1057" i="4" s="1"/>
  <c r="D1056" i="4"/>
  <c r="Y486" i="4" l="1"/>
  <c r="X486" i="4"/>
  <c r="Y1055" i="4"/>
  <c r="X1055" i="4"/>
  <c r="Y299" i="4"/>
  <c r="X299" i="4"/>
  <c r="R488" i="4"/>
  <c r="R300" i="4"/>
  <c r="T1056" i="4"/>
  <c r="U1056" i="4" s="1"/>
  <c r="V1056" i="4" s="1"/>
  <c r="W1056" i="4" s="1"/>
  <c r="T487" i="4"/>
  <c r="U487" i="4" s="1"/>
  <c r="V487" i="4" s="1"/>
  <c r="W487" i="4" s="1"/>
  <c r="P488" i="4"/>
  <c r="F301" i="4"/>
  <c r="P1056" i="4"/>
  <c r="P300" i="4"/>
  <c r="I489" i="4"/>
  <c r="Q489" i="4" s="1"/>
  <c r="J489" i="4"/>
  <c r="D489" i="4"/>
  <c r="E490" i="4"/>
  <c r="J1057" i="4"/>
  <c r="R1057" i="4" s="1"/>
  <c r="S1057" i="4" s="1"/>
  <c r="E1058" i="4"/>
  <c r="I1058" i="4" s="1"/>
  <c r="Q1058" i="4" s="1"/>
  <c r="D1057" i="4"/>
  <c r="E302" i="4"/>
  <c r="I302" i="4" s="1"/>
  <c r="Q302" i="4" s="1"/>
  <c r="J301" i="4"/>
  <c r="R301" i="4" s="1"/>
  <c r="S301" i="4" s="1"/>
  <c r="D301" i="4"/>
  <c r="Y1056" i="4" l="1"/>
  <c r="X1056" i="4"/>
  <c r="Y487" i="4"/>
  <c r="X487" i="4"/>
  <c r="T300" i="4"/>
  <c r="U300" i="4" s="1"/>
  <c r="V300" i="4" s="1"/>
  <c r="W300" i="4" s="1"/>
  <c r="S300" i="4"/>
  <c r="T488" i="4"/>
  <c r="U488" i="4" s="1"/>
  <c r="V488" i="4" s="1"/>
  <c r="W488" i="4" s="1"/>
  <c r="S488" i="4"/>
  <c r="R489" i="4"/>
  <c r="S489" i="4" s="1"/>
  <c r="T1057" i="4"/>
  <c r="U1057" i="4" s="1"/>
  <c r="V1057" i="4" s="1"/>
  <c r="W1057" i="4" s="1"/>
  <c r="T301" i="4"/>
  <c r="U301" i="4" s="1"/>
  <c r="V301" i="4" s="1"/>
  <c r="W301" i="4" s="1"/>
  <c r="P1057" i="4"/>
  <c r="F302" i="4"/>
  <c r="P301" i="4"/>
  <c r="P489" i="4"/>
  <c r="I490" i="4"/>
  <c r="Q490" i="4" s="1"/>
  <c r="D490" i="4"/>
  <c r="J490" i="4"/>
  <c r="E491" i="4"/>
  <c r="E303" i="4"/>
  <c r="I303" i="4" s="1"/>
  <c r="Q303" i="4" s="1"/>
  <c r="J302" i="4"/>
  <c r="R302" i="4" s="1"/>
  <c r="S302" i="4" s="1"/>
  <c r="D302" i="4"/>
  <c r="J1058" i="4"/>
  <c r="R1058" i="4" s="1"/>
  <c r="S1058" i="4" s="1"/>
  <c r="E1059" i="4"/>
  <c r="I1059" i="4" s="1"/>
  <c r="Q1059" i="4" s="1"/>
  <c r="D1058" i="4"/>
  <c r="R490" i="4" l="1"/>
  <c r="S490" i="4" s="1"/>
  <c r="Y301" i="4"/>
  <c r="X301" i="4"/>
  <c r="Y488" i="4"/>
  <c r="X488" i="4"/>
  <c r="Y1057" i="4"/>
  <c r="X1057" i="4"/>
  <c r="Y300" i="4"/>
  <c r="X300" i="4"/>
  <c r="T1058" i="4"/>
  <c r="U1058" i="4" s="1"/>
  <c r="V1058" i="4" s="1"/>
  <c r="W1058" i="4" s="1"/>
  <c r="T302" i="4"/>
  <c r="U302" i="4" s="1"/>
  <c r="V302" i="4" s="1"/>
  <c r="W302" i="4" s="1"/>
  <c r="T489" i="4"/>
  <c r="U489" i="4" s="1"/>
  <c r="V489" i="4" s="1"/>
  <c r="W489" i="4" s="1"/>
  <c r="F303" i="4"/>
  <c r="P490" i="4"/>
  <c r="P1058" i="4"/>
  <c r="P302" i="4"/>
  <c r="I491" i="4"/>
  <c r="Q491" i="4" s="1"/>
  <c r="J491" i="4"/>
  <c r="R491" i="4" s="1"/>
  <c r="S491" i="4" s="1"/>
  <c r="E492" i="4"/>
  <c r="D491" i="4"/>
  <c r="J1059" i="4"/>
  <c r="R1059" i="4" s="1"/>
  <c r="S1059" i="4" s="1"/>
  <c r="E1060" i="4"/>
  <c r="I1060" i="4" s="1"/>
  <c r="Q1060" i="4" s="1"/>
  <c r="D1059" i="4"/>
  <c r="J303" i="4"/>
  <c r="R303" i="4" s="1"/>
  <c r="S303" i="4" s="1"/>
  <c r="E304" i="4"/>
  <c r="I304" i="4" s="1"/>
  <c r="Q304" i="4" s="1"/>
  <c r="D303" i="4"/>
  <c r="Y489" i="4" l="1"/>
  <c r="X489" i="4"/>
  <c r="Y302" i="4"/>
  <c r="X302" i="4"/>
  <c r="Y1058" i="4"/>
  <c r="X1058" i="4"/>
  <c r="T490" i="4"/>
  <c r="U490" i="4" s="1"/>
  <c r="V490" i="4" s="1"/>
  <c r="W490" i="4" s="1"/>
  <c r="T303" i="4"/>
  <c r="U303" i="4" s="1"/>
  <c r="V303" i="4" s="1"/>
  <c r="W303" i="4" s="1"/>
  <c r="T491" i="4"/>
  <c r="U491" i="4" s="1"/>
  <c r="V491" i="4" s="1"/>
  <c r="W491" i="4" s="1"/>
  <c r="T1059" i="4"/>
  <c r="U1059" i="4" s="1"/>
  <c r="V1059" i="4" s="1"/>
  <c r="W1059" i="4" s="1"/>
  <c r="P1059" i="4"/>
  <c r="P303" i="4"/>
  <c r="P491" i="4"/>
  <c r="F304" i="4"/>
  <c r="I492" i="4"/>
  <c r="Q492" i="4" s="1"/>
  <c r="J492" i="4"/>
  <c r="E493" i="4"/>
  <c r="D492" i="4"/>
  <c r="J304" i="4"/>
  <c r="R304" i="4" s="1"/>
  <c r="S304" i="4" s="1"/>
  <c r="E305" i="4"/>
  <c r="I305" i="4" s="1"/>
  <c r="Q305" i="4" s="1"/>
  <c r="D304" i="4"/>
  <c r="J1060" i="4"/>
  <c r="R1060" i="4" s="1"/>
  <c r="S1060" i="4" s="1"/>
  <c r="E1061" i="4"/>
  <c r="I1061" i="4" s="1"/>
  <c r="Q1061" i="4" s="1"/>
  <c r="D1060" i="4"/>
  <c r="Y303" i="4" l="1"/>
  <c r="X303" i="4"/>
  <c r="Y490" i="4"/>
  <c r="X490" i="4"/>
  <c r="Y1059" i="4"/>
  <c r="X1059" i="4"/>
  <c r="Y491" i="4"/>
  <c r="X491" i="4"/>
  <c r="R492" i="4"/>
  <c r="T304" i="4"/>
  <c r="U304" i="4" s="1"/>
  <c r="V304" i="4" s="1"/>
  <c r="W304" i="4" s="1"/>
  <c r="T1060" i="4"/>
  <c r="U1060" i="4" s="1"/>
  <c r="V1060" i="4" s="1"/>
  <c r="W1060" i="4" s="1"/>
  <c r="F305" i="4"/>
  <c r="P304" i="4"/>
  <c r="P1060" i="4"/>
  <c r="P492" i="4"/>
  <c r="I493" i="4"/>
  <c r="Q493" i="4" s="1"/>
  <c r="D493" i="4"/>
  <c r="J493" i="4"/>
  <c r="E494" i="4"/>
  <c r="E306" i="4"/>
  <c r="I306" i="4" s="1"/>
  <c r="Q306" i="4" s="1"/>
  <c r="J305" i="4"/>
  <c r="R305" i="4" s="1"/>
  <c r="S305" i="4" s="1"/>
  <c r="D305" i="4"/>
  <c r="D1061" i="4"/>
  <c r="J1061" i="4"/>
  <c r="R1061" i="4" s="1"/>
  <c r="S1061" i="4" s="1"/>
  <c r="E1062" i="4"/>
  <c r="I1062" i="4" s="1"/>
  <c r="Q1062" i="4" s="1"/>
  <c r="Y1060" i="4" l="1"/>
  <c r="X1060" i="4"/>
  <c r="Y304" i="4"/>
  <c r="X304" i="4"/>
  <c r="T492" i="4"/>
  <c r="U492" i="4" s="1"/>
  <c r="V492" i="4" s="1"/>
  <c r="W492" i="4" s="1"/>
  <c r="S492" i="4"/>
  <c r="R493" i="4"/>
  <c r="S493" i="4" s="1"/>
  <c r="T1061" i="4"/>
  <c r="U1061" i="4" s="1"/>
  <c r="V1061" i="4" s="1"/>
  <c r="W1061" i="4" s="1"/>
  <c r="T305" i="4"/>
  <c r="U305" i="4" s="1"/>
  <c r="V305" i="4" s="1"/>
  <c r="W305" i="4" s="1"/>
  <c r="P1061" i="4"/>
  <c r="P493" i="4"/>
  <c r="P305" i="4"/>
  <c r="F306" i="4"/>
  <c r="I494" i="4"/>
  <c r="Q494" i="4" s="1"/>
  <c r="J494" i="4"/>
  <c r="E495" i="4"/>
  <c r="D494" i="4"/>
  <c r="J306" i="4"/>
  <c r="R306" i="4" s="1"/>
  <c r="S306" i="4" s="1"/>
  <c r="E307" i="4"/>
  <c r="I307" i="4" s="1"/>
  <c r="Q307" i="4" s="1"/>
  <c r="D306" i="4"/>
  <c r="J1062" i="4"/>
  <c r="R1062" i="4" s="1"/>
  <c r="S1062" i="4" s="1"/>
  <c r="E1063" i="4"/>
  <c r="I1063" i="4" s="1"/>
  <c r="Q1063" i="4" s="1"/>
  <c r="D1062" i="4"/>
  <c r="Y1061" i="4" l="1"/>
  <c r="X1061" i="4"/>
  <c r="Y305" i="4"/>
  <c r="X305" i="4"/>
  <c r="Y492" i="4"/>
  <c r="X492" i="4"/>
  <c r="R494" i="4"/>
  <c r="S494" i="4" s="1"/>
  <c r="F307" i="4"/>
  <c r="T306" i="4"/>
  <c r="U306" i="4" s="1"/>
  <c r="V306" i="4" s="1"/>
  <c r="W306" i="4" s="1"/>
  <c r="T1062" i="4"/>
  <c r="U1062" i="4" s="1"/>
  <c r="V1062" i="4" s="1"/>
  <c r="W1062" i="4" s="1"/>
  <c r="T493" i="4"/>
  <c r="U493" i="4" s="1"/>
  <c r="V493" i="4" s="1"/>
  <c r="W493" i="4" s="1"/>
  <c r="P306" i="4"/>
  <c r="P1062" i="4"/>
  <c r="P494" i="4"/>
  <c r="I495" i="4"/>
  <c r="Q495" i="4" s="1"/>
  <c r="J495" i="4"/>
  <c r="E496" i="4"/>
  <c r="D495" i="4"/>
  <c r="E1064" i="4"/>
  <c r="I1064" i="4" s="1"/>
  <c r="Q1064" i="4" s="1"/>
  <c r="J1063" i="4"/>
  <c r="R1063" i="4" s="1"/>
  <c r="S1063" i="4" s="1"/>
  <c r="D1063" i="4"/>
  <c r="J307" i="4"/>
  <c r="R307" i="4" s="1"/>
  <c r="S307" i="4" s="1"/>
  <c r="E308" i="4"/>
  <c r="I308" i="4" s="1"/>
  <c r="Q308" i="4" s="1"/>
  <c r="D307" i="4"/>
  <c r="Y493" i="4" l="1"/>
  <c r="X493" i="4"/>
  <c r="Y1062" i="4"/>
  <c r="X1062" i="4"/>
  <c r="Y306" i="4"/>
  <c r="X306" i="4"/>
  <c r="R495" i="4"/>
  <c r="S495" i="4" s="1"/>
  <c r="T307" i="4"/>
  <c r="U307" i="4" s="1"/>
  <c r="V307" i="4" s="1"/>
  <c r="W307" i="4" s="1"/>
  <c r="T494" i="4"/>
  <c r="U494" i="4" s="1"/>
  <c r="V494" i="4" s="1"/>
  <c r="W494" i="4" s="1"/>
  <c r="T1063" i="4"/>
  <c r="U1063" i="4" s="1"/>
  <c r="V1063" i="4" s="1"/>
  <c r="W1063" i="4" s="1"/>
  <c r="T495" i="4"/>
  <c r="U495" i="4" s="1"/>
  <c r="V495" i="4" s="1"/>
  <c r="W495" i="4" s="1"/>
  <c r="P307" i="4"/>
  <c r="P1063" i="4"/>
  <c r="P495" i="4"/>
  <c r="F308" i="4"/>
  <c r="I496" i="4"/>
  <c r="Q496" i="4" s="1"/>
  <c r="J496" i="4"/>
  <c r="D496" i="4"/>
  <c r="E497" i="4"/>
  <c r="J308" i="4"/>
  <c r="R308" i="4" s="1"/>
  <c r="S308" i="4" s="1"/>
  <c r="E309" i="4"/>
  <c r="I309" i="4" s="1"/>
  <c r="Q309" i="4" s="1"/>
  <c r="D308" i="4"/>
  <c r="J1064" i="4"/>
  <c r="R1064" i="4" s="1"/>
  <c r="S1064" i="4" s="1"/>
  <c r="D1064" i="4"/>
  <c r="E1065" i="4"/>
  <c r="I1065" i="4" s="1"/>
  <c r="Q1065" i="4" s="1"/>
  <c r="Y307" i="4" l="1"/>
  <c r="X307" i="4"/>
  <c r="Y495" i="4"/>
  <c r="X495" i="4"/>
  <c r="Y1063" i="4"/>
  <c r="X1063" i="4"/>
  <c r="Y494" i="4"/>
  <c r="X494" i="4"/>
  <c r="R496" i="4"/>
  <c r="S496" i="4" s="1"/>
  <c r="T308" i="4"/>
  <c r="U308" i="4" s="1"/>
  <c r="V308" i="4" s="1"/>
  <c r="W308" i="4" s="1"/>
  <c r="T1064" i="4"/>
  <c r="U1064" i="4" s="1"/>
  <c r="V1064" i="4" s="1"/>
  <c r="W1064" i="4" s="1"/>
  <c r="P308" i="4"/>
  <c r="P1064" i="4"/>
  <c r="F309" i="4"/>
  <c r="P496" i="4"/>
  <c r="I497" i="4"/>
  <c r="Q497" i="4" s="1"/>
  <c r="E498" i="4"/>
  <c r="J497" i="4"/>
  <c r="D497" i="4"/>
  <c r="E310" i="4"/>
  <c r="I310" i="4" s="1"/>
  <c r="Q310" i="4" s="1"/>
  <c r="J309" i="4"/>
  <c r="R309" i="4" s="1"/>
  <c r="S309" i="4" s="1"/>
  <c r="D309" i="4"/>
  <c r="J1065" i="4"/>
  <c r="R1065" i="4" s="1"/>
  <c r="S1065" i="4" s="1"/>
  <c r="D1065" i="4"/>
  <c r="E1066" i="4"/>
  <c r="I1066" i="4" s="1"/>
  <c r="Q1066" i="4" s="1"/>
  <c r="Y1064" i="4" l="1"/>
  <c r="X1064" i="4"/>
  <c r="Y308" i="4"/>
  <c r="X308" i="4"/>
  <c r="T496" i="4"/>
  <c r="U496" i="4" s="1"/>
  <c r="V496" i="4" s="1"/>
  <c r="W496" i="4" s="1"/>
  <c r="R497" i="4"/>
  <c r="S497" i="4" s="1"/>
  <c r="T309" i="4"/>
  <c r="U309" i="4" s="1"/>
  <c r="V309" i="4" s="1"/>
  <c r="W309" i="4" s="1"/>
  <c r="T1065" i="4"/>
  <c r="U1065" i="4" s="1"/>
  <c r="V1065" i="4" s="1"/>
  <c r="W1065" i="4" s="1"/>
  <c r="P1065" i="4"/>
  <c r="P497" i="4"/>
  <c r="P309" i="4"/>
  <c r="F310" i="4"/>
  <c r="I498" i="4"/>
  <c r="Q498" i="4" s="1"/>
  <c r="J498" i="4"/>
  <c r="E499" i="4"/>
  <c r="D498" i="4"/>
  <c r="J310" i="4"/>
  <c r="R310" i="4" s="1"/>
  <c r="S310" i="4" s="1"/>
  <c r="E311" i="4"/>
  <c r="D310" i="4"/>
  <c r="J1066" i="4"/>
  <c r="R1066" i="4" s="1"/>
  <c r="S1066" i="4" s="1"/>
  <c r="E1067" i="4"/>
  <c r="I1067" i="4" s="1"/>
  <c r="Q1067" i="4" s="1"/>
  <c r="D1066" i="4"/>
  <c r="Y1065" i="4" l="1"/>
  <c r="X1065" i="4"/>
  <c r="Y496" i="4"/>
  <c r="X496" i="4"/>
  <c r="Y309" i="4"/>
  <c r="X309" i="4"/>
  <c r="R498" i="4"/>
  <c r="S498" i="4" s="1"/>
  <c r="T1066" i="4"/>
  <c r="U1066" i="4" s="1"/>
  <c r="V1066" i="4" s="1"/>
  <c r="W1066" i="4" s="1"/>
  <c r="F311" i="4"/>
  <c r="T497" i="4"/>
  <c r="U497" i="4" s="1"/>
  <c r="V497" i="4" s="1"/>
  <c r="W497" i="4" s="1"/>
  <c r="T310" i="4"/>
  <c r="U310" i="4" s="1"/>
  <c r="V310" i="4" s="1"/>
  <c r="W310" i="4" s="1"/>
  <c r="P1066" i="4"/>
  <c r="P310" i="4"/>
  <c r="P498" i="4"/>
  <c r="I311" i="4"/>
  <c r="Q311" i="4" s="1"/>
  <c r="I499" i="4"/>
  <c r="Q499" i="4" s="1"/>
  <c r="J499" i="4"/>
  <c r="E500" i="4"/>
  <c r="D499" i="4"/>
  <c r="J311" i="4"/>
  <c r="D311" i="4"/>
  <c r="E312" i="4"/>
  <c r="I312" i="4" s="1"/>
  <c r="Q312" i="4" s="1"/>
  <c r="J1067" i="4"/>
  <c r="R1067" i="4" s="1"/>
  <c r="S1067" i="4" s="1"/>
  <c r="E1068" i="4"/>
  <c r="I1068" i="4" s="1"/>
  <c r="Q1068" i="4" s="1"/>
  <c r="D1067" i="4"/>
  <c r="Y1066" i="4" l="1"/>
  <c r="X1066" i="4"/>
  <c r="Y310" i="4"/>
  <c r="X310" i="4"/>
  <c r="Y497" i="4"/>
  <c r="X497" i="4"/>
  <c r="R499" i="4"/>
  <c r="R311" i="4"/>
  <c r="S311" i="4" s="1"/>
  <c r="T498" i="4"/>
  <c r="U498" i="4" s="1"/>
  <c r="V498" i="4" s="1"/>
  <c r="W498" i="4" s="1"/>
  <c r="T1067" i="4"/>
  <c r="U1067" i="4" s="1"/>
  <c r="V1067" i="4" s="1"/>
  <c r="W1067" i="4" s="1"/>
  <c r="P1067" i="4"/>
  <c r="F312" i="4"/>
  <c r="P499" i="4"/>
  <c r="P311" i="4"/>
  <c r="I500" i="4"/>
  <c r="Q500" i="4" s="1"/>
  <c r="J500" i="4"/>
  <c r="D500" i="4"/>
  <c r="E501" i="4"/>
  <c r="J312" i="4"/>
  <c r="R312" i="4" s="1"/>
  <c r="S312" i="4" s="1"/>
  <c r="E313" i="4"/>
  <c r="I313" i="4" s="1"/>
  <c r="Q313" i="4" s="1"/>
  <c r="D312" i="4"/>
  <c r="J1068" i="4"/>
  <c r="R1068" i="4" s="1"/>
  <c r="S1068" i="4" s="1"/>
  <c r="E1069" i="4"/>
  <c r="I1069" i="4" s="1"/>
  <c r="Q1069" i="4" s="1"/>
  <c r="D1068" i="4"/>
  <c r="Y498" i="4" l="1"/>
  <c r="X498" i="4"/>
  <c r="Y1067" i="4"/>
  <c r="X1067" i="4"/>
  <c r="T499" i="4"/>
  <c r="U499" i="4" s="1"/>
  <c r="V499" i="4" s="1"/>
  <c r="W499" i="4" s="1"/>
  <c r="S499" i="4"/>
  <c r="R500" i="4"/>
  <c r="T1068" i="4"/>
  <c r="U1068" i="4" s="1"/>
  <c r="V1068" i="4" s="1"/>
  <c r="W1068" i="4" s="1"/>
  <c r="T311" i="4"/>
  <c r="U311" i="4" s="1"/>
  <c r="V311" i="4" s="1"/>
  <c r="W311" i="4" s="1"/>
  <c r="T312" i="4"/>
  <c r="U312" i="4" s="1"/>
  <c r="V312" i="4" s="1"/>
  <c r="W312" i="4" s="1"/>
  <c r="P312" i="4"/>
  <c r="P1068" i="4"/>
  <c r="F313" i="4"/>
  <c r="P500" i="4"/>
  <c r="I501" i="4"/>
  <c r="Q501" i="4" s="1"/>
  <c r="E502" i="4"/>
  <c r="J501" i="4"/>
  <c r="D501" i="4"/>
  <c r="J1069" i="4"/>
  <c r="R1069" i="4" s="1"/>
  <c r="S1069" i="4" s="1"/>
  <c r="D1069" i="4"/>
  <c r="E1070" i="4"/>
  <c r="I1070" i="4" s="1"/>
  <c r="Q1070" i="4" s="1"/>
  <c r="J313" i="4"/>
  <c r="R313" i="4" s="1"/>
  <c r="S313" i="4" s="1"/>
  <c r="D313" i="4"/>
  <c r="E314" i="4"/>
  <c r="I314" i="4" s="1"/>
  <c r="Q314" i="4" s="1"/>
  <c r="Y1068" i="4" l="1"/>
  <c r="X1068" i="4"/>
  <c r="Y311" i="4"/>
  <c r="X311" i="4"/>
  <c r="Y312" i="4"/>
  <c r="X312" i="4"/>
  <c r="Y499" i="4"/>
  <c r="X499" i="4"/>
  <c r="T500" i="4"/>
  <c r="U500" i="4" s="1"/>
  <c r="V500" i="4" s="1"/>
  <c r="W500" i="4" s="1"/>
  <c r="S500" i="4"/>
  <c r="R501" i="4"/>
  <c r="S501" i="4" s="1"/>
  <c r="T313" i="4"/>
  <c r="U313" i="4" s="1"/>
  <c r="V313" i="4" s="1"/>
  <c r="W313" i="4" s="1"/>
  <c r="T501" i="4"/>
  <c r="U501" i="4" s="1"/>
  <c r="V501" i="4" s="1"/>
  <c r="W501" i="4" s="1"/>
  <c r="T1069" i="4"/>
  <c r="U1069" i="4" s="1"/>
  <c r="V1069" i="4" s="1"/>
  <c r="W1069" i="4" s="1"/>
  <c r="P313" i="4"/>
  <c r="P1069" i="4"/>
  <c r="P501" i="4"/>
  <c r="F314" i="4"/>
  <c r="I502" i="4"/>
  <c r="Q502" i="4" s="1"/>
  <c r="J502" i="4"/>
  <c r="E503" i="4"/>
  <c r="D502" i="4"/>
  <c r="J314" i="4"/>
  <c r="R314" i="4" s="1"/>
  <c r="S314" i="4" s="1"/>
  <c r="D314" i="4"/>
  <c r="E315" i="4"/>
  <c r="I315" i="4" s="1"/>
  <c r="Q315" i="4" s="1"/>
  <c r="J1070" i="4"/>
  <c r="R1070" i="4" s="1"/>
  <c r="S1070" i="4" s="1"/>
  <c r="E1071" i="4"/>
  <c r="I1071" i="4" s="1"/>
  <c r="Q1071" i="4" s="1"/>
  <c r="D1070" i="4"/>
  <c r="Y313" i="4" l="1"/>
  <c r="X313" i="4"/>
  <c r="Y501" i="4"/>
  <c r="X501" i="4"/>
  <c r="Y1069" i="4"/>
  <c r="X1069" i="4"/>
  <c r="Y500" i="4"/>
  <c r="X500" i="4"/>
  <c r="R502" i="4"/>
  <c r="T1070" i="4"/>
  <c r="U1070" i="4" s="1"/>
  <c r="V1070" i="4" s="1"/>
  <c r="W1070" i="4" s="1"/>
  <c r="T314" i="4"/>
  <c r="U314" i="4" s="1"/>
  <c r="V314" i="4" s="1"/>
  <c r="W314" i="4" s="1"/>
  <c r="P1070" i="4"/>
  <c r="F315" i="4"/>
  <c r="P314" i="4"/>
  <c r="P502" i="4"/>
  <c r="I503" i="4"/>
  <c r="Q503" i="4" s="1"/>
  <c r="J503" i="4"/>
  <c r="E504" i="4"/>
  <c r="D503" i="4"/>
  <c r="D315" i="4"/>
  <c r="J315" i="4"/>
  <c r="R315" i="4" s="1"/>
  <c r="S315" i="4" s="1"/>
  <c r="E316" i="4"/>
  <c r="I316" i="4" s="1"/>
  <c r="Q316" i="4" s="1"/>
  <c r="D1071" i="4"/>
  <c r="J1071" i="4"/>
  <c r="R1071" i="4" s="1"/>
  <c r="S1071" i="4" s="1"/>
  <c r="E1072" i="4"/>
  <c r="I1072" i="4" s="1"/>
  <c r="Q1072" i="4" s="1"/>
  <c r="Y314" i="4" l="1"/>
  <c r="X314" i="4"/>
  <c r="Y1070" i="4"/>
  <c r="X1070" i="4"/>
  <c r="R503" i="4"/>
  <c r="S503" i="4" s="1"/>
  <c r="T502" i="4"/>
  <c r="U502" i="4" s="1"/>
  <c r="V502" i="4" s="1"/>
  <c r="W502" i="4" s="1"/>
  <c r="S502" i="4"/>
  <c r="T315" i="4"/>
  <c r="U315" i="4" s="1"/>
  <c r="V315" i="4" s="1"/>
  <c r="W315" i="4" s="1"/>
  <c r="T1071" i="4"/>
  <c r="U1071" i="4" s="1"/>
  <c r="V1071" i="4" s="1"/>
  <c r="W1071" i="4" s="1"/>
  <c r="P1071" i="4"/>
  <c r="F316" i="4"/>
  <c r="P315" i="4"/>
  <c r="P503" i="4"/>
  <c r="I504" i="4"/>
  <c r="Q504" i="4" s="1"/>
  <c r="E505" i="4"/>
  <c r="D504" i="4"/>
  <c r="J504" i="4"/>
  <c r="J316" i="4"/>
  <c r="R316" i="4" s="1"/>
  <c r="S316" i="4" s="1"/>
  <c r="D316" i="4"/>
  <c r="E317" i="4"/>
  <c r="I317" i="4" s="1"/>
  <c r="Q317" i="4" s="1"/>
  <c r="E1073" i="4"/>
  <c r="I1073" i="4" s="1"/>
  <c r="Q1073" i="4" s="1"/>
  <c r="J1072" i="4"/>
  <c r="R1072" i="4" s="1"/>
  <c r="S1072" i="4" s="1"/>
  <c r="D1072" i="4"/>
  <c r="Y315" i="4" l="1"/>
  <c r="X315" i="4"/>
  <c r="Y502" i="4"/>
  <c r="X502" i="4"/>
  <c r="Y1071" i="4"/>
  <c r="X1071" i="4"/>
  <c r="R504" i="4"/>
  <c r="T1072" i="4"/>
  <c r="U1072" i="4" s="1"/>
  <c r="V1072" i="4" s="1"/>
  <c r="W1072" i="4" s="1"/>
  <c r="T316" i="4"/>
  <c r="U316" i="4" s="1"/>
  <c r="V316" i="4" s="1"/>
  <c r="W316" i="4" s="1"/>
  <c r="T503" i="4"/>
  <c r="U503" i="4" s="1"/>
  <c r="V503" i="4" s="1"/>
  <c r="W503" i="4" s="1"/>
  <c r="P1072" i="4"/>
  <c r="P504" i="4"/>
  <c r="F317" i="4"/>
  <c r="P316" i="4"/>
  <c r="I505" i="4"/>
  <c r="Q505" i="4" s="1"/>
  <c r="E506" i="4"/>
  <c r="D505" i="4"/>
  <c r="J505" i="4"/>
  <c r="J317" i="4"/>
  <c r="R317" i="4" s="1"/>
  <c r="S317" i="4" s="1"/>
  <c r="E318" i="4"/>
  <c r="I318" i="4" s="1"/>
  <c r="Q318" i="4" s="1"/>
  <c r="D317" i="4"/>
  <c r="E1074" i="4"/>
  <c r="J1073" i="4"/>
  <c r="R1073" i="4" s="1"/>
  <c r="S1073" i="4" s="1"/>
  <c r="D1073" i="4"/>
  <c r="Y1072" i="4" l="1"/>
  <c r="X1072" i="4"/>
  <c r="Y503" i="4"/>
  <c r="X503" i="4"/>
  <c r="Y316" i="4"/>
  <c r="X316" i="4"/>
  <c r="T504" i="4"/>
  <c r="U504" i="4" s="1"/>
  <c r="V504" i="4" s="1"/>
  <c r="W504" i="4" s="1"/>
  <c r="S504" i="4"/>
  <c r="R505" i="4"/>
  <c r="S505" i="4" s="1"/>
  <c r="T317" i="4"/>
  <c r="U317" i="4" s="1"/>
  <c r="V317" i="4" s="1"/>
  <c r="W317" i="4" s="1"/>
  <c r="T1073" i="4"/>
  <c r="U1073" i="4" s="1"/>
  <c r="V1073" i="4" s="1"/>
  <c r="W1073" i="4" s="1"/>
  <c r="P1073" i="4"/>
  <c r="P505" i="4"/>
  <c r="P317" i="4"/>
  <c r="F318" i="4"/>
  <c r="I1074" i="4"/>
  <c r="Q1074" i="4" s="1"/>
  <c r="I1075" i="4"/>
  <c r="Q1075" i="4" s="1"/>
  <c r="R1075" i="4" s="1"/>
  <c r="S1075" i="4" s="1"/>
  <c r="I506" i="4"/>
  <c r="Q506" i="4" s="1"/>
  <c r="J506" i="4"/>
  <c r="D506" i="4"/>
  <c r="E507" i="4"/>
  <c r="D1074" i="4"/>
  <c r="J1074" i="4"/>
  <c r="J318" i="4"/>
  <c r="R318" i="4" s="1"/>
  <c r="S318" i="4" s="1"/>
  <c r="E319" i="4"/>
  <c r="I319" i="4" s="1"/>
  <c r="Q319" i="4" s="1"/>
  <c r="D318" i="4"/>
  <c r="R506" i="4" l="1"/>
  <c r="S506" i="4" s="1"/>
  <c r="R1074" i="4"/>
  <c r="S1074" i="4" s="1"/>
  <c r="Y1073" i="4"/>
  <c r="X1073" i="4"/>
  <c r="Y504" i="4"/>
  <c r="X504" i="4"/>
  <c r="Y317" i="4"/>
  <c r="X317" i="4"/>
  <c r="T1075" i="4"/>
  <c r="U1075" i="4" s="1"/>
  <c r="V1075" i="4" s="1"/>
  <c r="W1075" i="4" s="1"/>
  <c r="T318" i="4"/>
  <c r="U318" i="4" s="1"/>
  <c r="V318" i="4" s="1"/>
  <c r="W318" i="4" s="1"/>
  <c r="T505" i="4"/>
  <c r="U505" i="4" s="1"/>
  <c r="V505" i="4" s="1"/>
  <c r="W505" i="4" s="1"/>
  <c r="P318" i="4"/>
  <c r="P1074" i="4"/>
  <c r="P506" i="4"/>
  <c r="F319" i="4"/>
  <c r="I507" i="4"/>
  <c r="Q507" i="4" s="1"/>
  <c r="D507" i="4"/>
  <c r="J507" i="4"/>
  <c r="E508" i="4"/>
  <c r="J319" i="4"/>
  <c r="R319" i="4" s="1"/>
  <c r="S319" i="4" s="1"/>
  <c r="D319" i="4"/>
  <c r="E320" i="4"/>
  <c r="I320" i="4" s="1"/>
  <c r="Q320" i="4" s="1"/>
  <c r="Y318" i="4" l="1"/>
  <c r="X318" i="4"/>
  <c r="Y1075" i="4"/>
  <c r="X1075" i="4"/>
  <c r="Y505" i="4"/>
  <c r="X505" i="4"/>
  <c r="R507" i="4"/>
  <c r="T506" i="4"/>
  <c r="U506" i="4" s="1"/>
  <c r="V506" i="4" s="1"/>
  <c r="W506" i="4" s="1"/>
  <c r="T319" i="4"/>
  <c r="U319" i="4" s="1"/>
  <c r="V319" i="4" s="1"/>
  <c r="W319" i="4" s="1"/>
  <c r="T1074" i="4"/>
  <c r="U1074" i="4" s="1"/>
  <c r="V1074" i="4" s="1"/>
  <c r="W1074" i="4" s="1"/>
  <c r="P319" i="4"/>
  <c r="F320" i="4"/>
  <c r="P507" i="4"/>
  <c r="I508" i="4"/>
  <c r="Q508" i="4" s="1"/>
  <c r="E509" i="4"/>
  <c r="J508" i="4"/>
  <c r="D508" i="4"/>
  <c r="E321" i="4"/>
  <c r="I321" i="4" s="1"/>
  <c r="Q321" i="4" s="1"/>
  <c r="J320" i="4"/>
  <c r="R320" i="4" s="1"/>
  <c r="S320" i="4" s="1"/>
  <c r="D320" i="4"/>
  <c r="Y506" i="4" l="1"/>
  <c r="X506" i="4"/>
  <c r="Y1074" i="4"/>
  <c r="X1074" i="4"/>
  <c r="Y319" i="4"/>
  <c r="X319" i="4"/>
  <c r="T507" i="4"/>
  <c r="U507" i="4" s="1"/>
  <c r="V507" i="4" s="1"/>
  <c r="W507" i="4" s="1"/>
  <c r="S507" i="4"/>
  <c r="R508" i="4"/>
  <c r="T320" i="4"/>
  <c r="U320" i="4" s="1"/>
  <c r="V320" i="4" s="1"/>
  <c r="W320" i="4" s="1"/>
  <c r="P508" i="4"/>
  <c r="P320" i="4"/>
  <c r="F321" i="4"/>
  <c r="I509" i="4"/>
  <c r="Q509" i="4" s="1"/>
  <c r="J509" i="4"/>
  <c r="D509" i="4"/>
  <c r="E510" i="4"/>
  <c r="J321" i="4"/>
  <c r="R321" i="4" s="1"/>
  <c r="S321" i="4" s="1"/>
  <c r="D321" i="4"/>
  <c r="E322" i="4"/>
  <c r="I322" i="4" s="1"/>
  <c r="Q322" i="4" s="1"/>
  <c r="Y507" i="4" l="1"/>
  <c r="X507" i="4"/>
  <c r="Y320" i="4"/>
  <c r="X320" i="4"/>
  <c r="T508" i="4"/>
  <c r="U508" i="4" s="1"/>
  <c r="V508" i="4" s="1"/>
  <c r="W508" i="4" s="1"/>
  <c r="S508" i="4"/>
  <c r="R509" i="4"/>
  <c r="S509" i="4" s="1"/>
  <c r="T321" i="4"/>
  <c r="U321" i="4" s="1"/>
  <c r="V321" i="4" s="1"/>
  <c r="W321" i="4" s="1"/>
  <c r="P509" i="4"/>
  <c r="P321" i="4"/>
  <c r="F322" i="4"/>
  <c r="I510" i="4"/>
  <c r="Q510" i="4" s="1"/>
  <c r="J510" i="4"/>
  <c r="E511" i="4"/>
  <c r="D510" i="4"/>
  <c r="J322" i="4"/>
  <c r="R322" i="4" s="1"/>
  <c r="S322" i="4" s="1"/>
  <c r="D322" i="4"/>
  <c r="E323" i="4"/>
  <c r="I323" i="4" s="1"/>
  <c r="Q323" i="4" s="1"/>
  <c r="Y321" i="4" l="1"/>
  <c r="X321" i="4"/>
  <c r="Y508" i="4"/>
  <c r="X508" i="4"/>
  <c r="R510" i="4"/>
  <c r="S510" i="4" s="1"/>
  <c r="T322" i="4"/>
  <c r="U322" i="4" s="1"/>
  <c r="V322" i="4" s="1"/>
  <c r="W322" i="4" s="1"/>
  <c r="T509" i="4"/>
  <c r="U509" i="4" s="1"/>
  <c r="V509" i="4" s="1"/>
  <c r="W509" i="4" s="1"/>
  <c r="P510" i="4"/>
  <c r="P322" i="4"/>
  <c r="F323" i="4"/>
  <c r="I511" i="4"/>
  <c r="Q511" i="4" s="1"/>
  <c r="E512" i="4"/>
  <c r="J511" i="4"/>
  <c r="D511" i="4"/>
  <c r="D323" i="4"/>
  <c r="J323" i="4"/>
  <c r="R323" i="4" s="1"/>
  <c r="S323" i="4" s="1"/>
  <c r="E324" i="4"/>
  <c r="I324" i="4" s="1"/>
  <c r="Q324" i="4" s="1"/>
  <c r="Y509" i="4" l="1"/>
  <c r="X509" i="4"/>
  <c r="Y322" i="4"/>
  <c r="X322" i="4"/>
  <c r="R511" i="4"/>
  <c r="T323" i="4"/>
  <c r="U323" i="4" s="1"/>
  <c r="V323" i="4" s="1"/>
  <c r="W323" i="4" s="1"/>
  <c r="T510" i="4"/>
  <c r="U510" i="4" s="1"/>
  <c r="V510" i="4" s="1"/>
  <c r="W510" i="4" s="1"/>
  <c r="P511" i="4"/>
  <c r="P323" i="4"/>
  <c r="F324" i="4"/>
  <c r="I512" i="4"/>
  <c r="Q512" i="4" s="1"/>
  <c r="J512" i="4"/>
  <c r="D512" i="4"/>
  <c r="E513" i="4"/>
  <c r="E325" i="4"/>
  <c r="I325" i="4" s="1"/>
  <c r="Q325" i="4" s="1"/>
  <c r="J324" i="4"/>
  <c r="R324" i="4" s="1"/>
  <c r="S324" i="4" s="1"/>
  <c r="D324" i="4"/>
  <c r="Y510" i="4" l="1"/>
  <c r="X510" i="4"/>
  <c r="Y323" i="4"/>
  <c r="X323" i="4"/>
  <c r="T511" i="4"/>
  <c r="U511" i="4" s="1"/>
  <c r="V511" i="4" s="1"/>
  <c r="W511" i="4" s="1"/>
  <c r="S511" i="4"/>
  <c r="R512" i="4"/>
  <c r="S512" i="4" s="1"/>
  <c r="T324" i="4"/>
  <c r="U324" i="4" s="1"/>
  <c r="V324" i="4" s="1"/>
  <c r="W324" i="4" s="1"/>
  <c r="P324" i="4"/>
  <c r="P512" i="4"/>
  <c r="F325" i="4"/>
  <c r="I513" i="4"/>
  <c r="Q513" i="4" s="1"/>
  <c r="J513" i="4"/>
  <c r="E514" i="4"/>
  <c r="D513" i="4"/>
  <c r="D325" i="4"/>
  <c r="J325" i="4"/>
  <c r="R325" i="4" s="1"/>
  <c r="S325" i="4" s="1"/>
  <c r="E326" i="4"/>
  <c r="I326" i="4" s="1"/>
  <c r="Q326" i="4" s="1"/>
  <c r="Y324" i="4" l="1"/>
  <c r="X324" i="4"/>
  <c r="Y511" i="4"/>
  <c r="X511" i="4"/>
  <c r="R513" i="4"/>
  <c r="S513" i="4" s="1"/>
  <c r="T512" i="4"/>
  <c r="U512" i="4" s="1"/>
  <c r="V512" i="4" s="1"/>
  <c r="W512" i="4" s="1"/>
  <c r="T325" i="4"/>
  <c r="U325" i="4" s="1"/>
  <c r="V325" i="4" s="1"/>
  <c r="W325" i="4" s="1"/>
  <c r="P325" i="4"/>
  <c r="P513" i="4"/>
  <c r="F326" i="4"/>
  <c r="I514" i="4"/>
  <c r="Q514" i="4" s="1"/>
  <c r="E515" i="4"/>
  <c r="J514" i="4"/>
  <c r="D514" i="4"/>
  <c r="J326" i="4"/>
  <c r="R326" i="4" s="1"/>
  <c r="S326" i="4" s="1"/>
  <c r="E327" i="4"/>
  <c r="I327" i="4" s="1"/>
  <c r="Q327" i="4" s="1"/>
  <c r="D326" i="4"/>
  <c r="Y512" i="4" l="1"/>
  <c r="X512" i="4"/>
  <c r="Y325" i="4"/>
  <c r="X325" i="4"/>
  <c r="R514" i="4"/>
  <c r="T326" i="4"/>
  <c r="U326" i="4" s="1"/>
  <c r="V326" i="4" s="1"/>
  <c r="W326" i="4" s="1"/>
  <c r="T513" i="4"/>
  <c r="U513" i="4" s="1"/>
  <c r="V513" i="4" s="1"/>
  <c r="W513" i="4" s="1"/>
  <c r="P326" i="4"/>
  <c r="P514" i="4"/>
  <c r="F327" i="4"/>
  <c r="I515" i="4"/>
  <c r="Q515" i="4" s="1"/>
  <c r="J515" i="4"/>
  <c r="E516" i="4"/>
  <c r="D515" i="4"/>
  <c r="E328" i="4"/>
  <c r="I328" i="4" s="1"/>
  <c r="Q328" i="4" s="1"/>
  <c r="J327" i="4"/>
  <c r="R327" i="4" s="1"/>
  <c r="S327" i="4" s="1"/>
  <c r="D327" i="4"/>
  <c r="Y513" i="4" l="1"/>
  <c r="X513" i="4"/>
  <c r="Y326" i="4"/>
  <c r="X326" i="4"/>
  <c r="T514" i="4"/>
  <c r="U514" i="4" s="1"/>
  <c r="V514" i="4" s="1"/>
  <c r="W514" i="4" s="1"/>
  <c r="S514" i="4"/>
  <c r="R515" i="4"/>
  <c r="S515" i="4" s="1"/>
  <c r="T327" i="4"/>
  <c r="U327" i="4" s="1"/>
  <c r="V327" i="4" s="1"/>
  <c r="W327" i="4" s="1"/>
  <c r="P327" i="4"/>
  <c r="P515" i="4"/>
  <c r="F328" i="4"/>
  <c r="I516" i="4"/>
  <c r="Q516" i="4" s="1"/>
  <c r="E517" i="4"/>
  <c r="J516" i="4"/>
  <c r="D516" i="4"/>
  <c r="J328" i="4"/>
  <c r="R328" i="4" s="1"/>
  <c r="S328" i="4" s="1"/>
  <c r="D328" i="4"/>
  <c r="E329" i="4"/>
  <c r="I329" i="4" s="1"/>
  <c r="Q329" i="4" s="1"/>
  <c r="Y327" i="4" l="1"/>
  <c r="X327" i="4"/>
  <c r="Y514" i="4"/>
  <c r="X514" i="4"/>
  <c r="R516" i="4"/>
  <c r="S516" i="4" s="1"/>
  <c r="T515" i="4"/>
  <c r="U515" i="4" s="1"/>
  <c r="V515" i="4" s="1"/>
  <c r="W515" i="4" s="1"/>
  <c r="T328" i="4"/>
  <c r="U328" i="4" s="1"/>
  <c r="V328" i="4" s="1"/>
  <c r="W328" i="4" s="1"/>
  <c r="P516" i="4"/>
  <c r="P328" i="4"/>
  <c r="F329" i="4"/>
  <c r="I517" i="4"/>
  <c r="Q517" i="4" s="1"/>
  <c r="J517" i="4"/>
  <c r="E518" i="4"/>
  <c r="D517" i="4"/>
  <c r="D329" i="4"/>
  <c r="J329" i="4"/>
  <c r="R329" i="4" s="1"/>
  <c r="S329" i="4" s="1"/>
  <c r="E330" i="4"/>
  <c r="I330" i="4" s="1"/>
  <c r="Q330" i="4" s="1"/>
  <c r="Y328" i="4" l="1"/>
  <c r="X328" i="4"/>
  <c r="Y515" i="4"/>
  <c r="X515" i="4"/>
  <c r="R517" i="4"/>
  <c r="S517" i="4" s="1"/>
  <c r="T329" i="4"/>
  <c r="U329" i="4" s="1"/>
  <c r="V329" i="4" s="1"/>
  <c r="W329" i="4" s="1"/>
  <c r="T516" i="4"/>
  <c r="U516" i="4" s="1"/>
  <c r="V516" i="4" s="1"/>
  <c r="W516" i="4" s="1"/>
  <c r="P329" i="4"/>
  <c r="P517" i="4"/>
  <c r="F330" i="4"/>
  <c r="I518" i="4"/>
  <c r="Q518" i="4" s="1"/>
  <c r="J518" i="4"/>
  <c r="D518" i="4"/>
  <c r="E519" i="4"/>
  <c r="J330" i="4"/>
  <c r="R330" i="4" s="1"/>
  <c r="S330" i="4" s="1"/>
  <c r="E331" i="4"/>
  <c r="I331" i="4" s="1"/>
  <c r="Q331" i="4" s="1"/>
  <c r="D330" i="4"/>
  <c r="Y329" i="4" l="1"/>
  <c r="X329" i="4"/>
  <c r="Y516" i="4"/>
  <c r="X516" i="4"/>
  <c r="T517" i="4"/>
  <c r="U517" i="4" s="1"/>
  <c r="V517" i="4" s="1"/>
  <c r="W517" i="4" s="1"/>
  <c r="R518" i="4"/>
  <c r="S518" i="4" s="1"/>
  <c r="T330" i="4"/>
  <c r="U330" i="4" s="1"/>
  <c r="V330" i="4" s="1"/>
  <c r="W330" i="4" s="1"/>
  <c r="P518" i="4"/>
  <c r="P330" i="4"/>
  <c r="F331" i="4"/>
  <c r="I519" i="4"/>
  <c r="Q519" i="4" s="1"/>
  <c r="D519" i="4"/>
  <c r="E520" i="4"/>
  <c r="J519" i="4"/>
  <c r="J331" i="4"/>
  <c r="R331" i="4" s="1"/>
  <c r="S331" i="4" s="1"/>
  <c r="E332" i="4"/>
  <c r="I332" i="4" s="1"/>
  <c r="Q332" i="4" s="1"/>
  <c r="D331" i="4"/>
  <c r="Y330" i="4" l="1"/>
  <c r="X330" i="4"/>
  <c r="Y517" i="4"/>
  <c r="X517" i="4"/>
  <c r="R519" i="4"/>
  <c r="S519" i="4" s="1"/>
  <c r="T518" i="4"/>
  <c r="U518" i="4" s="1"/>
  <c r="V518" i="4" s="1"/>
  <c r="W518" i="4" s="1"/>
  <c r="T331" i="4"/>
  <c r="U331" i="4" s="1"/>
  <c r="V331" i="4" s="1"/>
  <c r="W331" i="4" s="1"/>
  <c r="P331" i="4"/>
  <c r="P519" i="4"/>
  <c r="F332" i="4"/>
  <c r="I520" i="4"/>
  <c r="Q520" i="4" s="1"/>
  <c r="D520" i="4"/>
  <c r="E521" i="4"/>
  <c r="J520" i="4"/>
  <c r="J332" i="4"/>
  <c r="R332" i="4" s="1"/>
  <c r="S332" i="4" s="1"/>
  <c r="E333" i="4"/>
  <c r="I333" i="4" s="1"/>
  <c r="Q333" i="4" s="1"/>
  <c r="D332" i="4"/>
  <c r="Y331" i="4" l="1"/>
  <c r="X331" i="4"/>
  <c r="Y518" i="4"/>
  <c r="X518" i="4"/>
  <c r="R520" i="4"/>
  <c r="S520" i="4" s="1"/>
  <c r="T332" i="4"/>
  <c r="U332" i="4" s="1"/>
  <c r="V332" i="4" s="1"/>
  <c r="W332" i="4" s="1"/>
  <c r="T519" i="4"/>
  <c r="U519" i="4" s="1"/>
  <c r="V519" i="4" s="1"/>
  <c r="W519" i="4" s="1"/>
  <c r="P332" i="4"/>
  <c r="P520" i="4"/>
  <c r="F333" i="4"/>
  <c r="I521" i="4"/>
  <c r="Q521" i="4" s="1"/>
  <c r="J521" i="4"/>
  <c r="D521" i="4"/>
  <c r="E522" i="4"/>
  <c r="J333" i="4"/>
  <c r="R333" i="4" s="1"/>
  <c r="S333" i="4" s="1"/>
  <c r="D333" i="4"/>
  <c r="E334" i="4"/>
  <c r="Y332" i="4" l="1"/>
  <c r="X332" i="4"/>
  <c r="Y519" i="4"/>
  <c r="X519" i="4"/>
  <c r="R521" i="4"/>
  <c r="T520" i="4"/>
  <c r="U520" i="4" s="1"/>
  <c r="V520" i="4" s="1"/>
  <c r="W520" i="4" s="1"/>
  <c r="T333" i="4"/>
  <c r="U333" i="4" s="1"/>
  <c r="V333" i="4" s="1"/>
  <c r="W333" i="4" s="1"/>
  <c r="P521" i="4"/>
  <c r="P333" i="4"/>
  <c r="F334" i="4"/>
  <c r="I522" i="4"/>
  <c r="Q522" i="4" s="1"/>
  <c r="J522" i="4"/>
  <c r="E523" i="4"/>
  <c r="D522" i="4"/>
  <c r="I334" i="4"/>
  <c r="Q334" i="4" s="1"/>
  <c r="J334" i="4"/>
  <c r="D334" i="4"/>
  <c r="E335" i="4"/>
  <c r="I335" i="4" s="1"/>
  <c r="Q335" i="4" s="1"/>
  <c r="Y333" i="4" l="1"/>
  <c r="X333" i="4"/>
  <c r="Y520" i="4"/>
  <c r="X520" i="4"/>
  <c r="T521" i="4"/>
  <c r="U521" i="4" s="1"/>
  <c r="V521" i="4" s="1"/>
  <c r="W521" i="4" s="1"/>
  <c r="S521" i="4"/>
  <c r="R334" i="4"/>
  <c r="S334" i="4" s="1"/>
  <c r="R522" i="4"/>
  <c r="S522" i="4" s="1"/>
  <c r="P334" i="4"/>
  <c r="P522" i="4"/>
  <c r="F335" i="4"/>
  <c r="I523" i="4"/>
  <c r="Q523" i="4" s="1"/>
  <c r="J523" i="4"/>
  <c r="E524" i="4"/>
  <c r="D523" i="4"/>
  <c r="E336" i="4"/>
  <c r="I336" i="4" s="1"/>
  <c r="Q336" i="4" s="1"/>
  <c r="J335" i="4"/>
  <c r="R335" i="4" s="1"/>
  <c r="S335" i="4" s="1"/>
  <c r="D335" i="4"/>
  <c r="Y521" i="4" l="1"/>
  <c r="X521" i="4"/>
  <c r="R523" i="4"/>
  <c r="S523" i="4" s="1"/>
  <c r="T335" i="4"/>
  <c r="U335" i="4" s="1"/>
  <c r="V335" i="4" s="1"/>
  <c r="W335" i="4" s="1"/>
  <c r="T522" i="4"/>
  <c r="U522" i="4" s="1"/>
  <c r="V522" i="4" s="1"/>
  <c r="W522" i="4" s="1"/>
  <c r="T334" i="4"/>
  <c r="U334" i="4" s="1"/>
  <c r="V334" i="4" s="1"/>
  <c r="W334" i="4" s="1"/>
  <c r="P335" i="4"/>
  <c r="P523" i="4"/>
  <c r="F336" i="4"/>
  <c r="I524" i="4"/>
  <c r="Q524" i="4" s="1"/>
  <c r="E525" i="4"/>
  <c r="D524" i="4"/>
  <c r="J524" i="4"/>
  <c r="J336" i="4"/>
  <c r="R336" i="4" s="1"/>
  <c r="S336" i="4" s="1"/>
  <c r="D336" i="4"/>
  <c r="E337" i="4"/>
  <c r="I337" i="4" s="1"/>
  <c r="Q337" i="4" s="1"/>
  <c r="T523" i="4" l="1"/>
  <c r="U523" i="4" s="1"/>
  <c r="V523" i="4" s="1"/>
  <c r="W523" i="4" s="1"/>
  <c r="Y523" i="4" s="1"/>
  <c r="Y335" i="4"/>
  <c r="X335" i="4"/>
  <c r="Y334" i="4"/>
  <c r="X334" i="4"/>
  <c r="Y522" i="4"/>
  <c r="X522" i="4"/>
  <c r="R524" i="4"/>
  <c r="S524" i="4" s="1"/>
  <c r="T336" i="4"/>
  <c r="U336" i="4" s="1"/>
  <c r="V336" i="4" s="1"/>
  <c r="W336" i="4" s="1"/>
  <c r="P336" i="4"/>
  <c r="P524" i="4"/>
  <c r="F337" i="4"/>
  <c r="I525" i="4"/>
  <c r="Q525" i="4" s="1"/>
  <c r="J525" i="4"/>
  <c r="D525" i="4"/>
  <c r="E526" i="4"/>
  <c r="D337" i="4"/>
  <c r="J337" i="4"/>
  <c r="R337" i="4" s="1"/>
  <c r="S337" i="4" s="1"/>
  <c r="E338" i="4"/>
  <c r="I338" i="4" s="1"/>
  <c r="Q338" i="4" s="1"/>
  <c r="X523" i="4" l="1"/>
  <c r="Y336" i="4"/>
  <c r="X336" i="4"/>
  <c r="R525" i="4"/>
  <c r="S525" i="4" s="1"/>
  <c r="T524" i="4"/>
  <c r="U524" i="4" s="1"/>
  <c r="V524" i="4" s="1"/>
  <c r="W524" i="4" s="1"/>
  <c r="T337" i="4"/>
  <c r="U337" i="4" s="1"/>
  <c r="V337" i="4" s="1"/>
  <c r="W337" i="4" s="1"/>
  <c r="P337" i="4"/>
  <c r="P525" i="4"/>
  <c r="F338" i="4"/>
  <c r="I526" i="4"/>
  <c r="Q526" i="4" s="1"/>
  <c r="D526" i="4"/>
  <c r="E527" i="4"/>
  <c r="J526" i="4"/>
  <c r="E339" i="4"/>
  <c r="I339" i="4" s="1"/>
  <c r="Q339" i="4" s="1"/>
  <c r="J338" i="4"/>
  <c r="R338" i="4" s="1"/>
  <c r="S338" i="4" s="1"/>
  <c r="D338" i="4"/>
  <c r="Y524" i="4" l="1"/>
  <c r="X524" i="4"/>
  <c r="Y337" i="4"/>
  <c r="X337" i="4"/>
  <c r="R526" i="4"/>
  <c r="T338" i="4"/>
  <c r="U338" i="4" s="1"/>
  <c r="V338" i="4" s="1"/>
  <c r="W338" i="4" s="1"/>
  <c r="T525" i="4"/>
  <c r="U525" i="4" s="1"/>
  <c r="V525" i="4" s="1"/>
  <c r="W525" i="4" s="1"/>
  <c r="P338" i="4"/>
  <c r="P526" i="4"/>
  <c r="F339" i="4"/>
  <c r="I527" i="4"/>
  <c r="Q527" i="4" s="1"/>
  <c r="D527" i="4"/>
  <c r="E528" i="4"/>
  <c r="J527" i="4"/>
  <c r="J339" i="4"/>
  <c r="R339" i="4" s="1"/>
  <c r="S339" i="4" s="1"/>
  <c r="E340" i="4"/>
  <c r="I340" i="4" s="1"/>
  <c r="Q340" i="4" s="1"/>
  <c r="D339" i="4"/>
  <c r="Y525" i="4" l="1"/>
  <c r="X525" i="4"/>
  <c r="Y338" i="4"/>
  <c r="X338" i="4"/>
  <c r="T526" i="4"/>
  <c r="U526" i="4" s="1"/>
  <c r="V526" i="4" s="1"/>
  <c r="W526" i="4" s="1"/>
  <c r="S526" i="4"/>
  <c r="R527" i="4"/>
  <c r="S527" i="4" s="1"/>
  <c r="T339" i="4"/>
  <c r="U339" i="4" s="1"/>
  <c r="V339" i="4" s="1"/>
  <c r="W339" i="4" s="1"/>
  <c r="P339" i="4"/>
  <c r="P527" i="4"/>
  <c r="F340" i="4"/>
  <c r="I528" i="4"/>
  <c r="Q528" i="4" s="1"/>
  <c r="J528" i="4"/>
  <c r="D528" i="4"/>
  <c r="E529" i="4"/>
  <c r="J340" i="4"/>
  <c r="R340" i="4" s="1"/>
  <c r="S340" i="4" s="1"/>
  <c r="E341" i="4"/>
  <c r="I341" i="4" s="1"/>
  <c r="Q341" i="4" s="1"/>
  <c r="D340" i="4"/>
  <c r="Y339" i="4" l="1"/>
  <c r="X339" i="4"/>
  <c r="Y526" i="4"/>
  <c r="X526" i="4"/>
  <c r="R528" i="4"/>
  <c r="S528" i="4" s="1"/>
  <c r="T340" i="4"/>
  <c r="U340" i="4" s="1"/>
  <c r="V340" i="4" s="1"/>
  <c r="W340" i="4" s="1"/>
  <c r="T527" i="4"/>
  <c r="U527" i="4" s="1"/>
  <c r="V527" i="4" s="1"/>
  <c r="W527" i="4" s="1"/>
  <c r="P528" i="4"/>
  <c r="P340" i="4"/>
  <c r="F341" i="4"/>
  <c r="I529" i="4"/>
  <c r="Q529" i="4" s="1"/>
  <c r="D529" i="4"/>
  <c r="J529" i="4"/>
  <c r="E530" i="4"/>
  <c r="D341" i="4"/>
  <c r="J341" i="4"/>
  <c r="R341" i="4" s="1"/>
  <c r="S341" i="4" s="1"/>
  <c r="E342" i="4"/>
  <c r="I342" i="4" s="1"/>
  <c r="Q342" i="4" s="1"/>
  <c r="Y527" i="4" l="1"/>
  <c r="X527" i="4"/>
  <c r="Y340" i="4"/>
  <c r="X340" i="4"/>
  <c r="R529" i="4"/>
  <c r="T341" i="4"/>
  <c r="U341" i="4" s="1"/>
  <c r="V341" i="4" s="1"/>
  <c r="W341" i="4" s="1"/>
  <c r="T528" i="4"/>
  <c r="U528" i="4" s="1"/>
  <c r="V528" i="4" s="1"/>
  <c r="W528" i="4" s="1"/>
  <c r="P341" i="4"/>
  <c r="P529" i="4"/>
  <c r="F342" i="4"/>
  <c r="I530" i="4"/>
  <c r="Q530" i="4" s="1"/>
  <c r="J530" i="4"/>
  <c r="D530" i="4"/>
  <c r="E531" i="4"/>
  <c r="D342" i="4"/>
  <c r="J342" i="4"/>
  <c r="R342" i="4" s="1"/>
  <c r="S342" i="4" s="1"/>
  <c r="E343" i="4"/>
  <c r="I343" i="4" s="1"/>
  <c r="Q343" i="4" s="1"/>
  <c r="Y528" i="4" l="1"/>
  <c r="X528" i="4"/>
  <c r="Y341" i="4"/>
  <c r="X341" i="4"/>
  <c r="T529" i="4"/>
  <c r="U529" i="4" s="1"/>
  <c r="V529" i="4" s="1"/>
  <c r="W529" i="4" s="1"/>
  <c r="S529" i="4"/>
  <c r="R530" i="4"/>
  <c r="S530" i="4" s="1"/>
  <c r="T342" i="4"/>
  <c r="U342" i="4" s="1"/>
  <c r="V342" i="4" s="1"/>
  <c r="W342" i="4" s="1"/>
  <c r="P342" i="4"/>
  <c r="P530" i="4"/>
  <c r="F343" i="4"/>
  <c r="I531" i="4"/>
  <c r="Q531" i="4" s="1"/>
  <c r="E532" i="4"/>
  <c r="J531" i="4"/>
  <c r="D531" i="4"/>
  <c r="E344" i="4"/>
  <c r="I344" i="4" s="1"/>
  <c r="Q344" i="4" s="1"/>
  <c r="J343" i="4"/>
  <c r="R343" i="4" s="1"/>
  <c r="S343" i="4" s="1"/>
  <c r="D343" i="4"/>
  <c r="Y342" i="4" l="1"/>
  <c r="X342" i="4"/>
  <c r="Y529" i="4"/>
  <c r="X529" i="4"/>
  <c r="R531" i="4"/>
  <c r="T343" i="4"/>
  <c r="U343" i="4" s="1"/>
  <c r="V343" i="4" s="1"/>
  <c r="W343" i="4" s="1"/>
  <c r="T530" i="4"/>
  <c r="U530" i="4" s="1"/>
  <c r="V530" i="4" s="1"/>
  <c r="W530" i="4" s="1"/>
  <c r="P531" i="4"/>
  <c r="P343" i="4"/>
  <c r="F344" i="4"/>
  <c r="I532" i="4"/>
  <c r="Q532" i="4" s="1"/>
  <c r="E533" i="4"/>
  <c r="D532" i="4"/>
  <c r="J532" i="4"/>
  <c r="J344" i="4"/>
  <c r="R344" i="4" s="1"/>
  <c r="S344" i="4" s="1"/>
  <c r="D344" i="4"/>
  <c r="E345" i="4"/>
  <c r="I345" i="4" s="1"/>
  <c r="Q345" i="4" s="1"/>
  <c r="Y530" i="4" l="1"/>
  <c r="X530" i="4"/>
  <c r="Y343" i="4"/>
  <c r="X343" i="4"/>
  <c r="T531" i="4"/>
  <c r="U531" i="4" s="1"/>
  <c r="V531" i="4" s="1"/>
  <c r="W531" i="4" s="1"/>
  <c r="S531" i="4"/>
  <c r="R532" i="4"/>
  <c r="S532" i="4" s="1"/>
  <c r="T344" i="4"/>
  <c r="U344" i="4" s="1"/>
  <c r="V344" i="4" s="1"/>
  <c r="W344" i="4" s="1"/>
  <c r="P344" i="4"/>
  <c r="P532" i="4"/>
  <c r="F345" i="4"/>
  <c r="I533" i="4"/>
  <c r="Q533" i="4" s="1"/>
  <c r="J533" i="4"/>
  <c r="E534" i="4"/>
  <c r="D533" i="4"/>
  <c r="D345" i="4"/>
  <c r="J345" i="4"/>
  <c r="R345" i="4" s="1"/>
  <c r="S345" i="4" s="1"/>
  <c r="E346" i="4"/>
  <c r="I346" i="4" s="1"/>
  <c r="Q346" i="4" s="1"/>
  <c r="Y344" i="4" l="1"/>
  <c r="X344" i="4"/>
  <c r="Y531" i="4"/>
  <c r="X531" i="4"/>
  <c r="R533" i="4"/>
  <c r="S533" i="4" s="1"/>
  <c r="T532" i="4"/>
  <c r="U532" i="4" s="1"/>
  <c r="V532" i="4" s="1"/>
  <c r="W532" i="4" s="1"/>
  <c r="T345" i="4"/>
  <c r="U345" i="4" s="1"/>
  <c r="V345" i="4" s="1"/>
  <c r="W345" i="4" s="1"/>
  <c r="P345" i="4"/>
  <c r="P533" i="4"/>
  <c r="F346" i="4"/>
  <c r="I534" i="4"/>
  <c r="Q534" i="4" s="1"/>
  <c r="J534" i="4"/>
  <c r="D534" i="4"/>
  <c r="E535" i="4"/>
  <c r="J346" i="4"/>
  <c r="R346" i="4" s="1"/>
  <c r="S346" i="4" s="1"/>
  <c r="D346" i="4"/>
  <c r="E347" i="4"/>
  <c r="I347" i="4" s="1"/>
  <c r="Q347" i="4" s="1"/>
  <c r="Y345" i="4" l="1"/>
  <c r="X345" i="4"/>
  <c r="Y532" i="4"/>
  <c r="X532" i="4"/>
  <c r="R534" i="4"/>
  <c r="T346" i="4"/>
  <c r="U346" i="4" s="1"/>
  <c r="V346" i="4" s="1"/>
  <c r="W346" i="4" s="1"/>
  <c r="T533" i="4"/>
  <c r="U533" i="4" s="1"/>
  <c r="V533" i="4" s="1"/>
  <c r="W533" i="4" s="1"/>
  <c r="P534" i="4"/>
  <c r="P346" i="4"/>
  <c r="F347" i="4"/>
  <c r="I535" i="4"/>
  <c r="Q535" i="4" s="1"/>
  <c r="J535" i="4"/>
  <c r="E536" i="4"/>
  <c r="D535" i="4"/>
  <c r="E348" i="4"/>
  <c r="I348" i="4" s="1"/>
  <c r="Q348" i="4" s="1"/>
  <c r="J347" i="4"/>
  <c r="R347" i="4" s="1"/>
  <c r="S347" i="4" s="1"/>
  <c r="D347" i="4"/>
  <c r="Y346" i="4" l="1"/>
  <c r="X346" i="4"/>
  <c r="Y533" i="4"/>
  <c r="X533" i="4"/>
  <c r="T534" i="4"/>
  <c r="U534" i="4" s="1"/>
  <c r="V534" i="4" s="1"/>
  <c r="W534" i="4" s="1"/>
  <c r="S534" i="4"/>
  <c r="R535" i="4"/>
  <c r="T347" i="4"/>
  <c r="U347" i="4" s="1"/>
  <c r="V347" i="4" s="1"/>
  <c r="W347" i="4" s="1"/>
  <c r="P347" i="4"/>
  <c r="P535" i="4"/>
  <c r="F348" i="4"/>
  <c r="I536" i="4"/>
  <c r="Q536" i="4" s="1"/>
  <c r="E537" i="4"/>
  <c r="D536" i="4"/>
  <c r="J536" i="4"/>
  <c r="J348" i="4"/>
  <c r="R348" i="4" s="1"/>
  <c r="S348" i="4" s="1"/>
  <c r="E349" i="4"/>
  <c r="I349" i="4" s="1"/>
  <c r="Q349" i="4" s="1"/>
  <c r="D348" i="4"/>
  <c r="Y347" i="4" l="1"/>
  <c r="X347" i="4"/>
  <c r="Y534" i="4"/>
  <c r="X534" i="4"/>
  <c r="T535" i="4"/>
  <c r="U535" i="4" s="1"/>
  <c r="V535" i="4" s="1"/>
  <c r="W535" i="4" s="1"/>
  <c r="S535" i="4"/>
  <c r="R536" i="4"/>
  <c r="S536" i="4" s="1"/>
  <c r="T348" i="4"/>
  <c r="U348" i="4" s="1"/>
  <c r="V348" i="4" s="1"/>
  <c r="W348" i="4" s="1"/>
  <c r="P348" i="4"/>
  <c r="P536" i="4"/>
  <c r="F349" i="4"/>
  <c r="I537" i="4"/>
  <c r="Q537" i="4" s="1"/>
  <c r="E538" i="4"/>
  <c r="D537" i="4"/>
  <c r="J537" i="4"/>
  <c r="J349" i="4"/>
  <c r="R349" i="4" s="1"/>
  <c r="S349" i="4" s="1"/>
  <c r="D349" i="4"/>
  <c r="E350" i="4"/>
  <c r="I350" i="4" s="1"/>
  <c r="Q350" i="4" s="1"/>
  <c r="T536" i="4" l="1"/>
  <c r="U536" i="4" s="1"/>
  <c r="V536" i="4" s="1"/>
  <c r="W536" i="4" s="1"/>
  <c r="Y536" i="4" s="1"/>
  <c r="Y348" i="4"/>
  <c r="X348" i="4"/>
  <c r="Y535" i="4"/>
  <c r="X535" i="4"/>
  <c r="R537" i="4"/>
  <c r="S537" i="4" s="1"/>
  <c r="T349" i="4"/>
  <c r="U349" i="4" s="1"/>
  <c r="V349" i="4" s="1"/>
  <c r="W349" i="4" s="1"/>
  <c r="P349" i="4"/>
  <c r="P537" i="4"/>
  <c r="F350" i="4"/>
  <c r="I538" i="4"/>
  <c r="Q538" i="4" s="1"/>
  <c r="D538" i="4"/>
  <c r="J538" i="4"/>
  <c r="E539" i="4"/>
  <c r="J350" i="4"/>
  <c r="R350" i="4" s="1"/>
  <c r="S350" i="4" s="1"/>
  <c r="E351" i="4"/>
  <c r="I351" i="4" s="1"/>
  <c r="Q351" i="4" s="1"/>
  <c r="D350" i="4"/>
  <c r="X536" i="4" l="1"/>
  <c r="Y349" i="4"/>
  <c r="X349" i="4"/>
  <c r="R538" i="4"/>
  <c r="S538" i="4" s="1"/>
  <c r="T537" i="4"/>
  <c r="U537" i="4" s="1"/>
  <c r="V537" i="4" s="1"/>
  <c r="W537" i="4" s="1"/>
  <c r="T350" i="4"/>
  <c r="U350" i="4" s="1"/>
  <c r="V350" i="4" s="1"/>
  <c r="W350" i="4" s="1"/>
  <c r="P538" i="4"/>
  <c r="P350" i="4"/>
  <c r="F351" i="4"/>
  <c r="I539" i="4"/>
  <c r="Q539" i="4" s="1"/>
  <c r="J539" i="4"/>
  <c r="E540" i="4"/>
  <c r="D539" i="4"/>
  <c r="D351" i="4"/>
  <c r="J351" i="4"/>
  <c r="R351" i="4" s="1"/>
  <c r="S351" i="4" s="1"/>
  <c r="E352" i="4"/>
  <c r="I352" i="4" s="1"/>
  <c r="Q352" i="4" s="1"/>
  <c r="Y537" i="4" l="1"/>
  <c r="X537" i="4"/>
  <c r="Y350" i="4"/>
  <c r="X350" i="4"/>
  <c r="R539" i="4"/>
  <c r="S539" i="4" s="1"/>
  <c r="T351" i="4"/>
  <c r="U351" i="4" s="1"/>
  <c r="V351" i="4" s="1"/>
  <c r="W351" i="4" s="1"/>
  <c r="T538" i="4"/>
  <c r="U538" i="4" s="1"/>
  <c r="V538" i="4" s="1"/>
  <c r="W538" i="4" s="1"/>
  <c r="P351" i="4"/>
  <c r="P539" i="4"/>
  <c r="F352" i="4"/>
  <c r="I540" i="4"/>
  <c r="Q540" i="4" s="1"/>
  <c r="J540" i="4"/>
  <c r="E541" i="4"/>
  <c r="D540" i="4"/>
  <c r="J352" i="4"/>
  <c r="R352" i="4" s="1"/>
  <c r="S352" i="4" s="1"/>
  <c r="E353" i="4"/>
  <c r="D352" i="4"/>
  <c r="Y538" i="4" l="1"/>
  <c r="X538" i="4"/>
  <c r="Y351" i="4"/>
  <c r="X351" i="4"/>
  <c r="R540" i="4"/>
  <c r="T539" i="4"/>
  <c r="U539" i="4" s="1"/>
  <c r="V539" i="4" s="1"/>
  <c r="W539" i="4" s="1"/>
  <c r="T352" i="4"/>
  <c r="U352" i="4" s="1"/>
  <c r="V352" i="4" s="1"/>
  <c r="W352" i="4" s="1"/>
  <c r="P540" i="4"/>
  <c r="P352" i="4"/>
  <c r="F353" i="4"/>
  <c r="I541" i="4"/>
  <c r="Q541" i="4" s="1"/>
  <c r="J541" i="4"/>
  <c r="D541" i="4"/>
  <c r="E542" i="4"/>
  <c r="I353" i="4"/>
  <c r="Q353" i="4" s="1"/>
  <c r="E354" i="4"/>
  <c r="J353" i="4"/>
  <c r="D353" i="4"/>
  <c r="Y352" i="4" l="1"/>
  <c r="X352" i="4"/>
  <c r="Y539" i="4"/>
  <c r="X539" i="4"/>
  <c r="T540" i="4"/>
  <c r="U540" i="4" s="1"/>
  <c r="V540" i="4" s="1"/>
  <c r="W540" i="4" s="1"/>
  <c r="S540" i="4"/>
  <c r="R353" i="4"/>
  <c r="S353" i="4" s="1"/>
  <c r="R541" i="4"/>
  <c r="S541" i="4" s="1"/>
  <c r="P353" i="4"/>
  <c r="P541" i="4"/>
  <c r="F354" i="4"/>
  <c r="I542" i="4"/>
  <c r="Q542" i="4" s="1"/>
  <c r="E543" i="4"/>
  <c r="J542" i="4"/>
  <c r="D542" i="4"/>
  <c r="I354" i="4"/>
  <c r="Q354" i="4" s="1"/>
  <c r="J354" i="4"/>
  <c r="E355" i="4"/>
  <c r="I355" i="4" s="1"/>
  <c r="Q355" i="4" s="1"/>
  <c r="D354" i="4"/>
  <c r="Y540" i="4" l="1"/>
  <c r="X540" i="4"/>
  <c r="R542" i="4"/>
  <c r="S542" i="4" s="1"/>
  <c r="R354" i="4"/>
  <c r="S354" i="4" s="1"/>
  <c r="T541" i="4"/>
  <c r="U541" i="4" s="1"/>
  <c r="V541" i="4" s="1"/>
  <c r="W541" i="4" s="1"/>
  <c r="T353" i="4"/>
  <c r="U353" i="4" s="1"/>
  <c r="V353" i="4" s="1"/>
  <c r="W353" i="4" s="1"/>
  <c r="P542" i="4"/>
  <c r="P354" i="4"/>
  <c r="F355" i="4"/>
  <c r="I543" i="4"/>
  <c r="Q543" i="4" s="1"/>
  <c r="E544" i="4"/>
  <c r="D543" i="4"/>
  <c r="J543" i="4"/>
  <c r="J355" i="4"/>
  <c r="R355" i="4" s="1"/>
  <c r="S355" i="4" s="1"/>
  <c r="D355" i="4"/>
  <c r="E356" i="4"/>
  <c r="I356" i="4" s="1"/>
  <c r="Q356" i="4" s="1"/>
  <c r="Y353" i="4" l="1"/>
  <c r="X353" i="4"/>
  <c r="Y541" i="4"/>
  <c r="X541" i="4"/>
  <c r="R543" i="4"/>
  <c r="T355" i="4"/>
  <c r="U355" i="4" s="1"/>
  <c r="V355" i="4" s="1"/>
  <c r="W355" i="4" s="1"/>
  <c r="T542" i="4"/>
  <c r="U542" i="4" s="1"/>
  <c r="V542" i="4" s="1"/>
  <c r="W542" i="4" s="1"/>
  <c r="T354" i="4"/>
  <c r="U354" i="4" s="1"/>
  <c r="V354" i="4" s="1"/>
  <c r="W354" i="4" s="1"/>
  <c r="P355" i="4"/>
  <c r="P543" i="4"/>
  <c r="F356" i="4"/>
  <c r="I544" i="4"/>
  <c r="Q544" i="4" s="1"/>
  <c r="E545" i="4"/>
  <c r="D544" i="4"/>
  <c r="J544" i="4"/>
  <c r="J356" i="4"/>
  <c r="R356" i="4" s="1"/>
  <c r="S356" i="4" s="1"/>
  <c r="E357" i="4"/>
  <c r="I357" i="4" s="1"/>
  <c r="Q357" i="4" s="1"/>
  <c r="D356" i="4"/>
  <c r="Y354" i="4" l="1"/>
  <c r="X354" i="4"/>
  <c r="Y542" i="4"/>
  <c r="X542" i="4"/>
  <c r="Y355" i="4"/>
  <c r="X355" i="4"/>
  <c r="T543" i="4"/>
  <c r="U543" i="4" s="1"/>
  <c r="V543" i="4" s="1"/>
  <c r="W543" i="4" s="1"/>
  <c r="S543" i="4"/>
  <c r="R544" i="4"/>
  <c r="S544" i="4" s="1"/>
  <c r="T356" i="4"/>
  <c r="U356" i="4" s="1"/>
  <c r="V356" i="4" s="1"/>
  <c r="W356" i="4" s="1"/>
  <c r="P356" i="4"/>
  <c r="P544" i="4"/>
  <c r="F357" i="4"/>
  <c r="I545" i="4"/>
  <c r="Q545" i="4" s="1"/>
  <c r="J545" i="4"/>
  <c r="E546" i="4"/>
  <c r="D545" i="4"/>
  <c r="D357" i="4"/>
  <c r="J357" i="4"/>
  <c r="R357" i="4" s="1"/>
  <c r="S357" i="4" s="1"/>
  <c r="E358" i="4"/>
  <c r="I358" i="4" s="1"/>
  <c r="Q358" i="4" s="1"/>
  <c r="Y356" i="4" l="1"/>
  <c r="X356" i="4"/>
  <c r="R545" i="4"/>
  <c r="S545" i="4" s="1"/>
  <c r="Y543" i="4"/>
  <c r="X543" i="4"/>
  <c r="T544" i="4"/>
  <c r="U544" i="4" s="1"/>
  <c r="V544" i="4" s="1"/>
  <c r="W544" i="4" s="1"/>
  <c r="T357" i="4"/>
  <c r="U357" i="4" s="1"/>
  <c r="V357" i="4" s="1"/>
  <c r="W357" i="4" s="1"/>
  <c r="P357" i="4"/>
  <c r="P545" i="4"/>
  <c r="F358" i="4"/>
  <c r="I546" i="4"/>
  <c r="Q546" i="4" s="1"/>
  <c r="D546" i="4"/>
  <c r="J546" i="4"/>
  <c r="E547" i="4"/>
  <c r="J358" i="4"/>
  <c r="R358" i="4" s="1"/>
  <c r="S358" i="4" s="1"/>
  <c r="D358" i="4"/>
  <c r="E359" i="4"/>
  <c r="I359" i="4" s="1"/>
  <c r="Q359" i="4" s="1"/>
  <c r="Y357" i="4" l="1"/>
  <c r="X357" i="4"/>
  <c r="Y544" i="4"/>
  <c r="X544" i="4"/>
  <c r="R546" i="4"/>
  <c r="T358" i="4"/>
  <c r="U358" i="4" s="1"/>
  <c r="V358" i="4" s="1"/>
  <c r="W358" i="4" s="1"/>
  <c r="T545" i="4"/>
  <c r="U545" i="4" s="1"/>
  <c r="V545" i="4" s="1"/>
  <c r="W545" i="4" s="1"/>
  <c r="P546" i="4"/>
  <c r="P358" i="4"/>
  <c r="F359" i="4"/>
  <c r="I547" i="4"/>
  <c r="Q547" i="4" s="1"/>
  <c r="J547" i="4"/>
  <c r="D547" i="4"/>
  <c r="E548" i="4"/>
  <c r="E360" i="4"/>
  <c r="I360" i="4" s="1"/>
  <c r="Q360" i="4" s="1"/>
  <c r="J359" i="4"/>
  <c r="R359" i="4" s="1"/>
  <c r="S359" i="4" s="1"/>
  <c r="D359" i="4"/>
  <c r="Y545" i="4" l="1"/>
  <c r="X545" i="4"/>
  <c r="Y358" i="4"/>
  <c r="X358" i="4"/>
  <c r="T546" i="4"/>
  <c r="U546" i="4" s="1"/>
  <c r="V546" i="4" s="1"/>
  <c r="W546" i="4" s="1"/>
  <c r="S546" i="4"/>
  <c r="R547" i="4"/>
  <c r="S547" i="4" s="1"/>
  <c r="T359" i="4"/>
  <c r="U359" i="4" s="1"/>
  <c r="V359" i="4" s="1"/>
  <c r="W359" i="4" s="1"/>
  <c r="P359" i="4"/>
  <c r="P547" i="4"/>
  <c r="F360" i="4"/>
  <c r="I548" i="4"/>
  <c r="Q548" i="4" s="1"/>
  <c r="D548" i="4"/>
  <c r="E549" i="4"/>
  <c r="J548" i="4"/>
  <c r="J360" i="4"/>
  <c r="R360" i="4" s="1"/>
  <c r="S360" i="4" s="1"/>
  <c r="D360" i="4"/>
  <c r="E361" i="4"/>
  <c r="I361" i="4" s="1"/>
  <c r="Q361" i="4" s="1"/>
  <c r="Y359" i="4" l="1"/>
  <c r="X359" i="4"/>
  <c r="Y546" i="4"/>
  <c r="X546" i="4"/>
  <c r="R548" i="4"/>
  <c r="T360" i="4"/>
  <c r="U360" i="4" s="1"/>
  <c r="V360" i="4" s="1"/>
  <c r="W360" i="4" s="1"/>
  <c r="T547" i="4"/>
  <c r="U547" i="4" s="1"/>
  <c r="V547" i="4" s="1"/>
  <c r="W547" i="4" s="1"/>
  <c r="P360" i="4"/>
  <c r="P548" i="4"/>
  <c r="F361" i="4"/>
  <c r="I549" i="4"/>
  <c r="Q549" i="4" s="1"/>
  <c r="E550" i="4"/>
  <c r="D549" i="4"/>
  <c r="J549" i="4"/>
  <c r="D361" i="4"/>
  <c r="J361" i="4"/>
  <c r="R361" i="4" s="1"/>
  <c r="S361" i="4" s="1"/>
  <c r="E362" i="4"/>
  <c r="I362" i="4" s="1"/>
  <c r="Q362" i="4" s="1"/>
  <c r="Y547" i="4" l="1"/>
  <c r="X547" i="4"/>
  <c r="Y360" i="4"/>
  <c r="X360" i="4"/>
  <c r="T548" i="4"/>
  <c r="U548" i="4" s="1"/>
  <c r="V548" i="4" s="1"/>
  <c r="W548" i="4" s="1"/>
  <c r="S548" i="4"/>
  <c r="R549" i="4"/>
  <c r="S549" i="4" s="1"/>
  <c r="T361" i="4"/>
  <c r="U361" i="4" s="1"/>
  <c r="V361" i="4" s="1"/>
  <c r="W361" i="4" s="1"/>
  <c r="P361" i="4"/>
  <c r="P549" i="4"/>
  <c r="F362" i="4"/>
  <c r="I550" i="4"/>
  <c r="Q550" i="4" s="1"/>
  <c r="J550" i="4"/>
  <c r="D550" i="4"/>
  <c r="E551" i="4"/>
  <c r="J362" i="4"/>
  <c r="R362" i="4" s="1"/>
  <c r="S362" i="4" s="1"/>
  <c r="E363" i="4"/>
  <c r="I363" i="4" s="1"/>
  <c r="Q363" i="4" s="1"/>
  <c r="D362" i="4"/>
  <c r="Y361" i="4" l="1"/>
  <c r="X361" i="4"/>
  <c r="Y548" i="4"/>
  <c r="X548" i="4"/>
  <c r="R550" i="4"/>
  <c r="S550" i="4" s="1"/>
  <c r="T549" i="4"/>
  <c r="U549" i="4" s="1"/>
  <c r="V549" i="4" s="1"/>
  <c r="W549" i="4" s="1"/>
  <c r="T362" i="4"/>
  <c r="U362" i="4" s="1"/>
  <c r="V362" i="4" s="1"/>
  <c r="W362" i="4" s="1"/>
  <c r="P550" i="4"/>
  <c r="P362" i="4"/>
  <c r="F363" i="4"/>
  <c r="I551" i="4"/>
  <c r="Q551" i="4" s="1"/>
  <c r="J551" i="4"/>
  <c r="E552" i="4"/>
  <c r="D551" i="4"/>
  <c r="J363" i="4"/>
  <c r="R363" i="4" s="1"/>
  <c r="S363" i="4" s="1"/>
  <c r="E364" i="4"/>
  <c r="I364" i="4" s="1"/>
  <c r="Q364" i="4" s="1"/>
  <c r="D363" i="4"/>
  <c r="Y362" i="4" l="1"/>
  <c r="X362" i="4"/>
  <c r="Y549" i="4"/>
  <c r="X549" i="4"/>
  <c r="R551" i="4"/>
  <c r="S551" i="4" s="1"/>
  <c r="T363" i="4"/>
  <c r="U363" i="4" s="1"/>
  <c r="V363" i="4" s="1"/>
  <c r="W363" i="4" s="1"/>
  <c r="T550" i="4"/>
  <c r="U550" i="4" s="1"/>
  <c r="V550" i="4" s="1"/>
  <c r="W550" i="4" s="1"/>
  <c r="P551" i="4"/>
  <c r="P363" i="4"/>
  <c r="F364" i="4"/>
  <c r="I552" i="4"/>
  <c r="Q552" i="4" s="1"/>
  <c r="E553" i="4"/>
  <c r="D552" i="4"/>
  <c r="J552" i="4"/>
  <c r="J364" i="4"/>
  <c r="R364" i="4" s="1"/>
  <c r="S364" i="4" s="1"/>
  <c r="E365" i="4"/>
  <c r="D364" i="4"/>
  <c r="Y550" i="4" l="1"/>
  <c r="X550" i="4"/>
  <c r="Y363" i="4"/>
  <c r="X363" i="4"/>
  <c r="R552" i="4"/>
  <c r="S552" i="4" s="1"/>
  <c r="T551" i="4"/>
  <c r="U551" i="4" s="1"/>
  <c r="V551" i="4" s="1"/>
  <c r="W551" i="4" s="1"/>
  <c r="T364" i="4"/>
  <c r="U364" i="4" s="1"/>
  <c r="V364" i="4" s="1"/>
  <c r="W364" i="4" s="1"/>
  <c r="P364" i="4"/>
  <c r="P552" i="4"/>
  <c r="F365" i="4"/>
  <c r="I365" i="4"/>
  <c r="Q365" i="4" s="1"/>
  <c r="I553" i="4"/>
  <c r="Q553" i="4" s="1"/>
  <c r="E554" i="4"/>
  <c r="D553" i="4"/>
  <c r="J553" i="4"/>
  <c r="E366" i="4"/>
  <c r="I366" i="4" s="1"/>
  <c r="Q366" i="4" s="1"/>
  <c r="J365" i="4"/>
  <c r="D365" i="4"/>
  <c r="Y364" i="4" l="1"/>
  <c r="X364" i="4"/>
  <c r="Y551" i="4"/>
  <c r="X551" i="4"/>
  <c r="R553" i="4"/>
  <c r="S553" i="4" s="1"/>
  <c r="R365" i="4"/>
  <c r="S365" i="4" s="1"/>
  <c r="T552" i="4"/>
  <c r="U552" i="4" s="1"/>
  <c r="V552" i="4" s="1"/>
  <c r="W552" i="4" s="1"/>
  <c r="P365" i="4"/>
  <c r="P553" i="4"/>
  <c r="F366" i="4"/>
  <c r="I554" i="4"/>
  <c r="Q554" i="4" s="1"/>
  <c r="E555" i="4"/>
  <c r="D554" i="4"/>
  <c r="J554" i="4"/>
  <c r="J366" i="4"/>
  <c r="R366" i="4" s="1"/>
  <c r="S366" i="4" s="1"/>
  <c r="D366" i="4"/>
  <c r="E367" i="4"/>
  <c r="I367" i="4" s="1"/>
  <c r="Q367" i="4" s="1"/>
  <c r="Y552" i="4" l="1"/>
  <c r="X552" i="4"/>
  <c r="R554" i="4"/>
  <c r="T553" i="4"/>
  <c r="U553" i="4" s="1"/>
  <c r="V553" i="4" s="1"/>
  <c r="W553" i="4" s="1"/>
  <c r="T366" i="4"/>
  <c r="U366" i="4" s="1"/>
  <c r="V366" i="4" s="1"/>
  <c r="W366" i="4" s="1"/>
  <c r="T365" i="4"/>
  <c r="U365" i="4" s="1"/>
  <c r="V365" i="4" s="1"/>
  <c r="W365" i="4" s="1"/>
  <c r="P366" i="4"/>
  <c r="P554" i="4"/>
  <c r="F367" i="4"/>
  <c r="I555" i="4"/>
  <c r="Q555" i="4" s="1"/>
  <c r="D555" i="4"/>
  <c r="E556" i="4"/>
  <c r="J555" i="4"/>
  <c r="J367" i="4"/>
  <c r="R367" i="4" s="1"/>
  <c r="S367" i="4" s="1"/>
  <c r="E368" i="4"/>
  <c r="I368" i="4" s="1"/>
  <c r="Q368" i="4" s="1"/>
  <c r="D367" i="4"/>
  <c r="Y553" i="4" l="1"/>
  <c r="X553" i="4"/>
  <c r="Y365" i="4"/>
  <c r="X365" i="4"/>
  <c r="Y366" i="4"/>
  <c r="X366" i="4"/>
  <c r="T554" i="4"/>
  <c r="U554" i="4" s="1"/>
  <c r="V554" i="4" s="1"/>
  <c r="W554" i="4" s="1"/>
  <c r="S554" i="4"/>
  <c r="R555" i="4"/>
  <c r="S555" i="4" s="1"/>
  <c r="T367" i="4"/>
  <c r="U367" i="4" s="1"/>
  <c r="V367" i="4" s="1"/>
  <c r="W367" i="4" s="1"/>
  <c r="P367" i="4"/>
  <c r="P555" i="4"/>
  <c r="F368" i="4"/>
  <c r="I556" i="4"/>
  <c r="Q556" i="4" s="1"/>
  <c r="D556" i="4"/>
  <c r="J556" i="4"/>
  <c r="E557" i="4"/>
  <c r="J368" i="4"/>
  <c r="R368" i="4" s="1"/>
  <c r="S368" i="4" s="1"/>
  <c r="E369" i="4"/>
  <c r="I369" i="4" s="1"/>
  <c r="Q369" i="4" s="1"/>
  <c r="D368" i="4"/>
  <c r="Y554" i="4" l="1"/>
  <c r="X554" i="4"/>
  <c r="Y367" i="4"/>
  <c r="X367" i="4"/>
  <c r="R556" i="4"/>
  <c r="S556" i="4" s="1"/>
  <c r="T368" i="4"/>
  <c r="U368" i="4" s="1"/>
  <c r="V368" i="4" s="1"/>
  <c r="W368" i="4" s="1"/>
  <c r="T555" i="4"/>
  <c r="U555" i="4" s="1"/>
  <c r="V555" i="4" s="1"/>
  <c r="W555" i="4" s="1"/>
  <c r="P556" i="4"/>
  <c r="P368" i="4"/>
  <c r="F369" i="4"/>
  <c r="I557" i="4"/>
  <c r="Q557" i="4" s="1"/>
  <c r="E558" i="4"/>
  <c r="J557" i="4"/>
  <c r="D557" i="4"/>
  <c r="J369" i="4"/>
  <c r="R369" i="4" s="1"/>
  <c r="S369" i="4" s="1"/>
  <c r="E370" i="4"/>
  <c r="D369" i="4"/>
  <c r="Y555" i="4" l="1"/>
  <c r="X555" i="4"/>
  <c r="Y368" i="4"/>
  <c r="X368" i="4"/>
  <c r="R557" i="4"/>
  <c r="T556" i="4"/>
  <c r="U556" i="4" s="1"/>
  <c r="V556" i="4" s="1"/>
  <c r="W556" i="4" s="1"/>
  <c r="T369" i="4"/>
  <c r="U369" i="4" s="1"/>
  <c r="V369" i="4" s="1"/>
  <c r="W369" i="4" s="1"/>
  <c r="P557" i="4"/>
  <c r="P369" i="4"/>
  <c r="F370" i="4"/>
  <c r="I558" i="4"/>
  <c r="Q558" i="4" s="1"/>
  <c r="D558" i="4"/>
  <c r="E559" i="4"/>
  <c r="J558" i="4"/>
  <c r="I370" i="4"/>
  <c r="Q370" i="4" s="1"/>
  <c r="E371" i="4"/>
  <c r="I371" i="4" s="1"/>
  <c r="Q371" i="4" s="1"/>
  <c r="J370" i="4"/>
  <c r="D370" i="4"/>
  <c r="Y369" i="4" l="1"/>
  <c r="X369" i="4"/>
  <c r="Y556" i="4"/>
  <c r="X556" i="4"/>
  <c r="T557" i="4"/>
  <c r="U557" i="4" s="1"/>
  <c r="V557" i="4" s="1"/>
  <c r="W557" i="4" s="1"/>
  <c r="S557" i="4"/>
  <c r="R370" i="4"/>
  <c r="S370" i="4" s="1"/>
  <c r="R558" i="4"/>
  <c r="S558" i="4" s="1"/>
  <c r="P370" i="4"/>
  <c r="P558" i="4"/>
  <c r="F371" i="4"/>
  <c r="I559" i="4"/>
  <c r="Q559" i="4" s="1"/>
  <c r="J559" i="4"/>
  <c r="E560" i="4"/>
  <c r="D559" i="4"/>
  <c r="E372" i="4"/>
  <c r="I372" i="4" s="1"/>
  <c r="Q372" i="4" s="1"/>
  <c r="J371" i="4"/>
  <c r="R371" i="4" s="1"/>
  <c r="S371" i="4" s="1"/>
  <c r="D371" i="4"/>
  <c r="R559" i="4" l="1"/>
  <c r="S559" i="4" s="1"/>
  <c r="Y557" i="4"/>
  <c r="X557" i="4"/>
  <c r="T558" i="4"/>
  <c r="U558" i="4" s="1"/>
  <c r="V558" i="4" s="1"/>
  <c r="W558" i="4" s="1"/>
  <c r="T371" i="4"/>
  <c r="U371" i="4" s="1"/>
  <c r="V371" i="4" s="1"/>
  <c r="W371" i="4" s="1"/>
  <c r="T370" i="4"/>
  <c r="U370" i="4" s="1"/>
  <c r="V370" i="4" s="1"/>
  <c r="W370" i="4" s="1"/>
  <c r="P371" i="4"/>
  <c r="P559" i="4"/>
  <c r="F372" i="4"/>
  <c r="I560" i="4"/>
  <c r="Q560" i="4" s="1"/>
  <c r="D560" i="4"/>
  <c r="J560" i="4"/>
  <c r="E561" i="4"/>
  <c r="E373" i="4"/>
  <c r="I373" i="4" s="1"/>
  <c r="Q373" i="4" s="1"/>
  <c r="J372" i="4"/>
  <c r="R372" i="4" s="1"/>
  <c r="S372" i="4" s="1"/>
  <c r="D372" i="4"/>
  <c r="T559" i="4" l="1"/>
  <c r="U559" i="4" s="1"/>
  <c r="V559" i="4" s="1"/>
  <c r="W559" i="4" s="1"/>
  <c r="Y559" i="4" s="1"/>
  <c r="Y558" i="4"/>
  <c r="X558" i="4"/>
  <c r="Y370" i="4"/>
  <c r="X370" i="4"/>
  <c r="Y371" i="4"/>
  <c r="X371" i="4"/>
  <c r="R560" i="4"/>
  <c r="S560" i="4" s="1"/>
  <c r="T372" i="4"/>
  <c r="U372" i="4" s="1"/>
  <c r="V372" i="4" s="1"/>
  <c r="W372" i="4" s="1"/>
  <c r="P560" i="4"/>
  <c r="P372" i="4"/>
  <c r="F373" i="4"/>
  <c r="I561" i="4"/>
  <c r="Q561" i="4" s="1"/>
  <c r="E562" i="4"/>
  <c r="J561" i="4"/>
  <c r="D561" i="4"/>
  <c r="J373" i="4"/>
  <c r="R373" i="4" s="1"/>
  <c r="S373" i="4" s="1"/>
  <c r="D373" i="4"/>
  <c r="E374" i="4"/>
  <c r="I374" i="4" s="1"/>
  <c r="Q374" i="4" s="1"/>
  <c r="X559" i="4" l="1"/>
  <c r="Y372" i="4"/>
  <c r="X372" i="4"/>
  <c r="R561" i="4"/>
  <c r="S561" i="4" s="1"/>
  <c r="T373" i="4"/>
  <c r="U373" i="4" s="1"/>
  <c r="V373" i="4" s="1"/>
  <c r="W373" i="4" s="1"/>
  <c r="T560" i="4"/>
  <c r="U560" i="4" s="1"/>
  <c r="V560" i="4" s="1"/>
  <c r="W560" i="4" s="1"/>
  <c r="P561" i="4"/>
  <c r="P373" i="4"/>
  <c r="F374" i="4"/>
  <c r="I562" i="4"/>
  <c r="Q562" i="4" s="1"/>
  <c r="E563" i="4"/>
  <c r="J562" i="4"/>
  <c r="D562" i="4"/>
  <c r="J374" i="4"/>
  <c r="R374" i="4" s="1"/>
  <c r="S374" i="4" s="1"/>
  <c r="D374" i="4"/>
  <c r="E375" i="4"/>
  <c r="I375" i="4" s="1"/>
  <c r="Q375" i="4" s="1"/>
  <c r="Y373" i="4" l="1"/>
  <c r="X373" i="4"/>
  <c r="Y560" i="4"/>
  <c r="X560" i="4"/>
  <c r="R562" i="4"/>
  <c r="T561" i="4"/>
  <c r="U561" i="4" s="1"/>
  <c r="V561" i="4" s="1"/>
  <c r="W561" i="4" s="1"/>
  <c r="T374" i="4"/>
  <c r="U374" i="4" s="1"/>
  <c r="V374" i="4" s="1"/>
  <c r="W374" i="4" s="1"/>
  <c r="P562" i="4"/>
  <c r="P374" i="4"/>
  <c r="F375" i="4"/>
  <c r="I563" i="4"/>
  <c r="Q563" i="4" s="1"/>
  <c r="D563" i="4"/>
  <c r="E564" i="4"/>
  <c r="J563" i="4"/>
  <c r="J375" i="4"/>
  <c r="R375" i="4" s="1"/>
  <c r="S375" i="4" s="1"/>
  <c r="D375" i="4"/>
  <c r="E376" i="4"/>
  <c r="I376" i="4" s="1"/>
  <c r="Q376" i="4" s="1"/>
  <c r="Y374" i="4" l="1"/>
  <c r="X374" i="4"/>
  <c r="Y561" i="4"/>
  <c r="X561" i="4"/>
  <c r="T562" i="4"/>
  <c r="U562" i="4" s="1"/>
  <c r="V562" i="4" s="1"/>
  <c r="W562" i="4" s="1"/>
  <c r="S562" i="4"/>
  <c r="R563" i="4"/>
  <c r="T375" i="4"/>
  <c r="U375" i="4" s="1"/>
  <c r="V375" i="4" s="1"/>
  <c r="W375" i="4" s="1"/>
  <c r="P375" i="4"/>
  <c r="P563" i="4"/>
  <c r="F376" i="4"/>
  <c r="I564" i="4"/>
  <c r="Q564" i="4" s="1"/>
  <c r="J564" i="4"/>
  <c r="D564" i="4"/>
  <c r="E565" i="4"/>
  <c r="J376" i="4"/>
  <c r="R376" i="4" s="1"/>
  <c r="S376" i="4" s="1"/>
  <c r="E377" i="4"/>
  <c r="I377" i="4" s="1"/>
  <c r="Q377" i="4" s="1"/>
  <c r="D376" i="4"/>
  <c r="Y375" i="4" l="1"/>
  <c r="X375" i="4"/>
  <c r="Y562" i="4"/>
  <c r="X562" i="4"/>
  <c r="T563" i="4"/>
  <c r="U563" i="4" s="1"/>
  <c r="V563" i="4" s="1"/>
  <c r="W563" i="4" s="1"/>
  <c r="S563" i="4"/>
  <c r="R564" i="4"/>
  <c r="S564" i="4" s="1"/>
  <c r="T376" i="4"/>
  <c r="U376" i="4" s="1"/>
  <c r="V376" i="4" s="1"/>
  <c r="W376" i="4" s="1"/>
  <c r="P564" i="4"/>
  <c r="P376" i="4"/>
  <c r="F377" i="4"/>
  <c r="I565" i="4"/>
  <c r="Q565" i="4" s="1"/>
  <c r="E566" i="4"/>
  <c r="J565" i="4"/>
  <c r="D565" i="4"/>
  <c r="J377" i="4"/>
  <c r="R377" i="4" s="1"/>
  <c r="S377" i="4" s="1"/>
  <c r="D377" i="4"/>
  <c r="E378" i="4"/>
  <c r="I378" i="4" s="1"/>
  <c r="Q378" i="4" s="1"/>
  <c r="Y376" i="4" l="1"/>
  <c r="X376" i="4"/>
  <c r="Y563" i="4"/>
  <c r="X563" i="4"/>
  <c r="T564" i="4"/>
  <c r="U564" i="4" s="1"/>
  <c r="V564" i="4" s="1"/>
  <c r="W564" i="4" s="1"/>
  <c r="R565" i="4"/>
  <c r="S565" i="4" s="1"/>
  <c r="T377" i="4"/>
  <c r="U377" i="4" s="1"/>
  <c r="V377" i="4" s="1"/>
  <c r="W377" i="4" s="1"/>
  <c r="P565" i="4"/>
  <c r="P377" i="4"/>
  <c r="F378" i="4"/>
  <c r="I566" i="4"/>
  <c r="Q566" i="4" s="1"/>
  <c r="E567" i="4"/>
  <c r="J566" i="4"/>
  <c r="D566" i="4"/>
  <c r="J378" i="4"/>
  <c r="R378" i="4" s="1"/>
  <c r="S378" i="4" s="1"/>
  <c r="E379" i="4"/>
  <c r="I379" i="4" s="1"/>
  <c r="Q379" i="4" s="1"/>
  <c r="D378" i="4"/>
  <c r="Y377" i="4" l="1"/>
  <c r="X377" i="4"/>
  <c r="Y564" i="4"/>
  <c r="X564" i="4"/>
  <c r="R566" i="4"/>
  <c r="S566" i="4" s="1"/>
  <c r="T565" i="4"/>
  <c r="U565" i="4" s="1"/>
  <c r="V565" i="4" s="1"/>
  <c r="W565" i="4" s="1"/>
  <c r="T378" i="4"/>
  <c r="U378" i="4" s="1"/>
  <c r="V378" i="4" s="1"/>
  <c r="W378" i="4" s="1"/>
  <c r="P378" i="4"/>
  <c r="P566" i="4"/>
  <c r="F379" i="4"/>
  <c r="I567" i="4"/>
  <c r="Q567" i="4" s="1"/>
  <c r="J567" i="4"/>
  <c r="D567" i="4"/>
  <c r="E568" i="4"/>
  <c r="J379" i="4"/>
  <c r="R379" i="4" s="1"/>
  <c r="S379" i="4" s="1"/>
  <c r="D379" i="4"/>
  <c r="E380" i="4"/>
  <c r="I380" i="4" s="1"/>
  <c r="Q380" i="4" s="1"/>
  <c r="Y378" i="4" l="1"/>
  <c r="X378" i="4"/>
  <c r="Y565" i="4"/>
  <c r="X565" i="4"/>
  <c r="R567" i="4"/>
  <c r="S567" i="4" s="1"/>
  <c r="T379" i="4"/>
  <c r="U379" i="4" s="1"/>
  <c r="V379" i="4" s="1"/>
  <c r="W379" i="4" s="1"/>
  <c r="T566" i="4"/>
  <c r="U566" i="4" s="1"/>
  <c r="V566" i="4" s="1"/>
  <c r="W566" i="4" s="1"/>
  <c r="P567" i="4"/>
  <c r="P379" i="4"/>
  <c r="F380" i="4"/>
  <c r="I568" i="4"/>
  <c r="Q568" i="4" s="1"/>
  <c r="J568" i="4"/>
  <c r="D568" i="4"/>
  <c r="E569" i="4"/>
  <c r="J380" i="4"/>
  <c r="R380" i="4" s="1"/>
  <c r="S380" i="4" s="1"/>
  <c r="E381" i="4"/>
  <c r="I381" i="4" s="1"/>
  <c r="Q381" i="4" s="1"/>
  <c r="D380" i="4"/>
  <c r="Y379" i="4" l="1"/>
  <c r="X379" i="4"/>
  <c r="Y566" i="4"/>
  <c r="X566" i="4"/>
  <c r="R568" i="4"/>
  <c r="T380" i="4"/>
  <c r="U380" i="4" s="1"/>
  <c r="V380" i="4" s="1"/>
  <c r="W380" i="4" s="1"/>
  <c r="T567" i="4"/>
  <c r="U567" i="4" s="1"/>
  <c r="V567" i="4" s="1"/>
  <c r="W567" i="4" s="1"/>
  <c r="P568" i="4"/>
  <c r="P380" i="4"/>
  <c r="F381" i="4"/>
  <c r="I569" i="4"/>
  <c r="Q569" i="4" s="1"/>
  <c r="D569" i="4"/>
  <c r="J569" i="4"/>
  <c r="E570" i="4"/>
  <c r="J381" i="4"/>
  <c r="R381" i="4" s="1"/>
  <c r="S381" i="4" s="1"/>
  <c r="D381" i="4"/>
  <c r="E382" i="4"/>
  <c r="I382" i="4" s="1"/>
  <c r="Q382" i="4" s="1"/>
  <c r="Y380" i="4" l="1"/>
  <c r="X380" i="4"/>
  <c r="Y567" i="4"/>
  <c r="X567" i="4"/>
  <c r="T568" i="4"/>
  <c r="U568" i="4" s="1"/>
  <c r="V568" i="4" s="1"/>
  <c r="W568" i="4" s="1"/>
  <c r="S568" i="4"/>
  <c r="R569" i="4"/>
  <c r="S569" i="4" s="1"/>
  <c r="T381" i="4"/>
  <c r="U381" i="4" s="1"/>
  <c r="V381" i="4" s="1"/>
  <c r="W381" i="4" s="1"/>
  <c r="P569" i="4"/>
  <c r="P381" i="4"/>
  <c r="F382" i="4"/>
  <c r="I570" i="4"/>
  <c r="Q570" i="4" s="1"/>
  <c r="E571" i="4"/>
  <c r="J570" i="4"/>
  <c r="D570" i="4"/>
  <c r="J382" i="4"/>
  <c r="R382" i="4" s="1"/>
  <c r="S382" i="4" s="1"/>
  <c r="E383" i="4"/>
  <c r="I383" i="4" s="1"/>
  <c r="Q383" i="4" s="1"/>
  <c r="D382" i="4"/>
  <c r="Y381" i="4" l="1"/>
  <c r="X381" i="4"/>
  <c r="Y568" i="4"/>
  <c r="X568" i="4"/>
  <c r="R570" i="4"/>
  <c r="S570" i="4" s="1"/>
  <c r="T569" i="4"/>
  <c r="U569" i="4" s="1"/>
  <c r="V569" i="4" s="1"/>
  <c r="W569" i="4" s="1"/>
  <c r="T382" i="4"/>
  <c r="U382" i="4" s="1"/>
  <c r="V382" i="4" s="1"/>
  <c r="W382" i="4" s="1"/>
  <c r="P570" i="4"/>
  <c r="P382" i="4"/>
  <c r="F383" i="4"/>
  <c r="I571" i="4"/>
  <c r="Q571" i="4" s="1"/>
  <c r="J571" i="4"/>
  <c r="D571" i="4"/>
  <c r="E572" i="4"/>
  <c r="D383" i="4"/>
  <c r="J383" i="4"/>
  <c r="R383" i="4" s="1"/>
  <c r="S383" i="4" s="1"/>
  <c r="E384" i="4"/>
  <c r="I384" i="4" s="1"/>
  <c r="Q384" i="4" s="1"/>
  <c r="Y382" i="4" l="1"/>
  <c r="X382" i="4"/>
  <c r="Y569" i="4"/>
  <c r="X569" i="4"/>
  <c r="R571" i="4"/>
  <c r="T383" i="4"/>
  <c r="U383" i="4" s="1"/>
  <c r="V383" i="4" s="1"/>
  <c r="W383" i="4" s="1"/>
  <c r="T570" i="4"/>
  <c r="U570" i="4" s="1"/>
  <c r="V570" i="4" s="1"/>
  <c r="W570" i="4" s="1"/>
  <c r="P383" i="4"/>
  <c r="P571" i="4"/>
  <c r="F384" i="4"/>
  <c r="I572" i="4"/>
  <c r="Q572" i="4" s="1"/>
  <c r="E573" i="4"/>
  <c r="D572" i="4"/>
  <c r="J572" i="4"/>
  <c r="J384" i="4"/>
  <c r="R384" i="4" s="1"/>
  <c r="S384" i="4" s="1"/>
  <c r="E385" i="4"/>
  <c r="I385" i="4" s="1"/>
  <c r="Q385" i="4" s="1"/>
  <c r="D384" i="4"/>
  <c r="Y570" i="4" l="1"/>
  <c r="X570" i="4"/>
  <c r="Y383" i="4"/>
  <c r="X383" i="4"/>
  <c r="T571" i="4"/>
  <c r="U571" i="4" s="1"/>
  <c r="V571" i="4" s="1"/>
  <c r="W571" i="4" s="1"/>
  <c r="S571" i="4"/>
  <c r="R572" i="4"/>
  <c r="S572" i="4" s="1"/>
  <c r="T384" i="4"/>
  <c r="U384" i="4" s="1"/>
  <c r="V384" i="4" s="1"/>
  <c r="W384" i="4" s="1"/>
  <c r="P384" i="4"/>
  <c r="P572" i="4"/>
  <c r="F385" i="4"/>
  <c r="I573" i="4"/>
  <c r="Q573" i="4" s="1"/>
  <c r="D573" i="4"/>
  <c r="E574" i="4"/>
  <c r="J573" i="4"/>
  <c r="E386" i="4"/>
  <c r="I386" i="4" s="1"/>
  <c r="Q386" i="4" s="1"/>
  <c r="J385" i="4"/>
  <c r="R385" i="4" s="1"/>
  <c r="S385" i="4" s="1"/>
  <c r="D385" i="4"/>
  <c r="Y384" i="4" l="1"/>
  <c r="X384" i="4"/>
  <c r="Y571" i="4"/>
  <c r="X571" i="4"/>
  <c r="R573" i="4"/>
  <c r="S573" i="4" s="1"/>
  <c r="T572" i="4"/>
  <c r="U572" i="4" s="1"/>
  <c r="V572" i="4" s="1"/>
  <c r="W572" i="4" s="1"/>
  <c r="T385" i="4"/>
  <c r="U385" i="4" s="1"/>
  <c r="V385" i="4" s="1"/>
  <c r="W385" i="4" s="1"/>
  <c r="P385" i="4"/>
  <c r="P573" i="4"/>
  <c r="F386" i="4"/>
  <c r="I574" i="4"/>
  <c r="Q574" i="4" s="1"/>
  <c r="E575" i="4"/>
  <c r="D574" i="4"/>
  <c r="J574" i="4"/>
  <c r="J386" i="4"/>
  <c r="R386" i="4" s="1"/>
  <c r="S386" i="4" s="1"/>
  <c r="E387" i="4"/>
  <c r="I387" i="4" s="1"/>
  <c r="Q387" i="4" s="1"/>
  <c r="D386" i="4"/>
  <c r="Y385" i="4" l="1"/>
  <c r="X385" i="4"/>
  <c r="Y572" i="4"/>
  <c r="X572" i="4"/>
  <c r="R574" i="4"/>
  <c r="S574" i="4" s="1"/>
  <c r="T573" i="4"/>
  <c r="U573" i="4" s="1"/>
  <c r="V573" i="4" s="1"/>
  <c r="W573" i="4" s="1"/>
  <c r="T386" i="4"/>
  <c r="U386" i="4" s="1"/>
  <c r="V386" i="4" s="1"/>
  <c r="W386" i="4" s="1"/>
  <c r="P386" i="4"/>
  <c r="P574" i="4"/>
  <c r="F387" i="4"/>
  <c r="I575" i="4"/>
  <c r="Q575" i="4" s="1"/>
  <c r="J575" i="4"/>
  <c r="E576" i="4"/>
  <c r="D575" i="4"/>
  <c r="J387" i="4"/>
  <c r="R387" i="4" s="1"/>
  <c r="S387" i="4" s="1"/>
  <c r="D387" i="4"/>
  <c r="E388" i="4"/>
  <c r="I388" i="4" s="1"/>
  <c r="Q388" i="4" s="1"/>
  <c r="Y386" i="4" l="1"/>
  <c r="X386" i="4"/>
  <c r="Y573" i="4"/>
  <c r="X573" i="4"/>
  <c r="R575" i="4"/>
  <c r="T387" i="4"/>
  <c r="U387" i="4" s="1"/>
  <c r="V387" i="4" s="1"/>
  <c r="W387" i="4" s="1"/>
  <c r="T574" i="4"/>
  <c r="U574" i="4" s="1"/>
  <c r="V574" i="4" s="1"/>
  <c r="W574" i="4" s="1"/>
  <c r="P575" i="4"/>
  <c r="P387" i="4"/>
  <c r="F388" i="4"/>
  <c r="I576" i="4"/>
  <c r="Q576" i="4" s="1"/>
  <c r="J576" i="4"/>
  <c r="D576" i="4"/>
  <c r="E577" i="4"/>
  <c r="J388" i="4"/>
  <c r="R388" i="4" s="1"/>
  <c r="S388" i="4" s="1"/>
  <c r="E389" i="4"/>
  <c r="I389" i="4" s="1"/>
  <c r="Q389" i="4" s="1"/>
  <c r="D388" i="4"/>
  <c r="Y574" i="4" l="1"/>
  <c r="X574" i="4"/>
  <c r="Y387" i="4"/>
  <c r="X387" i="4"/>
  <c r="T575" i="4"/>
  <c r="U575" i="4" s="1"/>
  <c r="V575" i="4" s="1"/>
  <c r="W575" i="4" s="1"/>
  <c r="S575" i="4"/>
  <c r="R576" i="4"/>
  <c r="S576" i="4" s="1"/>
  <c r="T388" i="4"/>
  <c r="U388" i="4" s="1"/>
  <c r="V388" i="4" s="1"/>
  <c r="W388" i="4" s="1"/>
  <c r="P576" i="4"/>
  <c r="P388" i="4"/>
  <c r="F389" i="4"/>
  <c r="I577" i="4"/>
  <c r="Q577" i="4" s="1"/>
  <c r="E578" i="4"/>
  <c r="J577" i="4"/>
  <c r="D577" i="4"/>
  <c r="J389" i="4"/>
  <c r="R389" i="4" s="1"/>
  <c r="S389" i="4" s="1"/>
  <c r="E390" i="4"/>
  <c r="I390" i="4" s="1"/>
  <c r="Q390" i="4" s="1"/>
  <c r="D389" i="4"/>
  <c r="Y388" i="4" l="1"/>
  <c r="X388" i="4"/>
  <c r="Y575" i="4"/>
  <c r="X575" i="4"/>
  <c r="R577" i="4"/>
  <c r="S577" i="4" s="1"/>
  <c r="T576" i="4"/>
  <c r="U576" i="4" s="1"/>
  <c r="V576" i="4" s="1"/>
  <c r="W576" i="4" s="1"/>
  <c r="T389" i="4"/>
  <c r="U389" i="4" s="1"/>
  <c r="V389" i="4" s="1"/>
  <c r="W389" i="4" s="1"/>
  <c r="P577" i="4"/>
  <c r="P389" i="4"/>
  <c r="F390" i="4"/>
  <c r="I578" i="4"/>
  <c r="Q578" i="4" s="1"/>
  <c r="E579" i="4"/>
  <c r="J578" i="4"/>
  <c r="D578" i="4"/>
  <c r="J390" i="4"/>
  <c r="R390" i="4" s="1"/>
  <c r="S390" i="4" s="1"/>
  <c r="D390" i="4"/>
  <c r="E391" i="4"/>
  <c r="I391" i="4" s="1"/>
  <c r="Q391" i="4" s="1"/>
  <c r="Y389" i="4" l="1"/>
  <c r="X389" i="4"/>
  <c r="Y576" i="4"/>
  <c r="X576" i="4"/>
  <c r="R578" i="4"/>
  <c r="T390" i="4"/>
  <c r="U390" i="4" s="1"/>
  <c r="V390" i="4" s="1"/>
  <c r="W390" i="4" s="1"/>
  <c r="T577" i="4"/>
  <c r="U577" i="4" s="1"/>
  <c r="V577" i="4" s="1"/>
  <c r="W577" i="4" s="1"/>
  <c r="P578" i="4"/>
  <c r="P390" i="4"/>
  <c r="F391" i="4"/>
  <c r="I579" i="4"/>
  <c r="Q579" i="4" s="1"/>
  <c r="D579" i="4"/>
  <c r="J579" i="4"/>
  <c r="E580" i="4"/>
  <c r="J391" i="4"/>
  <c r="R391" i="4" s="1"/>
  <c r="S391" i="4" s="1"/>
  <c r="D391" i="4"/>
  <c r="E392" i="4"/>
  <c r="I392" i="4" s="1"/>
  <c r="Q392" i="4" s="1"/>
  <c r="Y577" i="4" l="1"/>
  <c r="X577" i="4"/>
  <c r="Y390" i="4"/>
  <c r="X390" i="4"/>
  <c r="T578" i="4"/>
  <c r="U578" i="4" s="1"/>
  <c r="V578" i="4" s="1"/>
  <c r="W578" i="4" s="1"/>
  <c r="S578" i="4"/>
  <c r="R579" i="4"/>
  <c r="S579" i="4" s="1"/>
  <c r="T391" i="4"/>
  <c r="U391" i="4" s="1"/>
  <c r="V391" i="4" s="1"/>
  <c r="W391" i="4" s="1"/>
  <c r="P579" i="4"/>
  <c r="P391" i="4"/>
  <c r="F392" i="4"/>
  <c r="I580" i="4"/>
  <c r="Q580" i="4" s="1"/>
  <c r="E581" i="4"/>
  <c r="D580" i="4"/>
  <c r="J580" i="4"/>
  <c r="J392" i="4"/>
  <c r="R392" i="4" s="1"/>
  <c r="S392" i="4" s="1"/>
  <c r="E393" i="4"/>
  <c r="I393" i="4" s="1"/>
  <c r="Q393" i="4" s="1"/>
  <c r="D392" i="4"/>
  <c r="Y391" i="4" l="1"/>
  <c r="X391" i="4"/>
  <c r="Y578" i="4"/>
  <c r="X578" i="4"/>
  <c r="R580" i="4"/>
  <c r="S580" i="4" s="1"/>
  <c r="T392" i="4"/>
  <c r="U392" i="4" s="1"/>
  <c r="V392" i="4" s="1"/>
  <c r="W392" i="4" s="1"/>
  <c r="T579" i="4"/>
  <c r="U579" i="4" s="1"/>
  <c r="V579" i="4" s="1"/>
  <c r="W579" i="4" s="1"/>
  <c r="P392" i="4"/>
  <c r="P580" i="4"/>
  <c r="F393" i="4"/>
  <c r="I581" i="4"/>
  <c r="Q581" i="4" s="1"/>
  <c r="D581" i="4"/>
  <c r="E582" i="4"/>
  <c r="J581" i="4"/>
  <c r="D393" i="4"/>
  <c r="J393" i="4"/>
  <c r="R393" i="4" s="1"/>
  <c r="S393" i="4" s="1"/>
  <c r="E394" i="4"/>
  <c r="Y579" i="4" l="1"/>
  <c r="X579" i="4"/>
  <c r="Y392" i="4"/>
  <c r="X392" i="4"/>
  <c r="T580" i="4"/>
  <c r="U580" i="4" s="1"/>
  <c r="V580" i="4" s="1"/>
  <c r="W580" i="4" s="1"/>
  <c r="R581" i="4"/>
  <c r="S581" i="4" s="1"/>
  <c r="T393" i="4"/>
  <c r="U393" i="4" s="1"/>
  <c r="V393" i="4" s="1"/>
  <c r="W393" i="4" s="1"/>
  <c r="P393" i="4"/>
  <c r="P581" i="4"/>
  <c r="F394" i="4"/>
  <c r="I582" i="4"/>
  <c r="Q582" i="4" s="1"/>
  <c r="E583" i="4"/>
  <c r="D582" i="4"/>
  <c r="J582" i="4"/>
  <c r="I394" i="4"/>
  <c r="Q394" i="4" s="1"/>
  <c r="D394" i="4"/>
  <c r="J394" i="4"/>
  <c r="E395" i="4"/>
  <c r="Y393" i="4" l="1"/>
  <c r="X393" i="4"/>
  <c r="Y580" i="4"/>
  <c r="X580" i="4"/>
  <c r="R582" i="4"/>
  <c r="S582" i="4" s="1"/>
  <c r="R394" i="4"/>
  <c r="S394" i="4" s="1"/>
  <c r="T581" i="4"/>
  <c r="U581" i="4" s="1"/>
  <c r="V581" i="4" s="1"/>
  <c r="W581" i="4" s="1"/>
  <c r="P394" i="4"/>
  <c r="P582" i="4"/>
  <c r="F395" i="4"/>
  <c r="I395" i="4"/>
  <c r="Q395" i="4" s="1"/>
  <c r="I583" i="4"/>
  <c r="Q583" i="4" s="1"/>
  <c r="E584" i="4"/>
  <c r="D583" i="4"/>
  <c r="J583" i="4"/>
  <c r="E396" i="4"/>
  <c r="I396" i="4" s="1"/>
  <c r="Q396" i="4" s="1"/>
  <c r="J395" i="4"/>
  <c r="D395" i="4"/>
  <c r="Y581" i="4" l="1"/>
  <c r="X581" i="4"/>
  <c r="R583" i="4"/>
  <c r="S583" i="4" s="1"/>
  <c r="R395" i="4"/>
  <c r="S395" i="4" s="1"/>
  <c r="T582" i="4"/>
  <c r="U582" i="4" s="1"/>
  <c r="V582" i="4" s="1"/>
  <c r="W582" i="4" s="1"/>
  <c r="T394" i="4"/>
  <c r="U394" i="4" s="1"/>
  <c r="V394" i="4" s="1"/>
  <c r="W394" i="4" s="1"/>
  <c r="P395" i="4"/>
  <c r="P583" i="4"/>
  <c r="F396" i="4"/>
  <c r="I584" i="4"/>
  <c r="Q584" i="4" s="1"/>
  <c r="E585" i="4"/>
  <c r="D584" i="4"/>
  <c r="J584" i="4"/>
  <c r="J396" i="4"/>
  <c r="R396" i="4" s="1"/>
  <c r="S396" i="4" s="1"/>
  <c r="D396" i="4"/>
  <c r="E397" i="4"/>
  <c r="I397" i="4" s="1"/>
  <c r="Q397" i="4" s="1"/>
  <c r="Y394" i="4" l="1"/>
  <c r="X394" i="4"/>
  <c r="T395" i="4"/>
  <c r="U395" i="4" s="1"/>
  <c r="V395" i="4" s="1"/>
  <c r="W395" i="4" s="1"/>
  <c r="Y582" i="4"/>
  <c r="X582" i="4"/>
  <c r="R584" i="4"/>
  <c r="S584" i="4" s="1"/>
  <c r="T396" i="4"/>
  <c r="U396" i="4" s="1"/>
  <c r="V396" i="4" s="1"/>
  <c r="W396" i="4" s="1"/>
  <c r="T583" i="4"/>
  <c r="U583" i="4" s="1"/>
  <c r="V583" i="4" s="1"/>
  <c r="W583" i="4" s="1"/>
  <c r="P396" i="4"/>
  <c r="P584" i="4"/>
  <c r="F397" i="4"/>
  <c r="I585" i="4"/>
  <c r="Q585" i="4" s="1"/>
  <c r="J585" i="4"/>
  <c r="E586" i="4"/>
  <c r="D585" i="4"/>
  <c r="J397" i="4"/>
  <c r="R397" i="4" s="1"/>
  <c r="S397" i="4" s="1"/>
  <c r="E398" i="4"/>
  <c r="I398" i="4" s="1"/>
  <c r="Q398" i="4" s="1"/>
  <c r="D397" i="4"/>
  <c r="Y583" i="4" l="1"/>
  <c r="X583" i="4"/>
  <c r="Y395" i="4"/>
  <c r="X395" i="4"/>
  <c r="Y396" i="4"/>
  <c r="X396" i="4"/>
  <c r="R585" i="4"/>
  <c r="T397" i="4"/>
  <c r="U397" i="4" s="1"/>
  <c r="V397" i="4" s="1"/>
  <c r="W397" i="4" s="1"/>
  <c r="T584" i="4"/>
  <c r="U584" i="4" s="1"/>
  <c r="V584" i="4" s="1"/>
  <c r="W584" i="4" s="1"/>
  <c r="P585" i="4"/>
  <c r="P397" i="4"/>
  <c r="F398" i="4"/>
  <c r="I586" i="4"/>
  <c r="Q586" i="4" s="1"/>
  <c r="D586" i="4"/>
  <c r="J586" i="4"/>
  <c r="E587" i="4"/>
  <c r="D398" i="4"/>
  <c r="J398" i="4"/>
  <c r="R398" i="4" s="1"/>
  <c r="S398" i="4" s="1"/>
  <c r="E399" i="4"/>
  <c r="I399" i="4" s="1"/>
  <c r="Q399" i="4" s="1"/>
  <c r="Y397" i="4" l="1"/>
  <c r="X397" i="4"/>
  <c r="Y584" i="4"/>
  <c r="X584" i="4"/>
  <c r="T585" i="4"/>
  <c r="U585" i="4" s="1"/>
  <c r="V585" i="4" s="1"/>
  <c r="W585" i="4" s="1"/>
  <c r="S585" i="4"/>
  <c r="R586" i="4"/>
  <c r="S586" i="4" s="1"/>
  <c r="T398" i="4"/>
  <c r="U398" i="4" s="1"/>
  <c r="V398" i="4" s="1"/>
  <c r="W398" i="4" s="1"/>
  <c r="P398" i="4"/>
  <c r="P586" i="4"/>
  <c r="F399" i="4"/>
  <c r="I587" i="4"/>
  <c r="Q587" i="4" s="1"/>
  <c r="J587" i="4"/>
  <c r="E588" i="4"/>
  <c r="D587" i="4"/>
  <c r="D399" i="4"/>
  <c r="J399" i="4"/>
  <c r="R399" i="4" s="1"/>
  <c r="S399" i="4" s="1"/>
  <c r="E400" i="4"/>
  <c r="I400" i="4" s="1"/>
  <c r="Q400" i="4" s="1"/>
  <c r="R587" i="4" l="1"/>
  <c r="S587" i="4" s="1"/>
  <c r="Y398" i="4"/>
  <c r="X398" i="4"/>
  <c r="Y585" i="4"/>
  <c r="X585" i="4"/>
  <c r="T586" i="4"/>
  <c r="U586" i="4" s="1"/>
  <c r="V586" i="4" s="1"/>
  <c r="W586" i="4" s="1"/>
  <c r="T399" i="4"/>
  <c r="U399" i="4" s="1"/>
  <c r="V399" i="4" s="1"/>
  <c r="W399" i="4" s="1"/>
  <c r="P399" i="4"/>
  <c r="P587" i="4"/>
  <c r="F400" i="4"/>
  <c r="I588" i="4"/>
  <c r="Q588" i="4" s="1"/>
  <c r="E589" i="4"/>
  <c r="J588" i="4"/>
  <c r="D588" i="4"/>
  <c r="E401" i="4"/>
  <c r="I401" i="4" s="1"/>
  <c r="Q401" i="4" s="1"/>
  <c r="J400" i="4"/>
  <c r="R400" i="4" s="1"/>
  <c r="S400" i="4" s="1"/>
  <c r="D400" i="4"/>
  <c r="Y399" i="4" l="1"/>
  <c r="X399" i="4"/>
  <c r="Y586" i="4"/>
  <c r="X586" i="4"/>
  <c r="R588" i="4"/>
  <c r="T400" i="4"/>
  <c r="U400" i="4" s="1"/>
  <c r="V400" i="4" s="1"/>
  <c r="W400" i="4" s="1"/>
  <c r="T587" i="4"/>
  <c r="U587" i="4" s="1"/>
  <c r="V587" i="4" s="1"/>
  <c r="W587" i="4" s="1"/>
  <c r="P588" i="4"/>
  <c r="P400" i="4"/>
  <c r="F401" i="4"/>
  <c r="I589" i="4"/>
  <c r="Q589" i="4" s="1"/>
  <c r="J589" i="4"/>
  <c r="E590" i="4"/>
  <c r="D589" i="4"/>
  <c r="J401" i="4"/>
  <c r="R401" i="4" s="1"/>
  <c r="S401" i="4" s="1"/>
  <c r="D401" i="4"/>
  <c r="E402" i="4"/>
  <c r="I402" i="4" s="1"/>
  <c r="Q402" i="4" s="1"/>
  <c r="Y587" i="4" l="1"/>
  <c r="X587" i="4"/>
  <c r="Y400" i="4"/>
  <c r="X400" i="4"/>
  <c r="T588" i="4"/>
  <c r="U588" i="4" s="1"/>
  <c r="V588" i="4" s="1"/>
  <c r="W588" i="4" s="1"/>
  <c r="S588" i="4"/>
  <c r="R589" i="4"/>
  <c r="S589" i="4" s="1"/>
  <c r="T401" i="4"/>
  <c r="U401" i="4" s="1"/>
  <c r="V401" i="4" s="1"/>
  <c r="W401" i="4" s="1"/>
  <c r="P589" i="4"/>
  <c r="P401" i="4"/>
  <c r="F402" i="4"/>
  <c r="I590" i="4"/>
  <c r="Q590" i="4" s="1"/>
  <c r="E591" i="4"/>
  <c r="D590" i="4"/>
  <c r="J590" i="4"/>
  <c r="J402" i="4"/>
  <c r="R402" i="4" s="1"/>
  <c r="S402" i="4" s="1"/>
  <c r="D402" i="4"/>
  <c r="E403" i="4"/>
  <c r="I403" i="4" s="1"/>
  <c r="Q403" i="4" s="1"/>
  <c r="Y401" i="4" l="1"/>
  <c r="X401" i="4"/>
  <c r="Y588" i="4"/>
  <c r="X588" i="4"/>
  <c r="R590" i="4"/>
  <c r="S590" i="4" s="1"/>
  <c r="T589" i="4"/>
  <c r="U589" i="4" s="1"/>
  <c r="V589" i="4" s="1"/>
  <c r="W589" i="4" s="1"/>
  <c r="T402" i="4"/>
  <c r="U402" i="4" s="1"/>
  <c r="V402" i="4" s="1"/>
  <c r="W402" i="4" s="1"/>
  <c r="P402" i="4"/>
  <c r="P590" i="4"/>
  <c r="F403" i="4"/>
  <c r="I591" i="4"/>
  <c r="Q591" i="4" s="1"/>
  <c r="J591" i="4"/>
  <c r="D591" i="4"/>
  <c r="E592" i="4"/>
  <c r="D403" i="4"/>
  <c r="J403" i="4"/>
  <c r="R403" i="4" s="1"/>
  <c r="S403" i="4" s="1"/>
  <c r="E404" i="4"/>
  <c r="Y402" i="4" l="1"/>
  <c r="X402" i="4"/>
  <c r="Y589" i="4"/>
  <c r="X589" i="4"/>
  <c r="R591" i="4"/>
  <c r="T403" i="4"/>
  <c r="U403" i="4" s="1"/>
  <c r="V403" i="4" s="1"/>
  <c r="W403" i="4" s="1"/>
  <c r="T590" i="4"/>
  <c r="U590" i="4" s="1"/>
  <c r="V590" i="4" s="1"/>
  <c r="W590" i="4" s="1"/>
  <c r="P403" i="4"/>
  <c r="P591" i="4"/>
  <c r="F404" i="4"/>
  <c r="F405" i="4" s="1"/>
  <c r="F406" i="4" s="1"/>
  <c r="F407" i="4" s="1"/>
  <c r="F408" i="4" s="1"/>
  <c r="F409" i="4" s="1"/>
  <c r="F410" i="4" s="1"/>
  <c r="F411" i="4" s="1"/>
  <c r="F412" i="4" s="1"/>
  <c r="F413" i="4" s="1"/>
  <c r="F414" i="4" s="1"/>
  <c r="F415" i="4" s="1"/>
  <c r="F416" i="4" s="1"/>
  <c r="F417" i="4" s="1"/>
  <c r="F418" i="4" s="1"/>
  <c r="F419" i="4" s="1"/>
  <c r="F420" i="4" s="1"/>
  <c r="F421" i="4" s="1"/>
  <c r="F422" i="4" s="1"/>
  <c r="F423" i="4" s="1"/>
  <c r="F424" i="4" s="1"/>
  <c r="F425" i="4" s="1"/>
  <c r="F426" i="4" s="1"/>
  <c r="F427" i="4" s="1"/>
  <c r="F428" i="4" s="1"/>
  <c r="F429" i="4" s="1"/>
  <c r="F430" i="4" s="1"/>
  <c r="F431" i="4" s="1"/>
  <c r="F432" i="4" s="1"/>
  <c r="F433" i="4" s="1"/>
  <c r="F434" i="4" s="1"/>
  <c r="F435" i="4" s="1"/>
  <c r="F436" i="4" s="1"/>
  <c r="F437" i="4" s="1"/>
  <c r="F438" i="4" s="1"/>
  <c r="F439" i="4" s="1"/>
  <c r="F440" i="4" s="1"/>
  <c r="F441" i="4" s="1"/>
  <c r="F442" i="4" s="1"/>
  <c r="F443" i="4" s="1"/>
  <c r="F444" i="4" s="1"/>
  <c r="F445" i="4" s="1"/>
  <c r="F446" i="4" s="1"/>
  <c r="F447" i="4" s="1"/>
  <c r="F448" i="4" s="1"/>
  <c r="F449" i="4" s="1"/>
  <c r="F450" i="4" s="1"/>
  <c r="F451" i="4" s="1"/>
  <c r="F452" i="4" s="1"/>
  <c r="F453" i="4" s="1"/>
  <c r="F454" i="4" s="1"/>
  <c r="F455" i="4" s="1"/>
  <c r="F456" i="4" s="1"/>
  <c r="F457" i="4" s="1"/>
  <c r="F458" i="4" s="1"/>
  <c r="F459" i="4" s="1"/>
  <c r="F460" i="4" s="1"/>
  <c r="F461" i="4" s="1"/>
  <c r="F462" i="4" s="1"/>
  <c r="F463" i="4" s="1"/>
  <c r="F464" i="4" s="1"/>
  <c r="F465" i="4" s="1"/>
  <c r="F466" i="4" s="1"/>
  <c r="F467" i="4" s="1"/>
  <c r="F468" i="4" s="1"/>
  <c r="F469" i="4" s="1"/>
  <c r="F470" i="4" s="1"/>
  <c r="F471" i="4" s="1"/>
  <c r="F472" i="4" s="1"/>
  <c r="F473" i="4" s="1"/>
  <c r="F474" i="4" s="1"/>
  <c r="F475" i="4" s="1"/>
  <c r="F476" i="4" s="1"/>
  <c r="F477" i="4" s="1"/>
  <c r="F478" i="4" s="1"/>
  <c r="F479" i="4" s="1"/>
  <c r="F480" i="4" s="1"/>
  <c r="F481" i="4" s="1"/>
  <c r="F482" i="4" s="1"/>
  <c r="F483" i="4" s="1"/>
  <c r="F484" i="4" s="1"/>
  <c r="F485" i="4" s="1"/>
  <c r="F486" i="4" s="1"/>
  <c r="F487" i="4" s="1"/>
  <c r="F488" i="4" s="1"/>
  <c r="F489" i="4" s="1"/>
  <c r="F490" i="4" s="1"/>
  <c r="F491" i="4" s="1"/>
  <c r="F492" i="4" s="1"/>
  <c r="F493" i="4" s="1"/>
  <c r="F494" i="4" s="1"/>
  <c r="F495" i="4" s="1"/>
  <c r="F496" i="4" s="1"/>
  <c r="F497" i="4" s="1"/>
  <c r="F498" i="4" s="1"/>
  <c r="F499" i="4" s="1"/>
  <c r="F500" i="4" s="1"/>
  <c r="F501" i="4" s="1"/>
  <c r="F502" i="4" s="1"/>
  <c r="F503" i="4" s="1"/>
  <c r="F504" i="4" s="1"/>
  <c r="F505" i="4" s="1"/>
  <c r="F506" i="4" s="1"/>
  <c r="F507" i="4" s="1"/>
  <c r="F508" i="4" s="1"/>
  <c r="F509" i="4" s="1"/>
  <c r="F510" i="4" s="1"/>
  <c r="F511" i="4" s="1"/>
  <c r="F512" i="4" s="1"/>
  <c r="F513" i="4" s="1"/>
  <c r="F514" i="4" s="1"/>
  <c r="F515" i="4" s="1"/>
  <c r="F516" i="4" s="1"/>
  <c r="F517" i="4" s="1"/>
  <c r="F518" i="4" s="1"/>
  <c r="F519" i="4" s="1"/>
  <c r="F520" i="4" s="1"/>
  <c r="F521" i="4" s="1"/>
  <c r="F522" i="4" s="1"/>
  <c r="F523" i="4" s="1"/>
  <c r="F524" i="4" s="1"/>
  <c r="F525" i="4" s="1"/>
  <c r="F526" i="4" s="1"/>
  <c r="F527" i="4" s="1"/>
  <c r="F528" i="4" s="1"/>
  <c r="F529" i="4" s="1"/>
  <c r="F530" i="4" s="1"/>
  <c r="F531" i="4" s="1"/>
  <c r="F532" i="4" s="1"/>
  <c r="F533" i="4" s="1"/>
  <c r="F534" i="4" s="1"/>
  <c r="F535" i="4" s="1"/>
  <c r="F536" i="4" s="1"/>
  <c r="F537" i="4" s="1"/>
  <c r="F538" i="4" s="1"/>
  <c r="F539" i="4" s="1"/>
  <c r="F540" i="4" s="1"/>
  <c r="F541" i="4" s="1"/>
  <c r="F542" i="4" s="1"/>
  <c r="F543" i="4" s="1"/>
  <c r="F544" i="4" s="1"/>
  <c r="F545" i="4" s="1"/>
  <c r="F546" i="4" s="1"/>
  <c r="F547" i="4" s="1"/>
  <c r="F548" i="4" s="1"/>
  <c r="F549" i="4" s="1"/>
  <c r="F550" i="4" s="1"/>
  <c r="F551" i="4" s="1"/>
  <c r="F552" i="4" s="1"/>
  <c r="F553" i="4" s="1"/>
  <c r="F554" i="4" s="1"/>
  <c r="F555" i="4" s="1"/>
  <c r="F556" i="4" s="1"/>
  <c r="F557" i="4" s="1"/>
  <c r="F558" i="4" s="1"/>
  <c r="F559" i="4" s="1"/>
  <c r="F560" i="4" s="1"/>
  <c r="F561" i="4" s="1"/>
  <c r="F562" i="4" s="1"/>
  <c r="F563" i="4" s="1"/>
  <c r="F564" i="4" s="1"/>
  <c r="F565" i="4" s="1"/>
  <c r="F566" i="4" s="1"/>
  <c r="F567" i="4" s="1"/>
  <c r="F568" i="4" s="1"/>
  <c r="F569" i="4" s="1"/>
  <c r="F570" i="4" s="1"/>
  <c r="F571" i="4" s="1"/>
  <c r="F572" i="4" s="1"/>
  <c r="F573" i="4" s="1"/>
  <c r="F574" i="4" s="1"/>
  <c r="F575" i="4" s="1"/>
  <c r="F576" i="4" s="1"/>
  <c r="F577" i="4" s="1"/>
  <c r="F578" i="4" s="1"/>
  <c r="F579" i="4" s="1"/>
  <c r="F580" i="4" s="1"/>
  <c r="F581" i="4" s="1"/>
  <c r="F582" i="4" s="1"/>
  <c r="F583" i="4" s="1"/>
  <c r="F584" i="4" s="1"/>
  <c r="F585" i="4" s="1"/>
  <c r="F586" i="4" s="1"/>
  <c r="F587" i="4" s="1"/>
  <c r="F588" i="4" s="1"/>
  <c r="F589" i="4" s="1"/>
  <c r="F590" i="4" s="1"/>
  <c r="F591" i="4" s="1"/>
  <c r="F592" i="4" s="1"/>
  <c r="F593" i="4" s="1"/>
  <c r="I592" i="4"/>
  <c r="Q592" i="4" s="1"/>
  <c r="D592" i="4"/>
  <c r="E593" i="4"/>
  <c r="J592" i="4"/>
  <c r="I405" i="4"/>
  <c r="Q405" i="4" s="1"/>
  <c r="R405" i="4" s="1"/>
  <c r="S405" i="4" s="1"/>
  <c r="I404" i="4"/>
  <c r="Q404" i="4" s="1"/>
  <c r="J404" i="4"/>
  <c r="D404" i="4"/>
  <c r="Y590" i="4" l="1"/>
  <c r="X590" i="4"/>
  <c r="Y403" i="4"/>
  <c r="X403" i="4"/>
  <c r="R404" i="4"/>
  <c r="S404" i="4" s="1"/>
  <c r="T591" i="4"/>
  <c r="U591" i="4" s="1"/>
  <c r="V591" i="4" s="1"/>
  <c r="W591" i="4" s="1"/>
  <c r="S591" i="4"/>
  <c r="R592" i="4"/>
  <c r="S592" i="4" s="1"/>
  <c r="T405" i="4"/>
  <c r="U405" i="4" s="1"/>
  <c r="V405" i="4" s="1"/>
  <c r="W405" i="4" s="1"/>
  <c r="P592" i="4"/>
  <c r="P404" i="4"/>
  <c r="I593" i="4"/>
  <c r="Q593" i="4" s="1"/>
  <c r="J593" i="4"/>
  <c r="E594" i="4"/>
  <c r="F594" i="4" s="1"/>
  <c r="D593" i="4"/>
  <c r="R593" i="4" l="1"/>
  <c r="S593" i="4" s="1"/>
  <c r="Y591" i="4"/>
  <c r="X591" i="4"/>
  <c r="Y405" i="4"/>
  <c r="X405" i="4"/>
  <c r="T404" i="4"/>
  <c r="U404" i="4" s="1"/>
  <c r="V404" i="4" s="1"/>
  <c r="W404" i="4" s="1"/>
  <c r="T592" i="4"/>
  <c r="U592" i="4" s="1"/>
  <c r="V592" i="4" s="1"/>
  <c r="W592" i="4" s="1"/>
  <c r="P593" i="4"/>
  <c r="I594" i="4"/>
  <c r="Q594" i="4" s="1"/>
  <c r="D594" i="4"/>
  <c r="E595" i="4"/>
  <c r="F595" i="4" s="1"/>
  <c r="J594" i="4"/>
  <c r="T593" i="4" l="1"/>
  <c r="U593" i="4" s="1"/>
  <c r="V593" i="4" s="1"/>
  <c r="W593" i="4" s="1"/>
  <c r="Y593" i="4" s="1"/>
  <c r="Y404" i="4"/>
  <c r="X404" i="4"/>
  <c r="Y592" i="4"/>
  <c r="X592" i="4"/>
  <c r="R594" i="4"/>
  <c r="S594" i="4" s="1"/>
  <c r="P594" i="4"/>
  <c r="I595" i="4"/>
  <c r="Q595" i="4" s="1"/>
  <c r="D595" i="4"/>
  <c r="J595" i="4"/>
  <c r="E596" i="4"/>
  <c r="F596" i="4" s="1"/>
  <c r="X593" i="4" l="1"/>
  <c r="R595" i="4"/>
  <c r="S595" i="4" s="1"/>
  <c r="T594" i="4"/>
  <c r="U594" i="4" s="1"/>
  <c r="V594" i="4" s="1"/>
  <c r="W594" i="4" s="1"/>
  <c r="P595" i="4"/>
  <c r="I596" i="4"/>
  <c r="Q596" i="4" s="1"/>
  <c r="E597" i="4"/>
  <c r="F597" i="4" s="1"/>
  <c r="J596" i="4"/>
  <c r="D596" i="4"/>
  <c r="Y594" i="4" l="1"/>
  <c r="X594" i="4"/>
  <c r="R596" i="4"/>
  <c r="S596" i="4" s="1"/>
  <c r="T595" i="4"/>
  <c r="U595" i="4" s="1"/>
  <c r="V595" i="4" s="1"/>
  <c r="W595" i="4" s="1"/>
  <c r="P596" i="4"/>
  <c r="I597" i="4"/>
  <c r="Q597" i="4" s="1"/>
  <c r="J597" i="4"/>
  <c r="D597" i="4"/>
  <c r="E598" i="4"/>
  <c r="F598" i="4" s="1"/>
  <c r="R597" i="4" l="1"/>
  <c r="S597" i="4" s="1"/>
  <c r="T596" i="4"/>
  <c r="U596" i="4" s="1"/>
  <c r="V596" i="4" s="1"/>
  <c r="W596" i="4" s="1"/>
  <c r="Y596" i="4" s="1"/>
  <c r="Y595" i="4"/>
  <c r="X595" i="4"/>
  <c r="P597" i="4"/>
  <c r="I598" i="4"/>
  <c r="Q598" i="4" s="1"/>
  <c r="J598" i="4"/>
  <c r="D598" i="4"/>
  <c r="E599" i="4"/>
  <c r="F599" i="4" s="1"/>
  <c r="X596" i="4" l="1"/>
  <c r="R598" i="4"/>
  <c r="T597" i="4"/>
  <c r="U597" i="4" s="1"/>
  <c r="V597" i="4" s="1"/>
  <c r="W597" i="4" s="1"/>
  <c r="P598" i="4"/>
  <c r="I599" i="4"/>
  <c r="Q599" i="4" s="1"/>
  <c r="D599" i="4"/>
  <c r="J599" i="4"/>
  <c r="E600" i="4"/>
  <c r="F600" i="4" s="1"/>
  <c r="R599" i="4" l="1"/>
  <c r="S599" i="4" s="1"/>
  <c r="Y597" i="4"/>
  <c r="X597" i="4"/>
  <c r="T598" i="4"/>
  <c r="U598" i="4" s="1"/>
  <c r="V598" i="4" s="1"/>
  <c r="W598" i="4" s="1"/>
  <c r="S598" i="4"/>
  <c r="P599" i="4"/>
  <c r="I600" i="4"/>
  <c r="Q600" i="4" s="1"/>
  <c r="J600" i="4"/>
  <c r="E601" i="4"/>
  <c r="F601" i="4" s="1"/>
  <c r="D600" i="4"/>
  <c r="T599" i="4" l="1"/>
  <c r="U599" i="4" s="1"/>
  <c r="V599" i="4" s="1"/>
  <c r="W599" i="4" s="1"/>
  <c r="X599" i="4" s="1"/>
  <c r="Y598" i="4"/>
  <c r="X598" i="4"/>
  <c r="R600" i="4"/>
  <c r="S600" i="4" s="1"/>
  <c r="P600" i="4"/>
  <c r="I601" i="4"/>
  <c r="Q601" i="4" s="1"/>
  <c r="J601" i="4"/>
  <c r="E602" i="4"/>
  <c r="F602" i="4" s="1"/>
  <c r="D601" i="4"/>
  <c r="Y599" i="4" l="1"/>
  <c r="T600" i="4"/>
  <c r="U600" i="4" s="1"/>
  <c r="V600" i="4" s="1"/>
  <c r="W600" i="4" s="1"/>
  <c r="R601" i="4"/>
  <c r="S601" i="4" s="1"/>
  <c r="P601" i="4"/>
  <c r="I602" i="4"/>
  <c r="Q602" i="4" s="1"/>
  <c r="E603" i="4"/>
  <c r="F603" i="4" s="1"/>
  <c r="J602" i="4"/>
  <c r="D602" i="4"/>
  <c r="Y600" i="4" l="1"/>
  <c r="X600" i="4"/>
  <c r="T601" i="4"/>
  <c r="U601" i="4" s="1"/>
  <c r="V601" i="4" s="1"/>
  <c r="W601" i="4" s="1"/>
  <c r="R602" i="4"/>
  <c r="S602" i="4" s="1"/>
  <c r="P602" i="4"/>
  <c r="I603" i="4"/>
  <c r="Q603" i="4" s="1"/>
  <c r="D603" i="4"/>
  <c r="J603" i="4"/>
  <c r="E604" i="4"/>
  <c r="F604" i="4" s="1"/>
  <c r="F605" i="4" s="1"/>
  <c r="F606" i="4" s="1"/>
  <c r="F607" i="4" s="1"/>
  <c r="F608" i="4" s="1"/>
  <c r="F609" i="4" s="1"/>
  <c r="F610" i="4" s="1"/>
  <c r="F611" i="4" s="1"/>
  <c r="F612" i="4" s="1"/>
  <c r="F613" i="4" s="1"/>
  <c r="F614" i="4" s="1"/>
  <c r="F615" i="4" s="1"/>
  <c r="F616" i="4" s="1"/>
  <c r="F617" i="4" s="1"/>
  <c r="F618" i="4" s="1"/>
  <c r="F619" i="4" s="1"/>
  <c r="F620" i="4" s="1"/>
  <c r="F621" i="4" s="1"/>
  <c r="F622" i="4" s="1"/>
  <c r="F623" i="4" s="1"/>
  <c r="F624" i="4" s="1"/>
  <c r="F625" i="4" s="1"/>
  <c r="F626" i="4" s="1"/>
  <c r="F627" i="4" s="1"/>
  <c r="F628" i="4" s="1"/>
  <c r="F629" i="4" s="1"/>
  <c r="F630" i="4" s="1"/>
  <c r="F631" i="4" s="1"/>
  <c r="F632" i="4" s="1"/>
  <c r="F633" i="4" s="1"/>
  <c r="F634" i="4" s="1"/>
  <c r="F635" i="4" s="1"/>
  <c r="F636" i="4" s="1"/>
  <c r="F637" i="4" s="1"/>
  <c r="F638" i="4" s="1"/>
  <c r="F639" i="4" s="1"/>
  <c r="F640" i="4" s="1"/>
  <c r="F641" i="4" s="1"/>
  <c r="F642" i="4" s="1"/>
  <c r="F643" i="4" s="1"/>
  <c r="F644" i="4" s="1"/>
  <c r="F645" i="4" s="1"/>
  <c r="F646" i="4" s="1"/>
  <c r="F647" i="4" s="1"/>
  <c r="F648" i="4" s="1"/>
  <c r="F649" i="4" s="1"/>
  <c r="F650" i="4" s="1"/>
  <c r="F651" i="4" s="1"/>
  <c r="F652" i="4" s="1"/>
  <c r="F653" i="4" s="1"/>
  <c r="F654" i="4" s="1"/>
  <c r="F655" i="4" s="1"/>
  <c r="F656" i="4" s="1"/>
  <c r="F657" i="4" s="1"/>
  <c r="F658" i="4" s="1"/>
  <c r="F659" i="4" s="1"/>
  <c r="F660" i="4" s="1"/>
  <c r="F661" i="4" s="1"/>
  <c r="F662" i="4" s="1"/>
  <c r="F663" i="4" s="1"/>
  <c r="F664" i="4" s="1"/>
  <c r="F665" i="4" s="1"/>
  <c r="F666" i="4" s="1"/>
  <c r="F667" i="4" s="1"/>
  <c r="F668" i="4" s="1"/>
  <c r="F669" i="4" s="1"/>
  <c r="F670" i="4" s="1"/>
  <c r="F671" i="4" s="1"/>
  <c r="F672" i="4" s="1"/>
  <c r="F673" i="4" s="1"/>
  <c r="F674" i="4" s="1"/>
  <c r="F675" i="4" s="1"/>
  <c r="F676" i="4" s="1"/>
  <c r="F677" i="4" s="1"/>
  <c r="F678" i="4" s="1"/>
  <c r="F679" i="4" s="1"/>
  <c r="F680" i="4" s="1"/>
  <c r="F681" i="4" s="1"/>
  <c r="F682" i="4" s="1"/>
  <c r="F683" i="4" s="1"/>
  <c r="F684" i="4" s="1"/>
  <c r="F685" i="4" s="1"/>
  <c r="F686" i="4" s="1"/>
  <c r="F687" i="4" s="1"/>
  <c r="F688" i="4" s="1"/>
  <c r="F689" i="4" s="1"/>
  <c r="F690" i="4" s="1"/>
  <c r="F691" i="4" s="1"/>
  <c r="F692" i="4" s="1"/>
  <c r="F693" i="4" s="1"/>
  <c r="F694" i="4" s="1"/>
  <c r="F695" i="4" s="1"/>
  <c r="F696" i="4" s="1"/>
  <c r="F697" i="4" s="1"/>
  <c r="F698" i="4" s="1"/>
  <c r="F699" i="4" s="1"/>
  <c r="F700" i="4" s="1"/>
  <c r="F701" i="4" s="1"/>
  <c r="F702" i="4" s="1"/>
  <c r="F703" i="4" s="1"/>
  <c r="F704" i="4" s="1"/>
  <c r="F705" i="4" s="1"/>
  <c r="F706" i="4" s="1"/>
  <c r="F707" i="4" s="1"/>
  <c r="F708" i="4" s="1"/>
  <c r="F709" i="4" s="1"/>
  <c r="F710" i="4" s="1"/>
  <c r="F711" i="4" s="1"/>
  <c r="F712" i="4" s="1"/>
  <c r="F713" i="4" s="1"/>
  <c r="F714" i="4" s="1"/>
  <c r="F715" i="4" s="1"/>
  <c r="F716" i="4" s="1"/>
  <c r="F717" i="4" s="1"/>
  <c r="F718" i="4" s="1"/>
  <c r="F719" i="4" s="1"/>
  <c r="F720" i="4" s="1"/>
  <c r="F721" i="4" s="1"/>
  <c r="F722" i="4" s="1"/>
  <c r="F723" i="4" s="1"/>
  <c r="F724" i="4" s="1"/>
  <c r="F725" i="4" s="1"/>
  <c r="F726" i="4" s="1"/>
  <c r="F727" i="4" s="1"/>
  <c r="F728" i="4" s="1"/>
  <c r="F729" i="4" s="1"/>
  <c r="F730" i="4" s="1"/>
  <c r="F731" i="4" s="1"/>
  <c r="F732" i="4" s="1"/>
  <c r="F733" i="4" s="1"/>
  <c r="F734" i="4" s="1"/>
  <c r="F735" i="4" s="1"/>
  <c r="F736" i="4" s="1"/>
  <c r="F737" i="4" s="1"/>
  <c r="F738" i="4" s="1"/>
  <c r="F739" i="4" s="1"/>
  <c r="F740" i="4" s="1"/>
  <c r="F741" i="4" s="1"/>
  <c r="F742" i="4" s="1"/>
  <c r="F743" i="4" s="1"/>
  <c r="F744" i="4" s="1"/>
  <c r="F745" i="4" s="1"/>
  <c r="F746" i="4" s="1"/>
  <c r="F747" i="4" s="1"/>
  <c r="F748" i="4" s="1"/>
  <c r="F749" i="4" s="1"/>
  <c r="F750" i="4" s="1"/>
  <c r="F751" i="4" s="1"/>
  <c r="F752" i="4" s="1"/>
  <c r="F753" i="4" s="1"/>
  <c r="F754" i="4" s="1"/>
  <c r="F755" i="4" s="1"/>
  <c r="F756" i="4" s="1"/>
  <c r="F757" i="4" s="1"/>
  <c r="F758" i="4" s="1"/>
  <c r="F759" i="4" s="1"/>
  <c r="F760" i="4" s="1"/>
  <c r="F761" i="4" s="1"/>
  <c r="F762" i="4" s="1"/>
  <c r="F763" i="4" s="1"/>
  <c r="F764" i="4" s="1"/>
  <c r="F765" i="4" s="1"/>
  <c r="F766" i="4" s="1"/>
  <c r="F767" i="4" s="1"/>
  <c r="F768" i="4" s="1"/>
  <c r="F769" i="4" s="1"/>
  <c r="F770" i="4" s="1"/>
  <c r="F771" i="4" s="1"/>
  <c r="F772" i="4" s="1"/>
  <c r="F773" i="4" s="1"/>
  <c r="F774" i="4" s="1"/>
  <c r="F775" i="4" s="1"/>
  <c r="F776" i="4" s="1"/>
  <c r="F777" i="4" s="1"/>
  <c r="F778" i="4" s="1"/>
  <c r="F779" i="4" s="1"/>
  <c r="F780" i="4" s="1"/>
  <c r="F781" i="4" s="1"/>
  <c r="F782" i="4" s="1"/>
  <c r="F783" i="4" s="1"/>
  <c r="F784" i="4" s="1"/>
  <c r="F785" i="4" s="1"/>
  <c r="F786" i="4" s="1"/>
  <c r="F787" i="4" s="1"/>
  <c r="F788" i="4" s="1"/>
  <c r="F789" i="4" s="1"/>
  <c r="F790" i="4" s="1"/>
  <c r="F791" i="4" s="1"/>
  <c r="F792" i="4" s="1"/>
  <c r="F793" i="4" s="1"/>
  <c r="F794" i="4" s="1"/>
  <c r="F795" i="4" s="1"/>
  <c r="F796" i="4" s="1"/>
  <c r="F797" i="4" s="1"/>
  <c r="F798" i="4" s="1"/>
  <c r="F799" i="4" s="1"/>
  <c r="F800" i="4" s="1"/>
  <c r="F801" i="4" s="1"/>
  <c r="F802" i="4" s="1"/>
  <c r="F803" i="4" s="1"/>
  <c r="F804" i="4" s="1"/>
  <c r="F805" i="4" s="1"/>
  <c r="F806" i="4" s="1"/>
  <c r="F807" i="4" s="1"/>
  <c r="F808" i="4" s="1"/>
  <c r="F809" i="4" s="1"/>
  <c r="F810" i="4" s="1"/>
  <c r="F811" i="4" s="1"/>
  <c r="F812" i="4" s="1"/>
  <c r="F813" i="4" s="1"/>
  <c r="F814" i="4" s="1"/>
  <c r="F815" i="4" s="1"/>
  <c r="F816" i="4" s="1"/>
  <c r="F817" i="4" s="1"/>
  <c r="F818" i="4" s="1"/>
  <c r="F819" i="4" s="1"/>
  <c r="F820" i="4" s="1"/>
  <c r="F821" i="4" s="1"/>
  <c r="F822" i="4" s="1"/>
  <c r="F823" i="4" s="1"/>
  <c r="F824" i="4" s="1"/>
  <c r="F825" i="4" s="1"/>
  <c r="F826" i="4" s="1"/>
  <c r="F827" i="4" s="1"/>
  <c r="F828" i="4" s="1"/>
  <c r="F829" i="4" s="1"/>
  <c r="F830" i="4" s="1"/>
  <c r="F831" i="4" s="1"/>
  <c r="F832" i="4" s="1"/>
  <c r="F833" i="4" s="1"/>
  <c r="F834" i="4" s="1"/>
  <c r="F835" i="4" s="1"/>
  <c r="F836" i="4" s="1"/>
  <c r="F837" i="4" s="1"/>
  <c r="F838" i="4" s="1"/>
  <c r="F839" i="4" s="1"/>
  <c r="F840" i="4" s="1"/>
  <c r="F841" i="4" s="1"/>
  <c r="F842" i="4" s="1"/>
  <c r="F843" i="4" s="1"/>
  <c r="F844" i="4" s="1"/>
  <c r="F845" i="4" s="1"/>
  <c r="F846" i="4" s="1"/>
  <c r="F847" i="4" s="1"/>
  <c r="F848" i="4" s="1"/>
  <c r="F849" i="4" s="1"/>
  <c r="F850" i="4" s="1"/>
  <c r="F851" i="4" s="1"/>
  <c r="F852" i="4" s="1"/>
  <c r="F853" i="4" s="1"/>
  <c r="F854" i="4" s="1"/>
  <c r="F855" i="4" s="1"/>
  <c r="F856" i="4" s="1"/>
  <c r="F857" i="4" s="1"/>
  <c r="F858" i="4" s="1"/>
  <c r="F859" i="4" s="1"/>
  <c r="F860" i="4" s="1"/>
  <c r="F861" i="4" s="1"/>
  <c r="F862" i="4" s="1"/>
  <c r="F863" i="4" s="1"/>
  <c r="F864" i="4" s="1"/>
  <c r="F865" i="4" s="1"/>
  <c r="F866" i="4" s="1"/>
  <c r="F867" i="4" s="1"/>
  <c r="F868" i="4" s="1"/>
  <c r="F869" i="4" s="1"/>
  <c r="F870" i="4" s="1"/>
  <c r="F871" i="4" s="1"/>
  <c r="F872" i="4" s="1"/>
  <c r="F873" i="4" s="1"/>
  <c r="F874" i="4" s="1"/>
  <c r="F875" i="4" s="1"/>
  <c r="F876" i="4" s="1"/>
  <c r="F877" i="4" s="1"/>
  <c r="F878" i="4" s="1"/>
  <c r="F879" i="4" s="1"/>
  <c r="F880" i="4" s="1"/>
  <c r="F881" i="4" s="1"/>
  <c r="F882" i="4" s="1"/>
  <c r="F883" i="4" s="1"/>
  <c r="F884" i="4" s="1"/>
  <c r="F885" i="4" s="1"/>
  <c r="F886" i="4" s="1"/>
  <c r="F887" i="4" s="1"/>
  <c r="F888" i="4" s="1"/>
  <c r="F889" i="4" s="1"/>
  <c r="F890" i="4" s="1"/>
  <c r="F891" i="4" s="1"/>
  <c r="F892" i="4" s="1"/>
  <c r="F893" i="4" s="1"/>
  <c r="F894" i="4" s="1"/>
  <c r="F895" i="4" s="1"/>
  <c r="F896" i="4" s="1"/>
  <c r="F897" i="4" s="1"/>
  <c r="F898" i="4" s="1"/>
  <c r="F899" i="4" s="1"/>
  <c r="F900" i="4" s="1"/>
  <c r="F901" i="4" s="1"/>
  <c r="F902" i="4" s="1"/>
  <c r="F903" i="4" s="1"/>
  <c r="F904" i="4" s="1"/>
  <c r="F905" i="4" s="1"/>
  <c r="F906" i="4" s="1"/>
  <c r="F907" i="4" s="1"/>
  <c r="F908" i="4" s="1"/>
  <c r="F909" i="4" s="1"/>
  <c r="F910" i="4" s="1"/>
  <c r="F911" i="4" s="1"/>
  <c r="F912" i="4" s="1"/>
  <c r="F913" i="4" s="1"/>
  <c r="F914" i="4" s="1"/>
  <c r="F915" i="4" s="1"/>
  <c r="F916" i="4" s="1"/>
  <c r="F917" i="4" s="1"/>
  <c r="F918" i="4" s="1"/>
  <c r="F919" i="4" s="1"/>
  <c r="F920" i="4" s="1"/>
  <c r="F921" i="4" s="1"/>
  <c r="F922" i="4" s="1"/>
  <c r="F923" i="4" s="1"/>
  <c r="F924" i="4" s="1"/>
  <c r="F925" i="4" s="1"/>
  <c r="F926" i="4" s="1"/>
  <c r="F927" i="4" s="1"/>
  <c r="F928" i="4" s="1"/>
  <c r="F929" i="4" s="1"/>
  <c r="F930" i="4" s="1"/>
  <c r="F931" i="4" s="1"/>
  <c r="F932" i="4" s="1"/>
  <c r="F933" i="4" s="1"/>
  <c r="F934" i="4" s="1"/>
  <c r="F935" i="4" s="1"/>
  <c r="F936" i="4" s="1"/>
  <c r="F937" i="4" s="1"/>
  <c r="F938" i="4" s="1"/>
  <c r="F939" i="4" s="1"/>
  <c r="F940" i="4" s="1"/>
  <c r="F941" i="4" s="1"/>
  <c r="F942" i="4" s="1"/>
  <c r="F943" i="4" s="1"/>
  <c r="F944" i="4" s="1"/>
  <c r="F945" i="4" s="1"/>
  <c r="F946" i="4" s="1"/>
  <c r="F947" i="4" s="1"/>
  <c r="F948" i="4" s="1"/>
  <c r="F949" i="4" s="1"/>
  <c r="F950" i="4" s="1"/>
  <c r="F951" i="4" s="1"/>
  <c r="F952" i="4" s="1"/>
  <c r="F953" i="4" s="1"/>
  <c r="F954" i="4" s="1"/>
  <c r="F955" i="4" s="1"/>
  <c r="F956" i="4" s="1"/>
  <c r="F957" i="4" s="1"/>
  <c r="F958" i="4" s="1"/>
  <c r="F959" i="4" s="1"/>
  <c r="F960" i="4" s="1"/>
  <c r="F961" i="4" s="1"/>
  <c r="F962" i="4" s="1"/>
  <c r="F963" i="4" s="1"/>
  <c r="F964" i="4" s="1"/>
  <c r="F965" i="4" s="1"/>
  <c r="F966" i="4" s="1"/>
  <c r="F967" i="4" s="1"/>
  <c r="F968" i="4" s="1"/>
  <c r="F969" i="4" s="1"/>
  <c r="F970" i="4" s="1"/>
  <c r="F971" i="4" s="1"/>
  <c r="F972" i="4" s="1"/>
  <c r="F973" i="4" s="1"/>
  <c r="F974" i="4" s="1"/>
  <c r="F975" i="4" s="1"/>
  <c r="F976" i="4" s="1"/>
  <c r="F977" i="4" s="1"/>
  <c r="F978" i="4" s="1"/>
  <c r="F979" i="4" s="1"/>
  <c r="F980" i="4" s="1"/>
  <c r="F981" i="4" s="1"/>
  <c r="F982" i="4" s="1"/>
  <c r="F983" i="4" s="1"/>
  <c r="F984" i="4" s="1"/>
  <c r="F985" i="4" s="1"/>
  <c r="F986" i="4" s="1"/>
  <c r="F987" i="4" s="1"/>
  <c r="F988" i="4" s="1"/>
  <c r="F989" i="4" s="1"/>
  <c r="F990" i="4" s="1"/>
  <c r="F991" i="4" s="1"/>
  <c r="F992" i="4" s="1"/>
  <c r="F993" i="4" s="1"/>
  <c r="F994" i="4" s="1"/>
  <c r="F995" i="4" s="1"/>
  <c r="F996" i="4" s="1"/>
  <c r="F997" i="4" s="1"/>
  <c r="F998" i="4" s="1"/>
  <c r="F999" i="4" s="1"/>
  <c r="F1000" i="4" s="1"/>
  <c r="F1001" i="4" s="1"/>
  <c r="F1002" i="4" s="1"/>
  <c r="F1003" i="4" s="1"/>
  <c r="F1004" i="4" s="1"/>
  <c r="F1005" i="4" s="1"/>
  <c r="F1006" i="4" s="1"/>
  <c r="F1007" i="4" s="1"/>
  <c r="F1008" i="4" s="1"/>
  <c r="F1009" i="4" s="1"/>
  <c r="F1010" i="4" s="1"/>
  <c r="F1011" i="4" s="1"/>
  <c r="F1012" i="4" s="1"/>
  <c r="F1013" i="4" s="1"/>
  <c r="F1014" i="4" s="1"/>
  <c r="F1015" i="4" s="1"/>
  <c r="F1016" i="4" s="1"/>
  <c r="F1017" i="4" s="1"/>
  <c r="F1018" i="4" s="1"/>
  <c r="F1019" i="4" s="1"/>
  <c r="F1020" i="4" s="1"/>
  <c r="F1021" i="4" s="1"/>
  <c r="F1022" i="4" s="1"/>
  <c r="F1023" i="4" s="1"/>
  <c r="F1024" i="4" s="1"/>
  <c r="F1025" i="4" s="1"/>
  <c r="F1026" i="4" s="1"/>
  <c r="F1027" i="4" s="1"/>
  <c r="F1028" i="4" s="1"/>
  <c r="F1029" i="4" s="1"/>
  <c r="F1030" i="4" s="1"/>
  <c r="F1031" i="4" s="1"/>
  <c r="F1032" i="4" s="1"/>
  <c r="F1033" i="4" s="1"/>
  <c r="F1034" i="4" s="1"/>
  <c r="F1035" i="4" s="1"/>
  <c r="F1036" i="4" s="1"/>
  <c r="F1037" i="4" s="1"/>
  <c r="F1038" i="4" s="1"/>
  <c r="F1039" i="4" s="1"/>
  <c r="F1040" i="4" s="1"/>
  <c r="F1041" i="4" s="1"/>
  <c r="F1042" i="4" s="1"/>
  <c r="F1043" i="4" s="1"/>
  <c r="F1044" i="4" s="1"/>
  <c r="F1045" i="4" s="1"/>
  <c r="F1046" i="4" s="1"/>
  <c r="F1047" i="4" s="1"/>
  <c r="F1048" i="4" s="1"/>
  <c r="F1049" i="4" s="1"/>
  <c r="F1050" i="4" s="1"/>
  <c r="F1051" i="4" s="1"/>
  <c r="F1052" i="4" s="1"/>
  <c r="F1053" i="4" s="1"/>
  <c r="F1054" i="4" s="1"/>
  <c r="F1055" i="4" s="1"/>
  <c r="F1056" i="4" s="1"/>
  <c r="F1057" i="4" s="1"/>
  <c r="F1058" i="4" s="1"/>
  <c r="F1059" i="4" s="1"/>
  <c r="F1060" i="4" s="1"/>
  <c r="F1061" i="4" s="1"/>
  <c r="F1062" i="4" s="1"/>
  <c r="F1063" i="4" s="1"/>
  <c r="F1064" i="4" s="1"/>
  <c r="F1065" i="4" s="1"/>
  <c r="F1066" i="4" s="1"/>
  <c r="F1067" i="4" s="1"/>
  <c r="F1068" i="4" s="1"/>
  <c r="F1069" i="4" s="1"/>
  <c r="F1070" i="4" s="1"/>
  <c r="F1071" i="4" s="1"/>
  <c r="F1072" i="4" s="1"/>
  <c r="F1073" i="4" s="1"/>
  <c r="F1074" i="4" s="1"/>
  <c r="F1075" i="4" s="1"/>
  <c r="F1076" i="4" s="1"/>
  <c r="F1077" i="4" s="1"/>
  <c r="F1078" i="4" s="1"/>
  <c r="F1079" i="4" s="1"/>
  <c r="F1080" i="4" s="1"/>
  <c r="F1081" i="4" s="1"/>
  <c r="F1082" i="4" s="1"/>
  <c r="F1083" i="4" s="1"/>
  <c r="F1084" i="4" s="1"/>
  <c r="F1085" i="4" s="1"/>
  <c r="F1086" i="4" s="1"/>
  <c r="F1087" i="4" s="1"/>
  <c r="F1088" i="4" s="1"/>
  <c r="F1089" i="4" s="1"/>
  <c r="F1090" i="4" s="1"/>
  <c r="F1091" i="4" s="1"/>
  <c r="F1092" i="4" s="1"/>
  <c r="F1093" i="4" s="1"/>
  <c r="F1094" i="4" s="1"/>
  <c r="F1095" i="4" s="1"/>
  <c r="F1096" i="4" s="1"/>
  <c r="F1097" i="4" s="1"/>
  <c r="F1098" i="4" s="1"/>
  <c r="F1099" i="4" s="1"/>
  <c r="F1100" i="4" s="1"/>
  <c r="F1101" i="4" s="1"/>
  <c r="F1102" i="4" s="1"/>
  <c r="F1103" i="4" s="1"/>
  <c r="F1104" i="4" s="1"/>
  <c r="F1105" i="4" s="1"/>
  <c r="F1106" i="4" s="1"/>
  <c r="F1107" i="4" s="1"/>
  <c r="F1108" i="4" s="1"/>
  <c r="F1109" i="4" s="1"/>
  <c r="F1110" i="4" s="1"/>
  <c r="F1111" i="4" s="1"/>
  <c r="T602" i="4" l="1"/>
  <c r="U602" i="4" s="1"/>
  <c r="V602" i="4" s="1"/>
  <c r="W602" i="4" s="1"/>
  <c r="X602" i="4" s="1"/>
  <c r="Y601" i="4"/>
  <c r="X601" i="4"/>
  <c r="R603" i="4"/>
  <c r="S603" i="4" s="1"/>
  <c r="P603" i="4"/>
  <c r="I604" i="4"/>
  <c r="Q604" i="4" s="1"/>
  <c r="I605" i="4"/>
  <c r="Q605" i="4" s="1"/>
  <c r="R605" i="4" s="1"/>
  <c r="S605" i="4" s="1"/>
  <c r="D604" i="4"/>
  <c r="J604" i="4"/>
  <c r="Y602" i="4" l="1"/>
  <c r="T603" i="4"/>
  <c r="U603" i="4" s="1"/>
  <c r="V603" i="4" s="1"/>
  <c r="W603" i="4" s="1"/>
  <c r="R604" i="4"/>
  <c r="S604" i="4" s="1"/>
  <c r="T605" i="4"/>
  <c r="U605" i="4" s="1"/>
  <c r="V605" i="4" s="1"/>
  <c r="W605" i="4" s="1"/>
  <c r="P604" i="4"/>
  <c r="C74" i="1" l="1"/>
  <c r="C75" i="1" s="1"/>
  <c r="T604" i="4"/>
  <c r="U604" i="4" s="1"/>
  <c r="V604" i="4" s="1"/>
  <c r="W604" i="4" s="1"/>
  <c r="X604" i="4" s="1"/>
  <c r="Y605" i="4"/>
  <c r="X605" i="4"/>
  <c r="Y603" i="4"/>
  <c r="X603" i="4"/>
  <c r="Z3" i="4" l="1"/>
  <c r="Y604" i="4"/>
  <c r="AA3" i="4"/>
</calcChain>
</file>

<file path=xl/sharedStrings.xml><?xml version="1.0" encoding="utf-8"?>
<sst xmlns="http://schemas.openxmlformats.org/spreadsheetml/2006/main" count="1521" uniqueCount="181">
  <si>
    <t>VEHICLE</t>
  </si>
  <si>
    <t>NAME</t>
  </si>
  <si>
    <t>ENGINE</t>
  </si>
  <si>
    <t>TRANSMISSION</t>
  </si>
  <si>
    <t>DRIVE</t>
  </si>
  <si>
    <t>DIFFERENTIAL</t>
  </si>
  <si>
    <t>Renegade DX10-C</t>
  </si>
  <si>
    <t>4-Stroke Petrol ICE</t>
  </si>
  <si>
    <t>Automatic CVT</t>
  </si>
  <si>
    <t>CVT Clutch</t>
  </si>
  <si>
    <t>Locked Rear Axle</t>
  </si>
  <si>
    <t>ENGINE SPECIFICATION</t>
  </si>
  <si>
    <t>VOLUME</t>
  </si>
  <si>
    <t>POWER</t>
  </si>
  <si>
    <t>TORQUE</t>
  </si>
  <si>
    <t>cc</t>
  </si>
  <si>
    <t>BHP @6500RPM</t>
  </si>
  <si>
    <t>NM</t>
  </si>
  <si>
    <t>Kw @5500RPM</t>
  </si>
  <si>
    <t>VEHICLE DIMENSIONS</t>
  </si>
  <si>
    <t>LENGTH</t>
  </si>
  <si>
    <t>WIDTH</t>
  </si>
  <si>
    <t>HEIGHT</t>
  </si>
  <si>
    <t>GROUND CLEARANCE</t>
  </si>
  <si>
    <t>FRONTAL AREA</t>
  </si>
  <si>
    <t>m</t>
  </si>
  <si>
    <t>m²</t>
  </si>
  <si>
    <t>VEHICLE CHARACTERISTICS</t>
  </si>
  <si>
    <t>MAX VELOCITY</t>
  </si>
  <si>
    <t>FRONTAL AERO AREA</t>
  </si>
  <si>
    <t>COEFFICIENT OF DRAG</t>
  </si>
  <si>
    <t>mph</t>
  </si>
  <si>
    <t>m/s</t>
  </si>
  <si>
    <t>WHEEL DIMENSIONS</t>
  </si>
  <si>
    <t>FRONT WHEEL SIZE</t>
  </si>
  <si>
    <t>FRONT TYRE SIDE WALL</t>
  </si>
  <si>
    <t>REAR WHEEL SIZE</t>
  </si>
  <si>
    <t>REAR TYRE SIDE WALL</t>
  </si>
  <si>
    <t>ROLLING RADIUS</t>
  </si>
  <si>
    <t>ROLLING CIRCUMFERENCE</t>
  </si>
  <si>
    <t>in</t>
  </si>
  <si>
    <t>WEIGHT</t>
  </si>
  <si>
    <t>CURB WEIGHT</t>
  </si>
  <si>
    <t>DRIVER</t>
  </si>
  <si>
    <t>PASSENGER</t>
  </si>
  <si>
    <t>DRIVER KIT</t>
  </si>
  <si>
    <t>PASSENGER KIT</t>
  </si>
  <si>
    <t>FUEL</t>
  </si>
  <si>
    <t>TOTAL</t>
  </si>
  <si>
    <t>FUEL TANK</t>
  </si>
  <si>
    <t>l</t>
  </si>
  <si>
    <t>kg</t>
  </si>
  <si>
    <t>GEARING</t>
  </si>
  <si>
    <t>PRIMARY</t>
  </si>
  <si>
    <t>FIRST</t>
  </si>
  <si>
    <t>SECOND</t>
  </si>
  <si>
    <t>THIRD</t>
  </si>
  <si>
    <t>FINAL</t>
  </si>
  <si>
    <t>INPUT</t>
  </si>
  <si>
    <t>OUTPUT</t>
  </si>
  <si>
    <t>RATIO</t>
  </si>
  <si>
    <t>FINAL RATIO</t>
  </si>
  <si>
    <t>RPM</t>
  </si>
  <si>
    <t>φ</t>
  </si>
  <si>
    <t>REAR WHEEL TRAVEL</t>
  </si>
  <si>
    <t>SPROCKET ROTATION</t>
  </si>
  <si>
    <t>WHEEL TRAVEL (m)</t>
  </si>
  <si>
    <t>WHEEL TRAVEL</t>
  </si>
  <si>
    <t>INERTIA AND REDUCED MASSES</t>
  </si>
  <si>
    <t>ENGINE INERTIA</t>
  </si>
  <si>
    <t>WHEEL INERTIA</t>
  </si>
  <si>
    <t>kgm²</t>
  </si>
  <si>
    <t>VELOCITY</t>
  </si>
  <si>
    <t>BHP</t>
  </si>
  <si>
    <t>W</t>
  </si>
  <si>
    <t>FORCE</t>
  </si>
  <si>
    <t>m/s²</t>
  </si>
  <si>
    <t>N</t>
  </si>
  <si>
    <t>Aero Drag Force</t>
  </si>
  <si>
    <t>Air Density kg/m^3</t>
  </si>
  <si>
    <t>Gradient Resistance</t>
  </si>
  <si>
    <t>Value Taken from Book</t>
  </si>
  <si>
    <t>Rolling Resistance (Gravel)</t>
  </si>
  <si>
    <t>Rolling Resistance (Dirt)</t>
  </si>
  <si>
    <t>Rolling Resistance (Grass)</t>
  </si>
  <si>
    <t>Rolling Resistance (Ashphalt)</t>
  </si>
  <si>
    <t>Total Resistant Forces (Gravel)</t>
  </si>
  <si>
    <t>Total Resistant Forces (Dirt)</t>
  </si>
  <si>
    <t>Total Resistant Forces (Grass)</t>
  </si>
  <si>
    <t>Total Resistant Forces (Ashphalt)</t>
  </si>
  <si>
    <t>Net Driving Force (Gravel)</t>
  </si>
  <si>
    <t>Net Driving Force (Dirt)</t>
  </si>
  <si>
    <t>Net Driving Force (Grass)</t>
  </si>
  <si>
    <t>Net Driving Force (Ashphalt)</t>
  </si>
  <si>
    <t>Available Engine Acceleration</t>
  </si>
  <si>
    <t>Traction Limited Acceleration (Gravel)</t>
  </si>
  <si>
    <t>Traction Limited Acceleration (Dirt)</t>
  </si>
  <si>
    <t>Traction Limited Acceleration (Grass)</t>
  </si>
  <si>
    <t>Traction Limited Acceleration (Ashphalt)</t>
  </si>
  <si>
    <t>C of G  Height, Didtance from Front Wheel Centre</t>
  </si>
  <si>
    <t>Surface</t>
  </si>
  <si>
    <t>Distance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</si>
  <si>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</si>
  <si>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</si>
  <si>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</si>
  <si>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</si>
  <si>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</si>
  <si>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</si>
  <si>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</si>
  <si>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</si>
  <si>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</si>
  <si>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</si>
  <si>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</si>
  <si>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</si>
  <si>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</si>
  <si>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</si>
  <si>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</si>
  <si>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</si>
  <si>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</si>
  <si>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</si>
  <si>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</si>
  <si>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</si>
  <si>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</si>
  <si>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</si>
  <si>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</si>
  <si>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</si>
  <si>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</si>
  <si>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</si>
  <si>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</si>
  <si>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</si>
  <si>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</si>
  <si>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</si>
  <si>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</si>
  <si>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Radius</t>
  </si>
  <si>
    <t>N/A</t>
  </si>
  <si>
    <t>S16</t>
  </si>
  <si>
    <t>T17</t>
  </si>
  <si>
    <t>Ashphalt</t>
  </si>
  <si>
    <t>Dirt</t>
  </si>
  <si>
    <t>Grass</t>
  </si>
  <si>
    <t>Gravel</t>
  </si>
  <si>
    <t>Total Distance</t>
  </si>
  <si>
    <t>Traction Limited Deceleration (Gravel)</t>
  </si>
  <si>
    <t>Traction Limited Deceleration (Dirt)</t>
  </si>
  <si>
    <t>Traction Limited Deceleration (Grass)</t>
  </si>
  <si>
    <t>Traction Limited Deceleration (Ashphalt)</t>
  </si>
  <si>
    <t>Speed (mph)</t>
  </si>
  <si>
    <t>Speed (m/s)</t>
  </si>
  <si>
    <t>Time (s)</t>
  </si>
  <si>
    <t>Aero Resistance (N)</t>
  </si>
  <si>
    <t>Rolling Resistance (N)</t>
  </si>
  <si>
    <t>BSFC</t>
  </si>
  <si>
    <t>Elevation</t>
  </si>
  <si>
    <t>Elevation Change</t>
  </si>
  <si>
    <t>Gradient (Degrees)</t>
  </si>
  <si>
    <t>Engine Speed (RPM)</t>
  </si>
  <si>
    <t>Selected Gear</t>
  </si>
  <si>
    <t>Vehicle Acceleration</t>
  </si>
  <si>
    <t>Force From Acceleration</t>
  </si>
  <si>
    <t>Total Resistive Forces</t>
  </si>
  <si>
    <t>Torque Demand</t>
  </si>
  <si>
    <t>Fuel Used</t>
  </si>
  <si>
    <t>Torque Demand (Nm)</t>
  </si>
  <si>
    <t>BSFC (g/Kwh)</t>
  </si>
  <si>
    <t xml:space="preserve">Power Required </t>
  </si>
  <si>
    <t>Torque Round Up</t>
  </si>
  <si>
    <t>Carbon Dioxide Emited</t>
  </si>
  <si>
    <t>TOTAL Fuel Usage</t>
  </si>
  <si>
    <t>Power Required Corrected</t>
  </si>
  <si>
    <t>Fuel Used 2</t>
  </si>
  <si>
    <t>Road Surface</t>
  </si>
  <si>
    <t xml:space="preserve">Friction Co-Eff </t>
  </si>
  <si>
    <t>Fuel Consumption (g)</t>
  </si>
  <si>
    <t>Fuel Consumption (L)</t>
  </si>
  <si>
    <t>Fuel Consumption (Gal)</t>
  </si>
  <si>
    <t>Fuel Consumption (kg)</t>
  </si>
  <si>
    <t>MPG</t>
  </si>
  <si>
    <t>Fuel Usage</t>
  </si>
  <si>
    <t>CO2 Released</t>
  </si>
  <si>
    <t>Tractive Effort (N)</t>
  </si>
  <si>
    <t>Max Acceleration (m/s^2)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</si>
</sst>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6">
    <xf numFmtId="0" fontId="0" fillId="0" borderId="0" xfId="0"/>
    <xf numFmtId="0" fontId="0" fillId="3" borderId="0" xfId="0" applyFill="1"/>
    <xf numFmtId="0" fontId="0" fillId="4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3" borderId="0" xfId="0" applyFill="1" applyBorder="1"/>
    <xf numFmtId="0" fontId="0" fillId="3" borderId="1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0" fillId="4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4" xfId="0" applyFill="1" applyBorder="1" applyAlignment="1">
      <alignment horizontal="center"/>
    </xf>
    <xf numFmtId="0" fontId="0" fillId="7" borderId="1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8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4" fillId="11" borderId="1" xfId="0" applyFont="1" applyFill="1" applyBorder="1"/>
    <xf numFmtId="0" fontId="4" fillId="9" borderId="1" xfId="0" applyFont="1" applyFill="1" applyBorder="1"/>
    <xf numFmtId="0" fontId="4" fillId="10" borderId="1" xfId="0" applyFont="1" applyFill="1" applyBorder="1"/>
    <xf numFmtId="0" fontId="4" fillId="12" borderId="1" xfId="0" applyFont="1" applyFill="1" applyBorder="1"/>
    <xf numFmtId="0" fontId="4" fillId="13" borderId="1" xfId="0" applyFont="1" applyFill="1" applyBorder="1"/>
    <xf numFmtId="0" fontId="4" fillId="14" borderId="1" xfId="0" applyFont="1" applyFill="1" applyBorder="1"/>
    <xf numFmtId="0" fontId="4" fillId="15" borderId="1" xfId="0" applyFont="1" applyFill="1" applyBorder="1"/>
    <xf numFmtId="0" fontId="0" fillId="16" borderId="1" xfId="0" applyFill="1" applyBorder="1"/>
    <xf numFmtId="0" fontId="0" fillId="17" borderId="0" xfId="0" applyFill="1"/>
    <xf numFmtId="0" fontId="0" fillId="0" borderId="0" xfId="0" applyBorder="1"/>
    <xf numFmtId="0" fontId="0" fillId="6" borderId="2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4" fillId="9" borderId="0" xfId="0" applyFont="1" applyFill="1"/>
    <xf numFmtId="0" fontId="4" fillId="6" borderId="1" xfId="0" applyFont="1" applyFill="1" applyBorder="1"/>
    <xf numFmtId="0" fontId="4" fillId="10" borderId="1" xfId="0" applyFont="1" applyFill="1" applyBorder="1" applyAlignment="1">
      <alignment horizontal="center"/>
    </xf>
    <xf numFmtId="0" fontId="0" fillId="12" borderId="1" xfId="0" applyFill="1" applyBorder="1"/>
    <xf numFmtId="0" fontId="4" fillId="9" borderId="1" xfId="0" applyFont="1" applyFill="1" applyBorder="1" applyAlignment="1">
      <alignment horizontal="center"/>
    </xf>
    <xf numFmtId="0" fontId="0" fillId="0" borderId="1" xfId="0" applyBorder="1"/>
    <xf numFmtId="0" fontId="4" fillId="0" borderId="0" xfId="0" applyFont="1"/>
    <xf numFmtId="0" fontId="4" fillId="12" borderId="0" xfId="0" applyFont="1" applyFill="1"/>
    <xf numFmtId="0" fontId="4" fillId="18" borderId="0" xfId="0" applyFont="1" applyFill="1"/>
    <xf numFmtId="0" fontId="4" fillId="19" borderId="0" xfId="0" applyFont="1" applyFill="1"/>
    <xf numFmtId="0" fontId="4" fillId="13" borderId="0" xfId="0" applyFont="1" applyFill="1"/>
    <xf numFmtId="0" fontId="4" fillId="8" borderId="0" xfId="0" applyFont="1" applyFill="1"/>
    <xf numFmtId="0" fontId="4" fillId="20" borderId="0" xfId="0" applyFont="1" applyFill="1"/>
    <xf numFmtId="0" fontId="4" fillId="15" borderId="0" xfId="0" applyFont="1" applyFill="1"/>
    <xf numFmtId="0" fontId="0" fillId="21" borderId="0" xfId="0" applyFill="1"/>
    <xf numFmtId="0" fontId="4" fillId="21" borderId="9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4" fillId="22" borderId="4" xfId="0" applyFont="1" applyFill="1" applyBorder="1" applyAlignment="1">
      <alignment horizontal="right"/>
    </xf>
    <xf numFmtId="0" fontId="4" fillId="22" borderId="1" xfId="0" applyFont="1" applyFill="1" applyBorder="1" applyAlignment="1">
      <alignment horizontal="right"/>
    </xf>
    <xf numFmtId="0" fontId="4" fillId="22" borderId="2" xfId="0" applyFont="1" applyFill="1" applyBorder="1" applyAlignment="1">
      <alignment horizontal="center"/>
    </xf>
    <xf numFmtId="0" fontId="4" fillId="22" borderId="6" xfId="0" applyFont="1" applyFill="1" applyBorder="1" applyAlignment="1">
      <alignment horizontal="center"/>
    </xf>
    <xf numFmtId="0" fontId="4" fillId="22" borderId="3" xfId="0" applyFont="1" applyFill="1" applyBorder="1" applyAlignment="1">
      <alignment horizontal="center"/>
    </xf>
    <xf numFmtId="0" fontId="4" fillId="22" borderId="1" xfId="0" applyFont="1" applyFill="1" applyBorder="1" applyAlignment="1">
      <alignment horizontal="center"/>
    </xf>
    <xf numFmtId="0" fontId="0" fillId="22" borderId="1" xfId="0" applyFill="1" applyBorder="1"/>
    <xf numFmtId="0" fontId="4" fillId="22" borderId="1" xfId="0" applyFont="1" applyFill="1" applyBorder="1" applyAlignment="1">
      <alignment horizontal="center"/>
    </xf>
    <xf numFmtId="0" fontId="5" fillId="22" borderId="1" xfId="1" applyFont="1" applyFill="1" applyBorder="1" applyAlignment="1">
      <alignment horizontal="right" vertical="center"/>
    </xf>
    <xf numFmtId="0" fontId="0" fillId="3" borderId="9" xfId="0" applyFill="1" applyBorder="1"/>
    <xf numFmtId="0" fontId="4" fillId="3" borderId="0" xfId="0" applyFont="1" applyFill="1" applyBorder="1" applyAlignment="1"/>
    <xf numFmtId="0" fontId="4" fillId="3" borderId="0" xfId="0" applyFont="1" applyFill="1"/>
    <xf numFmtId="0" fontId="4" fillId="23" borderId="1" xfId="0" applyFont="1" applyFill="1" applyBorder="1" applyAlignment="1">
      <alignment horizontal="right"/>
    </xf>
    <xf numFmtId="0" fontId="4" fillId="23" borderId="1" xfId="0" applyFont="1" applyFill="1" applyBorder="1" applyAlignment="1">
      <alignment horizontal="center"/>
    </xf>
    <xf numFmtId="0" fontId="5" fillId="0" borderId="1" xfId="0" applyFont="1" applyBorder="1"/>
    <xf numFmtId="0" fontId="1" fillId="0" borderId="1" xfId="0" applyFont="1" applyBorder="1"/>
    <xf numFmtId="2" fontId="1" fillId="0" borderId="1" xfId="0" applyNumberFormat="1" applyFont="1" applyBorder="1"/>
    <xf numFmtId="0" fontId="4" fillId="3" borderId="0" xfId="0" applyFont="1" applyFill="1" applyBorder="1"/>
    <xf numFmtId="0" fontId="4" fillId="18" borderId="0" xfId="0" applyFont="1" applyFill="1" applyBorder="1"/>
    <xf numFmtId="0" fontId="4" fillId="15" borderId="0" xfId="0" applyFont="1" applyFill="1" applyBorder="1"/>
    <xf numFmtId="0" fontId="4" fillId="20" borderId="0" xfId="0" applyFont="1" applyFill="1" applyBorder="1"/>
    <xf numFmtId="0" fontId="4" fillId="8" borderId="0" xfId="0" applyFont="1" applyFill="1" applyBorder="1"/>
    <xf numFmtId="0" fontId="4" fillId="19" borderId="0" xfId="0" applyFont="1" applyFill="1" applyBorder="1"/>
    <xf numFmtId="0" fontId="4" fillId="13" borderId="0" xfId="0" applyFont="1" applyFill="1" applyBorder="1"/>
    <xf numFmtId="0" fontId="4" fillId="9" borderId="0" xfId="0" applyFont="1" applyFill="1" applyBorder="1"/>
    <xf numFmtId="2" fontId="4" fillId="9" borderId="0" xfId="0" applyNumberFormat="1" applyFont="1" applyFill="1" applyBorder="1"/>
    <xf numFmtId="0" fontId="4" fillId="12" borderId="0" xfId="0" applyFont="1" applyFill="1" applyBorder="1"/>
    <xf numFmtId="0" fontId="6" fillId="3" borderId="0" xfId="0" applyFont="1" applyFill="1"/>
  </cellXfs>
  <cellStyles count="2">
    <cellStyle name="60% - Accent5" xfId="1" builtinId="4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 Against Distance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Elevation Change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Cycle'!$C$3:$C$1111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</c:numCache>
            </c:numRef>
          </c:xVal>
          <c:yVal>
            <c:numRef>
              <c:f>'Drive Cycle'!$L$3:$L$1111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0.5</c:v>
                </c:pt>
                <c:pt idx="94">
                  <c:v>1</c:v>
                </c:pt>
                <c:pt idx="95">
                  <c:v>1.5</c:v>
                </c:pt>
                <c:pt idx="96">
                  <c:v>2</c:v>
                </c:pt>
                <c:pt idx="97">
                  <c:v>2.5</c:v>
                </c:pt>
                <c:pt idx="98">
                  <c:v>3</c:v>
                </c:pt>
                <c:pt idx="99">
                  <c:v>3.5</c:v>
                </c:pt>
                <c:pt idx="100">
                  <c:v>4</c:v>
                </c:pt>
                <c:pt idx="101">
                  <c:v>4.5</c:v>
                </c:pt>
                <c:pt idx="102">
                  <c:v>5</c:v>
                </c:pt>
                <c:pt idx="103">
                  <c:v>5.5</c:v>
                </c:pt>
                <c:pt idx="104">
                  <c:v>6</c:v>
                </c:pt>
                <c:pt idx="105">
                  <c:v>6.5</c:v>
                </c:pt>
                <c:pt idx="106">
                  <c:v>7</c:v>
                </c:pt>
                <c:pt idx="107">
                  <c:v>7.5</c:v>
                </c:pt>
                <c:pt idx="108">
                  <c:v>8</c:v>
                </c:pt>
                <c:pt idx="109">
                  <c:v>8.5</c:v>
                </c:pt>
                <c:pt idx="110">
                  <c:v>8.5</c:v>
                </c:pt>
                <c:pt idx="111">
                  <c:v>8.5</c:v>
                </c:pt>
                <c:pt idx="112">
                  <c:v>8.5</c:v>
                </c:pt>
                <c:pt idx="113">
                  <c:v>8.5</c:v>
                </c:pt>
                <c:pt idx="114">
                  <c:v>8.5</c:v>
                </c:pt>
                <c:pt idx="115">
                  <c:v>8.5</c:v>
                </c:pt>
                <c:pt idx="116">
                  <c:v>8.5</c:v>
                </c:pt>
                <c:pt idx="117">
                  <c:v>8.5</c:v>
                </c:pt>
                <c:pt idx="118">
                  <c:v>8.5</c:v>
                </c:pt>
                <c:pt idx="119">
                  <c:v>8.5</c:v>
                </c:pt>
                <c:pt idx="120">
                  <c:v>8.5</c:v>
                </c:pt>
                <c:pt idx="121">
                  <c:v>8.15</c:v>
                </c:pt>
                <c:pt idx="122">
                  <c:v>7.8000000000000007</c:v>
                </c:pt>
                <c:pt idx="123">
                  <c:v>7.4500000000000011</c:v>
                </c:pt>
                <c:pt idx="124">
                  <c:v>7.1000000000000014</c:v>
                </c:pt>
                <c:pt idx="125">
                  <c:v>6.7500000000000018</c:v>
                </c:pt>
                <c:pt idx="126">
                  <c:v>6.4000000000000021</c:v>
                </c:pt>
                <c:pt idx="127">
                  <c:v>6.0500000000000025</c:v>
                </c:pt>
                <c:pt idx="128">
                  <c:v>5.7000000000000028</c:v>
                </c:pt>
                <c:pt idx="129">
                  <c:v>5.3500000000000032</c:v>
                </c:pt>
                <c:pt idx="130">
                  <c:v>5.0000000000000036</c:v>
                </c:pt>
                <c:pt idx="131">
                  <c:v>4.6500000000000039</c:v>
                </c:pt>
                <c:pt idx="132">
                  <c:v>4.3000000000000043</c:v>
                </c:pt>
                <c:pt idx="133">
                  <c:v>3.9500000000000042</c:v>
                </c:pt>
                <c:pt idx="134">
                  <c:v>3.6000000000000041</c:v>
                </c:pt>
                <c:pt idx="135">
                  <c:v>3.250000000000004</c:v>
                </c:pt>
                <c:pt idx="136">
                  <c:v>2.9000000000000039</c:v>
                </c:pt>
                <c:pt idx="137">
                  <c:v>2.5500000000000038</c:v>
                </c:pt>
                <c:pt idx="138">
                  <c:v>2.2000000000000037</c:v>
                </c:pt>
                <c:pt idx="139">
                  <c:v>1.8500000000000036</c:v>
                </c:pt>
                <c:pt idx="140">
                  <c:v>1.5000000000000036</c:v>
                </c:pt>
                <c:pt idx="141">
                  <c:v>1.1500000000000035</c:v>
                </c:pt>
                <c:pt idx="142">
                  <c:v>0.80000000000000349</c:v>
                </c:pt>
                <c:pt idx="143">
                  <c:v>0.45000000000000351</c:v>
                </c:pt>
                <c:pt idx="144">
                  <c:v>0.10000000000000353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0.35</c:v>
                </c:pt>
                <c:pt idx="268">
                  <c:v>0.7</c:v>
                </c:pt>
                <c:pt idx="269">
                  <c:v>1.0499999999999998</c:v>
                </c:pt>
                <c:pt idx="270">
                  <c:v>1.4</c:v>
                </c:pt>
                <c:pt idx="271">
                  <c:v>1.75</c:v>
                </c:pt>
                <c:pt idx="272">
                  <c:v>2.1</c:v>
                </c:pt>
                <c:pt idx="273">
                  <c:v>2.4500000000000002</c:v>
                </c:pt>
                <c:pt idx="274">
                  <c:v>2.8000000000000003</c:v>
                </c:pt>
                <c:pt idx="275">
                  <c:v>3.1500000000000004</c:v>
                </c:pt>
                <c:pt idx="276">
                  <c:v>3.5000000000000004</c:v>
                </c:pt>
                <c:pt idx="277">
                  <c:v>3.8500000000000005</c:v>
                </c:pt>
                <c:pt idx="278">
                  <c:v>4.2</c:v>
                </c:pt>
                <c:pt idx="279">
                  <c:v>4.55</c:v>
                </c:pt>
                <c:pt idx="280">
                  <c:v>4.8999999999999995</c:v>
                </c:pt>
                <c:pt idx="281">
                  <c:v>5.2499999999999991</c:v>
                </c:pt>
                <c:pt idx="282">
                  <c:v>5.5999999999999988</c:v>
                </c:pt>
                <c:pt idx="283">
                  <c:v>5.9499999999999984</c:v>
                </c:pt>
                <c:pt idx="284">
                  <c:v>6.299999999999998</c:v>
                </c:pt>
                <c:pt idx="285">
                  <c:v>6.5</c:v>
                </c:pt>
                <c:pt idx="286">
                  <c:v>6.5</c:v>
                </c:pt>
                <c:pt idx="287">
                  <c:v>6.5</c:v>
                </c:pt>
                <c:pt idx="288">
                  <c:v>6.5</c:v>
                </c:pt>
                <c:pt idx="289">
                  <c:v>6.5</c:v>
                </c:pt>
                <c:pt idx="290">
                  <c:v>6.5</c:v>
                </c:pt>
                <c:pt idx="291">
                  <c:v>6.5</c:v>
                </c:pt>
                <c:pt idx="292">
                  <c:v>6.5</c:v>
                </c:pt>
                <c:pt idx="293">
                  <c:v>6.5</c:v>
                </c:pt>
                <c:pt idx="294">
                  <c:v>6.5</c:v>
                </c:pt>
                <c:pt idx="295">
                  <c:v>6.5</c:v>
                </c:pt>
                <c:pt idx="296">
                  <c:v>6.5</c:v>
                </c:pt>
                <c:pt idx="297">
                  <c:v>6.5</c:v>
                </c:pt>
                <c:pt idx="298">
                  <c:v>6.5</c:v>
                </c:pt>
                <c:pt idx="299">
                  <c:v>6.5</c:v>
                </c:pt>
                <c:pt idx="300">
                  <c:v>6.5</c:v>
                </c:pt>
                <c:pt idx="301">
                  <c:v>6.5</c:v>
                </c:pt>
                <c:pt idx="302">
                  <c:v>6.5</c:v>
                </c:pt>
                <c:pt idx="303">
                  <c:v>6.5</c:v>
                </c:pt>
                <c:pt idx="304">
                  <c:v>6.5</c:v>
                </c:pt>
                <c:pt idx="305">
                  <c:v>6.5</c:v>
                </c:pt>
                <c:pt idx="306">
                  <c:v>6.5</c:v>
                </c:pt>
                <c:pt idx="307">
                  <c:v>6.5</c:v>
                </c:pt>
                <c:pt idx="308">
                  <c:v>6.5</c:v>
                </c:pt>
                <c:pt idx="309">
                  <c:v>6.5</c:v>
                </c:pt>
                <c:pt idx="310">
                  <c:v>6.5</c:v>
                </c:pt>
                <c:pt idx="311">
                  <c:v>6.5</c:v>
                </c:pt>
                <c:pt idx="312">
                  <c:v>6.5</c:v>
                </c:pt>
                <c:pt idx="313">
                  <c:v>6.5</c:v>
                </c:pt>
                <c:pt idx="314">
                  <c:v>6.5</c:v>
                </c:pt>
                <c:pt idx="315">
                  <c:v>6.5</c:v>
                </c:pt>
                <c:pt idx="316">
                  <c:v>6.5</c:v>
                </c:pt>
                <c:pt idx="317">
                  <c:v>6.5</c:v>
                </c:pt>
                <c:pt idx="318">
                  <c:v>6.5</c:v>
                </c:pt>
                <c:pt idx="319">
                  <c:v>6.5</c:v>
                </c:pt>
                <c:pt idx="320">
                  <c:v>6.5</c:v>
                </c:pt>
                <c:pt idx="321">
                  <c:v>6.5</c:v>
                </c:pt>
                <c:pt idx="322">
                  <c:v>6.5</c:v>
                </c:pt>
                <c:pt idx="323">
                  <c:v>6</c:v>
                </c:pt>
                <c:pt idx="324">
                  <c:v>5.5</c:v>
                </c:pt>
                <c:pt idx="325">
                  <c:v>5</c:v>
                </c:pt>
                <c:pt idx="326">
                  <c:v>4.5</c:v>
                </c:pt>
                <c:pt idx="327">
                  <c:v>4</c:v>
                </c:pt>
                <c:pt idx="328">
                  <c:v>3.5</c:v>
                </c:pt>
                <c:pt idx="329">
                  <c:v>3</c:v>
                </c:pt>
                <c:pt idx="330">
                  <c:v>2.5</c:v>
                </c:pt>
                <c:pt idx="331">
                  <c:v>2</c:v>
                </c:pt>
                <c:pt idx="332">
                  <c:v>1.5</c:v>
                </c:pt>
                <c:pt idx="333">
                  <c:v>1</c:v>
                </c:pt>
                <c:pt idx="334">
                  <c:v>0.5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0.5</c:v>
                </c:pt>
                <c:pt idx="609">
                  <c:v>1</c:v>
                </c:pt>
                <c:pt idx="610">
                  <c:v>1.5</c:v>
                </c:pt>
                <c:pt idx="611">
                  <c:v>2</c:v>
                </c:pt>
                <c:pt idx="612">
                  <c:v>2.5</c:v>
                </c:pt>
                <c:pt idx="613">
                  <c:v>3</c:v>
                </c:pt>
                <c:pt idx="614">
                  <c:v>3.5</c:v>
                </c:pt>
                <c:pt idx="615">
                  <c:v>3.5</c:v>
                </c:pt>
                <c:pt idx="616">
                  <c:v>3.5</c:v>
                </c:pt>
                <c:pt idx="617">
                  <c:v>3.5</c:v>
                </c:pt>
                <c:pt idx="618">
                  <c:v>3.5</c:v>
                </c:pt>
                <c:pt idx="619">
                  <c:v>3.5</c:v>
                </c:pt>
                <c:pt idx="620">
                  <c:v>3.5</c:v>
                </c:pt>
                <c:pt idx="621">
                  <c:v>3.5</c:v>
                </c:pt>
                <c:pt idx="622">
                  <c:v>3.5</c:v>
                </c:pt>
                <c:pt idx="623">
                  <c:v>3.5</c:v>
                </c:pt>
                <c:pt idx="624">
                  <c:v>3.5</c:v>
                </c:pt>
                <c:pt idx="625">
                  <c:v>3.5</c:v>
                </c:pt>
                <c:pt idx="626">
                  <c:v>3.5</c:v>
                </c:pt>
                <c:pt idx="627">
                  <c:v>3.15</c:v>
                </c:pt>
                <c:pt idx="628">
                  <c:v>2.8</c:v>
                </c:pt>
                <c:pt idx="629">
                  <c:v>2.4499999999999997</c:v>
                </c:pt>
                <c:pt idx="630">
                  <c:v>2.0999999999999996</c:v>
                </c:pt>
                <c:pt idx="631">
                  <c:v>1.7499999999999996</c:v>
                </c:pt>
                <c:pt idx="632">
                  <c:v>1.3999999999999995</c:v>
                </c:pt>
                <c:pt idx="633">
                  <c:v>1.0499999999999994</c:v>
                </c:pt>
                <c:pt idx="634">
                  <c:v>0.6999999999999994</c:v>
                </c:pt>
                <c:pt idx="635">
                  <c:v>0.34999999999999942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0.5</c:v>
                </c:pt>
                <c:pt idx="738">
                  <c:v>1</c:v>
                </c:pt>
                <c:pt idx="739">
                  <c:v>1.5</c:v>
                </c:pt>
                <c:pt idx="740">
                  <c:v>2</c:v>
                </c:pt>
                <c:pt idx="741">
                  <c:v>2.5</c:v>
                </c:pt>
                <c:pt idx="742">
                  <c:v>2.5</c:v>
                </c:pt>
                <c:pt idx="743">
                  <c:v>2.5</c:v>
                </c:pt>
                <c:pt idx="744">
                  <c:v>2.5</c:v>
                </c:pt>
                <c:pt idx="745">
                  <c:v>2.5</c:v>
                </c:pt>
                <c:pt idx="746">
                  <c:v>2.5</c:v>
                </c:pt>
                <c:pt idx="747">
                  <c:v>2.5</c:v>
                </c:pt>
                <c:pt idx="748">
                  <c:v>2.5</c:v>
                </c:pt>
                <c:pt idx="749">
                  <c:v>2.5</c:v>
                </c:pt>
                <c:pt idx="750">
                  <c:v>2.5</c:v>
                </c:pt>
                <c:pt idx="751">
                  <c:v>2.5</c:v>
                </c:pt>
                <c:pt idx="752">
                  <c:v>2.5</c:v>
                </c:pt>
                <c:pt idx="753">
                  <c:v>2.5</c:v>
                </c:pt>
                <c:pt idx="754">
                  <c:v>2.5</c:v>
                </c:pt>
                <c:pt idx="755">
                  <c:v>2.5</c:v>
                </c:pt>
                <c:pt idx="756">
                  <c:v>2.5</c:v>
                </c:pt>
                <c:pt idx="757">
                  <c:v>2.5</c:v>
                </c:pt>
                <c:pt idx="758">
                  <c:v>2.5</c:v>
                </c:pt>
                <c:pt idx="759">
                  <c:v>2.5</c:v>
                </c:pt>
                <c:pt idx="760">
                  <c:v>2.5</c:v>
                </c:pt>
                <c:pt idx="761">
                  <c:v>2.5</c:v>
                </c:pt>
                <c:pt idx="762">
                  <c:v>2.5</c:v>
                </c:pt>
                <c:pt idx="763">
                  <c:v>2.5</c:v>
                </c:pt>
                <c:pt idx="764">
                  <c:v>2.5</c:v>
                </c:pt>
                <c:pt idx="765">
                  <c:v>2.5</c:v>
                </c:pt>
                <c:pt idx="766">
                  <c:v>2.5</c:v>
                </c:pt>
                <c:pt idx="767">
                  <c:v>2.5</c:v>
                </c:pt>
                <c:pt idx="768">
                  <c:v>2.5</c:v>
                </c:pt>
                <c:pt idx="769">
                  <c:v>2.5</c:v>
                </c:pt>
                <c:pt idx="770">
                  <c:v>2.5</c:v>
                </c:pt>
                <c:pt idx="771">
                  <c:v>2.5</c:v>
                </c:pt>
                <c:pt idx="772">
                  <c:v>2.5</c:v>
                </c:pt>
                <c:pt idx="773">
                  <c:v>2.5</c:v>
                </c:pt>
                <c:pt idx="774">
                  <c:v>2.5</c:v>
                </c:pt>
                <c:pt idx="775">
                  <c:v>2.5</c:v>
                </c:pt>
                <c:pt idx="776">
                  <c:v>2.5</c:v>
                </c:pt>
                <c:pt idx="777">
                  <c:v>2.5</c:v>
                </c:pt>
                <c:pt idx="778">
                  <c:v>2.5</c:v>
                </c:pt>
                <c:pt idx="779">
                  <c:v>2.5</c:v>
                </c:pt>
                <c:pt idx="780">
                  <c:v>2.5</c:v>
                </c:pt>
                <c:pt idx="781">
                  <c:v>2.5</c:v>
                </c:pt>
                <c:pt idx="782">
                  <c:v>2.5</c:v>
                </c:pt>
                <c:pt idx="783">
                  <c:v>2.5</c:v>
                </c:pt>
                <c:pt idx="784">
                  <c:v>2.5</c:v>
                </c:pt>
                <c:pt idx="785">
                  <c:v>2.5</c:v>
                </c:pt>
                <c:pt idx="786">
                  <c:v>2.5</c:v>
                </c:pt>
                <c:pt idx="787">
                  <c:v>2.5</c:v>
                </c:pt>
                <c:pt idx="788">
                  <c:v>2.5</c:v>
                </c:pt>
                <c:pt idx="789">
                  <c:v>2.5</c:v>
                </c:pt>
                <c:pt idx="790">
                  <c:v>2.5</c:v>
                </c:pt>
                <c:pt idx="791">
                  <c:v>2.5</c:v>
                </c:pt>
                <c:pt idx="792">
                  <c:v>2.5</c:v>
                </c:pt>
                <c:pt idx="793">
                  <c:v>2.5</c:v>
                </c:pt>
                <c:pt idx="794">
                  <c:v>2.5</c:v>
                </c:pt>
                <c:pt idx="795">
                  <c:v>2.5</c:v>
                </c:pt>
                <c:pt idx="796">
                  <c:v>2.2000000000000002</c:v>
                </c:pt>
                <c:pt idx="797">
                  <c:v>1.9000000000000001</c:v>
                </c:pt>
                <c:pt idx="798">
                  <c:v>1.6</c:v>
                </c:pt>
                <c:pt idx="799">
                  <c:v>1.3</c:v>
                </c:pt>
                <c:pt idx="800">
                  <c:v>1</c:v>
                </c:pt>
                <c:pt idx="801">
                  <c:v>0.7</c:v>
                </c:pt>
                <c:pt idx="802">
                  <c:v>0.39999999999999997</c:v>
                </c:pt>
                <c:pt idx="803">
                  <c:v>9.9999999999999978E-2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66-45FC-8DFC-CA8C3D81F5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795712"/>
        <c:axId val="1461799648"/>
      </c:scatterChart>
      <c:valAx>
        <c:axId val="1461795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799648"/>
        <c:crosses val="autoZero"/>
        <c:crossBetween val="midCat"/>
      </c:valAx>
      <c:valAx>
        <c:axId val="146179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Elevetion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795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Elevation Change Against Distance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Cycle'!$C$3:$C$1111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</c:numCache>
            </c:numRef>
          </c:xVal>
          <c:yVal>
            <c:numRef>
              <c:f>'Drive Cycle'!$M$3:$M$1111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0.5</c:v>
                </c:pt>
                <c:pt idx="94">
                  <c:v>0.5</c:v>
                </c:pt>
                <c:pt idx="95">
                  <c:v>0.5</c:v>
                </c:pt>
                <c:pt idx="96">
                  <c:v>0.5</c:v>
                </c:pt>
                <c:pt idx="97">
                  <c:v>0.5</c:v>
                </c:pt>
                <c:pt idx="98">
                  <c:v>0.5</c:v>
                </c:pt>
                <c:pt idx="99">
                  <c:v>0.5</c:v>
                </c:pt>
                <c:pt idx="100">
                  <c:v>0.5</c:v>
                </c:pt>
                <c:pt idx="101">
                  <c:v>0.5</c:v>
                </c:pt>
                <c:pt idx="102">
                  <c:v>0.5</c:v>
                </c:pt>
                <c:pt idx="103">
                  <c:v>0.5</c:v>
                </c:pt>
                <c:pt idx="104">
                  <c:v>0.5</c:v>
                </c:pt>
                <c:pt idx="105">
                  <c:v>0.5</c:v>
                </c:pt>
                <c:pt idx="106">
                  <c:v>0.5</c:v>
                </c:pt>
                <c:pt idx="107">
                  <c:v>0.5</c:v>
                </c:pt>
                <c:pt idx="108">
                  <c:v>0.5</c:v>
                </c:pt>
                <c:pt idx="109">
                  <c:v>0.5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-0.34999999999999964</c:v>
                </c:pt>
                <c:pt idx="122">
                  <c:v>-0.34999999999999964</c:v>
                </c:pt>
                <c:pt idx="123">
                  <c:v>-0.34999999999999964</c:v>
                </c:pt>
                <c:pt idx="124">
                  <c:v>-0.34999999999999964</c:v>
                </c:pt>
                <c:pt idx="125">
                  <c:v>-0.34999999999999964</c:v>
                </c:pt>
                <c:pt idx="126">
                  <c:v>-0.34999999999999964</c:v>
                </c:pt>
                <c:pt idx="127">
                  <c:v>-0.34999999999999964</c:v>
                </c:pt>
                <c:pt idx="128">
                  <c:v>-0.34999999999999964</c:v>
                </c:pt>
                <c:pt idx="129">
                  <c:v>-0.34999999999999964</c:v>
                </c:pt>
                <c:pt idx="130">
                  <c:v>-0.34999999999999964</c:v>
                </c:pt>
                <c:pt idx="131">
                  <c:v>-0.34999999999999964</c:v>
                </c:pt>
                <c:pt idx="132">
                  <c:v>-0.34999999999999964</c:v>
                </c:pt>
                <c:pt idx="133">
                  <c:v>-0.35000000000000009</c:v>
                </c:pt>
                <c:pt idx="134">
                  <c:v>-0.35000000000000009</c:v>
                </c:pt>
                <c:pt idx="135">
                  <c:v>-0.35000000000000009</c:v>
                </c:pt>
                <c:pt idx="136">
                  <c:v>-0.35000000000000009</c:v>
                </c:pt>
                <c:pt idx="137">
                  <c:v>-0.35000000000000009</c:v>
                </c:pt>
                <c:pt idx="138">
                  <c:v>-0.35000000000000009</c:v>
                </c:pt>
                <c:pt idx="139">
                  <c:v>-0.35000000000000009</c:v>
                </c:pt>
                <c:pt idx="140">
                  <c:v>-0.35000000000000009</c:v>
                </c:pt>
                <c:pt idx="141">
                  <c:v>-0.35000000000000009</c:v>
                </c:pt>
                <c:pt idx="142">
                  <c:v>-0.35</c:v>
                </c:pt>
                <c:pt idx="143">
                  <c:v>-0.35</c:v>
                </c:pt>
                <c:pt idx="144">
                  <c:v>-0.35</c:v>
                </c:pt>
                <c:pt idx="145">
                  <c:v>-0.10000000000000353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0.35</c:v>
                </c:pt>
                <c:pt idx="268">
                  <c:v>0.35</c:v>
                </c:pt>
                <c:pt idx="269">
                  <c:v>0.34999999999999987</c:v>
                </c:pt>
                <c:pt idx="270">
                  <c:v>0.35000000000000009</c:v>
                </c:pt>
                <c:pt idx="271">
                  <c:v>0.35000000000000009</c:v>
                </c:pt>
                <c:pt idx="272">
                  <c:v>0.35000000000000009</c:v>
                </c:pt>
                <c:pt idx="273">
                  <c:v>0.35000000000000009</c:v>
                </c:pt>
                <c:pt idx="274">
                  <c:v>0.35000000000000009</c:v>
                </c:pt>
                <c:pt idx="275">
                  <c:v>0.35000000000000009</c:v>
                </c:pt>
                <c:pt idx="276">
                  <c:v>0.35000000000000009</c:v>
                </c:pt>
                <c:pt idx="277">
                  <c:v>0.35000000000000009</c:v>
                </c:pt>
                <c:pt idx="278">
                  <c:v>0.34999999999999964</c:v>
                </c:pt>
                <c:pt idx="279">
                  <c:v>0.34999999999999964</c:v>
                </c:pt>
                <c:pt idx="280">
                  <c:v>0.34999999999999964</c:v>
                </c:pt>
                <c:pt idx="281">
                  <c:v>0.34999999999999964</c:v>
                </c:pt>
                <c:pt idx="282">
                  <c:v>0.34999999999999964</c:v>
                </c:pt>
                <c:pt idx="283">
                  <c:v>0.34999999999999964</c:v>
                </c:pt>
                <c:pt idx="284">
                  <c:v>0.34999999999999964</c:v>
                </c:pt>
                <c:pt idx="285">
                  <c:v>0.20000000000000195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-0.5</c:v>
                </c:pt>
                <c:pt idx="324">
                  <c:v>-0.5</c:v>
                </c:pt>
                <c:pt idx="325">
                  <c:v>-0.5</c:v>
                </c:pt>
                <c:pt idx="326">
                  <c:v>-0.5</c:v>
                </c:pt>
                <c:pt idx="327">
                  <c:v>-0.5</c:v>
                </c:pt>
                <c:pt idx="328">
                  <c:v>-0.5</c:v>
                </c:pt>
                <c:pt idx="329">
                  <c:v>-0.5</c:v>
                </c:pt>
                <c:pt idx="330">
                  <c:v>-0.5</c:v>
                </c:pt>
                <c:pt idx="331">
                  <c:v>-0.5</c:v>
                </c:pt>
                <c:pt idx="332">
                  <c:v>-0.5</c:v>
                </c:pt>
                <c:pt idx="333">
                  <c:v>-0.5</c:v>
                </c:pt>
                <c:pt idx="334">
                  <c:v>-0.5</c:v>
                </c:pt>
                <c:pt idx="335">
                  <c:v>-0.5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0.5</c:v>
                </c:pt>
                <c:pt idx="609">
                  <c:v>0.5</c:v>
                </c:pt>
                <c:pt idx="610">
                  <c:v>0.5</c:v>
                </c:pt>
                <c:pt idx="611">
                  <c:v>0.5</c:v>
                </c:pt>
                <c:pt idx="612">
                  <c:v>0.5</c:v>
                </c:pt>
                <c:pt idx="613">
                  <c:v>0.5</c:v>
                </c:pt>
                <c:pt idx="614">
                  <c:v>0.5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-0.35000000000000009</c:v>
                </c:pt>
                <c:pt idx="628">
                  <c:v>-0.35000000000000009</c:v>
                </c:pt>
                <c:pt idx="629">
                  <c:v>-0.35000000000000009</c:v>
                </c:pt>
                <c:pt idx="630">
                  <c:v>-0.35000000000000009</c:v>
                </c:pt>
                <c:pt idx="631">
                  <c:v>-0.35000000000000009</c:v>
                </c:pt>
                <c:pt idx="632">
                  <c:v>-0.35000000000000009</c:v>
                </c:pt>
                <c:pt idx="633">
                  <c:v>-0.35000000000000009</c:v>
                </c:pt>
                <c:pt idx="634">
                  <c:v>-0.35</c:v>
                </c:pt>
                <c:pt idx="635">
                  <c:v>-0.35</c:v>
                </c:pt>
                <c:pt idx="636">
                  <c:v>-0.34999999999999942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0.5</c:v>
                </c:pt>
                <c:pt idx="738">
                  <c:v>0.5</c:v>
                </c:pt>
                <c:pt idx="739">
                  <c:v>0.5</c:v>
                </c:pt>
                <c:pt idx="740">
                  <c:v>0.5</c:v>
                </c:pt>
                <c:pt idx="741">
                  <c:v>0.5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-0.29999999999999982</c:v>
                </c:pt>
                <c:pt idx="797">
                  <c:v>-0.30000000000000004</c:v>
                </c:pt>
                <c:pt idx="798">
                  <c:v>-0.30000000000000004</c:v>
                </c:pt>
                <c:pt idx="799">
                  <c:v>-0.30000000000000004</c:v>
                </c:pt>
                <c:pt idx="800">
                  <c:v>-0.30000000000000004</c:v>
                </c:pt>
                <c:pt idx="801">
                  <c:v>-0.30000000000000004</c:v>
                </c:pt>
                <c:pt idx="802">
                  <c:v>-0.3</c:v>
                </c:pt>
                <c:pt idx="803">
                  <c:v>-0.3</c:v>
                </c:pt>
                <c:pt idx="804">
                  <c:v>-9.9999999999999978E-2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09-4509-8E6B-1161EEF8F7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4924040"/>
        <c:axId val="1414934536"/>
      </c:scatterChart>
      <c:valAx>
        <c:axId val="1414924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4934536"/>
        <c:crosses val="autoZero"/>
        <c:crossBetween val="midCat"/>
      </c:valAx>
      <c:valAx>
        <c:axId val="141493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Elevation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4924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Required For Motion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Cycle'!$R$3:$R$1111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-416.39218556090736</c:v>
                </c:pt>
                <c:pt idx="160">
                  <c:v>-434.02413882290733</c:v>
                </c:pt>
                <c:pt idx="161">
                  <c:v>-449.87688388490733</c:v>
                </c:pt>
                <c:pt idx="162">
                  <c:v>-463.9504207469073</c:v>
                </c:pt>
                <c:pt idx="163">
                  <c:v>-476.2447494089073</c:v>
                </c:pt>
                <c:pt idx="164">
                  <c:v>-486.75986987090732</c:v>
                </c:pt>
                <c:pt idx="165">
                  <c:v>-495.49578213290732</c:v>
                </c:pt>
                <c:pt idx="166">
                  <c:v>-502.45248619490735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-434.02413882290733</c:v>
                </c:pt>
                <c:pt idx="218">
                  <c:v>-449.87688388490733</c:v>
                </c:pt>
                <c:pt idx="219">
                  <c:v>-463.9504207469073</c:v>
                </c:pt>
                <c:pt idx="220">
                  <c:v>-476.2447494089073</c:v>
                </c:pt>
                <c:pt idx="221">
                  <c:v>-488.93161876898466</c:v>
                </c:pt>
                <c:pt idx="222">
                  <c:v>-497.66753103098466</c:v>
                </c:pt>
                <c:pt idx="223">
                  <c:v>-504.62423509298469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-178.54042988776712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-375.79065443690735</c:v>
                </c:pt>
                <c:pt idx="297">
                  <c:v>-396.98102409890737</c:v>
                </c:pt>
                <c:pt idx="298">
                  <c:v>-416.39218556090736</c:v>
                </c:pt>
                <c:pt idx="299">
                  <c:v>-434.02413882290733</c:v>
                </c:pt>
                <c:pt idx="300">
                  <c:v>-449.87688388490733</c:v>
                </c:pt>
                <c:pt idx="301">
                  <c:v>-463.9504207469073</c:v>
                </c:pt>
                <c:pt idx="302">
                  <c:v>-476.2447494089073</c:v>
                </c:pt>
                <c:pt idx="303">
                  <c:v>-488.93161876898466</c:v>
                </c:pt>
                <c:pt idx="304">
                  <c:v>-497.66753103098466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-23.111975392391855</c:v>
                </c:pt>
                <c:pt idx="324">
                  <c:v>-3.7008139303918899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-568.82593079850926</c:v>
                </c:pt>
                <c:pt idx="329">
                  <c:v>-590.01630046050923</c:v>
                </c:pt>
                <c:pt idx="330">
                  <c:v>-609.42746192250922</c:v>
                </c:pt>
                <c:pt idx="331">
                  <c:v>-627.05941518450913</c:v>
                </c:pt>
                <c:pt idx="332">
                  <c:v>-642.91216024650919</c:v>
                </c:pt>
                <c:pt idx="333">
                  <c:v>-656.98569710850916</c:v>
                </c:pt>
                <c:pt idx="334">
                  <c:v>-669.28002577050916</c:v>
                </c:pt>
                <c:pt idx="335">
                  <c:v>-473.87137613250917</c:v>
                </c:pt>
                <c:pt idx="336">
                  <c:v>-289.57201203290731</c:v>
                </c:pt>
                <c:pt idx="337">
                  <c:v>-296.52871609490734</c:v>
                </c:pt>
                <c:pt idx="338">
                  <c:v>-301.70621195690734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-18.004169007628036</c:v>
                </c:pt>
                <c:pt idx="368">
                  <c:v>-34.39734856037802</c:v>
                </c:pt>
                <c:pt idx="369">
                  <c:v>-49.789723500628043</c:v>
                </c:pt>
                <c:pt idx="370">
                  <c:v>-64.181293828377989</c:v>
                </c:pt>
                <c:pt idx="371">
                  <c:v>-77.572059543628029</c:v>
                </c:pt>
                <c:pt idx="372">
                  <c:v>-89.962020646377994</c:v>
                </c:pt>
                <c:pt idx="373">
                  <c:v>-101.351177136628</c:v>
                </c:pt>
                <c:pt idx="374">
                  <c:v>-111.73952901437804</c:v>
                </c:pt>
                <c:pt idx="375">
                  <c:v>-121.127076279628</c:v>
                </c:pt>
                <c:pt idx="376">
                  <c:v>-129.513818932378</c:v>
                </c:pt>
                <c:pt idx="377">
                  <c:v>-136.89975697262798</c:v>
                </c:pt>
                <c:pt idx="378">
                  <c:v>-144.91370207393595</c:v>
                </c:pt>
                <c:pt idx="379">
                  <c:v>-150.29803088918595</c:v>
                </c:pt>
                <c:pt idx="380">
                  <c:v>-154.68155509193593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-18.004169007628036</c:v>
                </c:pt>
                <c:pt idx="404">
                  <c:v>-34.39734856037802</c:v>
                </c:pt>
                <c:pt idx="405">
                  <c:v>-49.789723500628043</c:v>
                </c:pt>
                <c:pt idx="406">
                  <c:v>-64.181293828377989</c:v>
                </c:pt>
                <c:pt idx="407">
                  <c:v>-77.572059543628029</c:v>
                </c:pt>
                <c:pt idx="408">
                  <c:v>-89.962020646377994</c:v>
                </c:pt>
                <c:pt idx="409">
                  <c:v>-101.351177136628</c:v>
                </c:pt>
                <c:pt idx="410">
                  <c:v>-111.73952901437804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-18.004169007628036</c:v>
                </c:pt>
                <c:pt idx="474">
                  <c:v>-34.39734856037802</c:v>
                </c:pt>
                <c:pt idx="475">
                  <c:v>-49.789723500628043</c:v>
                </c:pt>
                <c:pt idx="476">
                  <c:v>-64.181293828377989</c:v>
                </c:pt>
                <c:pt idx="477">
                  <c:v>-77.572059543628029</c:v>
                </c:pt>
                <c:pt idx="478">
                  <c:v>-89.962020646377994</c:v>
                </c:pt>
                <c:pt idx="479">
                  <c:v>-101.351177136628</c:v>
                </c:pt>
                <c:pt idx="480">
                  <c:v>-111.73952901437804</c:v>
                </c:pt>
                <c:pt idx="481">
                  <c:v>-122.75588795318595</c:v>
                </c:pt>
                <c:pt idx="482">
                  <c:v>-131.14263060593595</c:v>
                </c:pt>
                <c:pt idx="483">
                  <c:v>-138.52856864618593</c:v>
                </c:pt>
                <c:pt idx="484">
                  <c:v>-144.91370207393595</c:v>
                </c:pt>
                <c:pt idx="485">
                  <c:v>-150.29803088918595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-64.181293828377989</c:v>
                </c:pt>
                <c:pt idx="531">
                  <c:v>-77.572059543628029</c:v>
                </c:pt>
                <c:pt idx="532">
                  <c:v>-89.962020646377994</c:v>
                </c:pt>
                <c:pt idx="533">
                  <c:v>-101.351177136628</c:v>
                </c:pt>
                <c:pt idx="534">
                  <c:v>-111.73952901437804</c:v>
                </c:pt>
                <c:pt idx="535">
                  <c:v>-121.127076279628</c:v>
                </c:pt>
                <c:pt idx="536">
                  <c:v>-129.513818932378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-34.39734856037802</c:v>
                </c:pt>
                <c:pt idx="561">
                  <c:v>-49.789723500628043</c:v>
                </c:pt>
                <c:pt idx="562">
                  <c:v>-64.181293828377989</c:v>
                </c:pt>
                <c:pt idx="563">
                  <c:v>-77.572059543628029</c:v>
                </c:pt>
                <c:pt idx="564">
                  <c:v>-89.962020646377994</c:v>
                </c:pt>
                <c:pt idx="565">
                  <c:v>-101.351177136628</c:v>
                </c:pt>
                <c:pt idx="566">
                  <c:v>-111.73952901437804</c:v>
                </c:pt>
                <c:pt idx="567">
                  <c:v>-121.127076279628</c:v>
                </c:pt>
                <c:pt idx="568">
                  <c:v>-129.513818932378</c:v>
                </c:pt>
                <c:pt idx="569">
                  <c:v>-136.89975697262798</c:v>
                </c:pt>
                <c:pt idx="570">
                  <c:v>-143.284890400378</c:v>
                </c:pt>
                <c:pt idx="571">
                  <c:v>-148.669219215628</c:v>
                </c:pt>
                <c:pt idx="572">
                  <c:v>-153.05274341837799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-216.75494250062803</c:v>
                </c:pt>
                <c:pt idx="973">
                  <c:v>-231.14651282837804</c:v>
                </c:pt>
                <c:pt idx="974">
                  <c:v>-244.53727854362802</c:v>
                </c:pt>
                <c:pt idx="975">
                  <c:v>-256.92723964637798</c:v>
                </c:pt>
                <c:pt idx="976">
                  <c:v>-269.94520781018593</c:v>
                </c:pt>
                <c:pt idx="977">
                  <c:v>-280.33355968793597</c:v>
                </c:pt>
                <c:pt idx="978">
                  <c:v>-289.72110695318599</c:v>
                </c:pt>
                <c:pt idx="979">
                  <c:v>-298.10784960593594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-201.36256756037801</c:v>
                </c:pt>
                <c:pt idx="1002">
                  <c:v>-216.75494250062803</c:v>
                </c:pt>
                <c:pt idx="1003">
                  <c:v>-231.14651282837804</c:v>
                </c:pt>
                <c:pt idx="1004">
                  <c:v>-244.53727854362802</c:v>
                </c:pt>
                <c:pt idx="1005">
                  <c:v>-256.92723964637798</c:v>
                </c:pt>
                <c:pt idx="1006">
                  <c:v>-268.31639613662799</c:v>
                </c:pt>
                <c:pt idx="1007">
                  <c:v>-278.70474801437803</c:v>
                </c:pt>
                <c:pt idx="1008">
                  <c:v>-288.09229527962805</c:v>
                </c:pt>
                <c:pt idx="1009">
                  <c:v>-296.47903793237799</c:v>
                </c:pt>
                <c:pt idx="1010">
                  <c:v>-303.86497597262803</c:v>
                </c:pt>
                <c:pt idx="1011">
                  <c:v>-310.25010940037805</c:v>
                </c:pt>
                <c:pt idx="1012">
                  <c:v>-315.63443821562799</c:v>
                </c:pt>
                <c:pt idx="1013">
                  <c:v>-320.01796241837803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-231.14651282837804</c:v>
                </c:pt>
                <c:pt idx="1041">
                  <c:v>-244.53727854362802</c:v>
                </c:pt>
                <c:pt idx="1042">
                  <c:v>-256.92723964637798</c:v>
                </c:pt>
                <c:pt idx="1043">
                  <c:v>-268.31639613662799</c:v>
                </c:pt>
                <c:pt idx="1044">
                  <c:v>-278.70474801437803</c:v>
                </c:pt>
                <c:pt idx="1045">
                  <c:v>-288.09229527962805</c:v>
                </c:pt>
                <c:pt idx="1046">
                  <c:v>-296.47903793237799</c:v>
                </c:pt>
                <c:pt idx="1047">
                  <c:v>-303.86497597262803</c:v>
                </c:pt>
                <c:pt idx="1048">
                  <c:v>-310.25010940037805</c:v>
                </c:pt>
                <c:pt idx="1049">
                  <c:v>-317.26324988918594</c:v>
                </c:pt>
                <c:pt idx="1050">
                  <c:v>-321.64677409193598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-184.96938800762803</c:v>
                </c:pt>
                <c:pt idx="1084">
                  <c:v>-201.36256756037801</c:v>
                </c:pt>
                <c:pt idx="1085">
                  <c:v>-216.75494250062803</c:v>
                </c:pt>
                <c:pt idx="1086">
                  <c:v>-231.14651282837804</c:v>
                </c:pt>
                <c:pt idx="1087">
                  <c:v>-244.53727854362802</c:v>
                </c:pt>
                <c:pt idx="1088">
                  <c:v>-256.92723964637798</c:v>
                </c:pt>
                <c:pt idx="1089">
                  <c:v>-269.94520781018593</c:v>
                </c:pt>
                <c:pt idx="1090">
                  <c:v>-280.33355968793597</c:v>
                </c:pt>
                <c:pt idx="1091">
                  <c:v>-289.72110695318599</c:v>
                </c:pt>
                <c:pt idx="1092">
                  <c:v>-298.10784960593594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5F-4464-8593-55983DEE5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996128"/>
        <c:axId val="1415998752"/>
      </c:scatterChart>
      <c:valAx>
        <c:axId val="1415996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998752"/>
        <c:crosses val="autoZero"/>
        <c:crossBetween val="midCat"/>
      </c:valAx>
      <c:valAx>
        <c:axId val="141599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996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Required For Motion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Cycle'!$S$3:$S$1111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416.39218556090736</c:v>
                </c:pt>
                <c:pt idx="160">
                  <c:v>434.02413882290733</c:v>
                </c:pt>
                <c:pt idx="161">
                  <c:v>449.87688388490733</c:v>
                </c:pt>
                <c:pt idx="162">
                  <c:v>463.9504207469073</c:v>
                </c:pt>
                <c:pt idx="163">
                  <c:v>476.2447494089073</c:v>
                </c:pt>
                <c:pt idx="164">
                  <c:v>486.75986987090732</c:v>
                </c:pt>
                <c:pt idx="165">
                  <c:v>495.49578213290732</c:v>
                </c:pt>
                <c:pt idx="166">
                  <c:v>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434.02413882290733</c:v>
                </c:pt>
                <c:pt idx="218">
                  <c:v>449.87688388490733</c:v>
                </c:pt>
                <c:pt idx="219">
                  <c:v>463.9504207469073</c:v>
                </c:pt>
                <c:pt idx="220">
                  <c:v>476.2447494089073</c:v>
                </c:pt>
                <c:pt idx="221">
                  <c:v>488.93161876898466</c:v>
                </c:pt>
                <c:pt idx="222">
                  <c:v>497.66753103098466</c:v>
                </c:pt>
                <c:pt idx="223">
                  <c:v>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375.79065443690735</c:v>
                </c:pt>
                <c:pt idx="297">
                  <c:v>396.98102409890737</c:v>
                </c:pt>
                <c:pt idx="298">
                  <c:v>416.39218556090736</c:v>
                </c:pt>
                <c:pt idx="299">
                  <c:v>434.02413882290733</c:v>
                </c:pt>
                <c:pt idx="300">
                  <c:v>449.87688388490733</c:v>
                </c:pt>
                <c:pt idx="301">
                  <c:v>463.9504207469073</c:v>
                </c:pt>
                <c:pt idx="302">
                  <c:v>476.2447494089073</c:v>
                </c:pt>
                <c:pt idx="303">
                  <c:v>488.93161876898466</c:v>
                </c:pt>
                <c:pt idx="304">
                  <c:v>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23.111975392391855</c:v>
                </c:pt>
                <c:pt idx="324">
                  <c:v>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568.82593079850926</c:v>
                </c:pt>
                <c:pt idx="329">
                  <c:v>590.01630046050923</c:v>
                </c:pt>
                <c:pt idx="330">
                  <c:v>609.42746192250922</c:v>
                </c:pt>
                <c:pt idx="331">
                  <c:v>627.05941518450913</c:v>
                </c:pt>
                <c:pt idx="332">
                  <c:v>642.91216024650919</c:v>
                </c:pt>
                <c:pt idx="333">
                  <c:v>656.98569710850916</c:v>
                </c:pt>
                <c:pt idx="334">
                  <c:v>669.28002577050916</c:v>
                </c:pt>
                <c:pt idx="335">
                  <c:v>473.87137613250917</c:v>
                </c:pt>
                <c:pt idx="336">
                  <c:v>289.57201203290731</c:v>
                </c:pt>
                <c:pt idx="337">
                  <c:v>296.52871609490734</c:v>
                </c:pt>
                <c:pt idx="338">
                  <c:v>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18.004169007628036</c:v>
                </c:pt>
                <c:pt idx="368">
                  <c:v>34.39734856037802</c:v>
                </c:pt>
                <c:pt idx="369">
                  <c:v>49.789723500628043</c:v>
                </c:pt>
                <c:pt idx="370">
                  <c:v>64.181293828377989</c:v>
                </c:pt>
                <c:pt idx="371">
                  <c:v>77.572059543628029</c:v>
                </c:pt>
                <c:pt idx="372">
                  <c:v>89.962020646377994</c:v>
                </c:pt>
                <c:pt idx="373">
                  <c:v>101.351177136628</c:v>
                </c:pt>
                <c:pt idx="374">
                  <c:v>111.73952901437804</c:v>
                </c:pt>
                <c:pt idx="375">
                  <c:v>121.127076279628</c:v>
                </c:pt>
                <c:pt idx="376">
                  <c:v>129.513818932378</c:v>
                </c:pt>
                <c:pt idx="377">
                  <c:v>136.89975697262798</c:v>
                </c:pt>
                <c:pt idx="378">
                  <c:v>144.91370207393595</c:v>
                </c:pt>
                <c:pt idx="379">
                  <c:v>150.29803088918595</c:v>
                </c:pt>
                <c:pt idx="380">
                  <c:v>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18.004169007628036</c:v>
                </c:pt>
                <c:pt idx="404">
                  <c:v>34.39734856037802</c:v>
                </c:pt>
                <c:pt idx="405">
                  <c:v>49.789723500628043</c:v>
                </c:pt>
                <c:pt idx="406">
                  <c:v>64.181293828377989</c:v>
                </c:pt>
                <c:pt idx="407">
                  <c:v>77.572059543628029</c:v>
                </c:pt>
                <c:pt idx="408">
                  <c:v>89.962020646377994</c:v>
                </c:pt>
                <c:pt idx="409">
                  <c:v>101.351177136628</c:v>
                </c:pt>
                <c:pt idx="410">
                  <c:v>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18.004169007628036</c:v>
                </c:pt>
                <c:pt idx="474">
                  <c:v>34.39734856037802</c:v>
                </c:pt>
                <c:pt idx="475">
                  <c:v>49.789723500628043</c:v>
                </c:pt>
                <c:pt idx="476">
                  <c:v>64.181293828377989</c:v>
                </c:pt>
                <c:pt idx="477">
                  <c:v>77.572059543628029</c:v>
                </c:pt>
                <c:pt idx="478">
                  <c:v>89.962020646377994</c:v>
                </c:pt>
                <c:pt idx="479">
                  <c:v>101.351177136628</c:v>
                </c:pt>
                <c:pt idx="480">
                  <c:v>111.73952901437804</c:v>
                </c:pt>
                <c:pt idx="481">
                  <c:v>122.75588795318595</c:v>
                </c:pt>
                <c:pt idx="482">
                  <c:v>131.14263060593595</c:v>
                </c:pt>
                <c:pt idx="483">
                  <c:v>138.52856864618593</c:v>
                </c:pt>
                <c:pt idx="484">
                  <c:v>144.91370207393595</c:v>
                </c:pt>
                <c:pt idx="485">
                  <c:v>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64.181293828377989</c:v>
                </c:pt>
                <c:pt idx="531">
                  <c:v>77.572059543628029</c:v>
                </c:pt>
                <c:pt idx="532">
                  <c:v>89.962020646377994</c:v>
                </c:pt>
                <c:pt idx="533">
                  <c:v>101.351177136628</c:v>
                </c:pt>
                <c:pt idx="534">
                  <c:v>111.73952901437804</c:v>
                </c:pt>
                <c:pt idx="535">
                  <c:v>121.127076279628</c:v>
                </c:pt>
                <c:pt idx="536">
                  <c:v>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34.39734856037802</c:v>
                </c:pt>
                <c:pt idx="561">
                  <c:v>49.789723500628043</c:v>
                </c:pt>
                <c:pt idx="562">
                  <c:v>64.181293828377989</c:v>
                </c:pt>
                <c:pt idx="563">
                  <c:v>77.572059543628029</c:v>
                </c:pt>
                <c:pt idx="564">
                  <c:v>89.962020646377994</c:v>
                </c:pt>
                <c:pt idx="565">
                  <c:v>101.351177136628</c:v>
                </c:pt>
                <c:pt idx="566">
                  <c:v>111.73952901437804</c:v>
                </c:pt>
                <c:pt idx="567">
                  <c:v>121.127076279628</c:v>
                </c:pt>
                <c:pt idx="568">
                  <c:v>129.513818932378</c:v>
                </c:pt>
                <c:pt idx="569">
                  <c:v>136.89975697262798</c:v>
                </c:pt>
                <c:pt idx="570">
                  <c:v>143.284890400378</c:v>
                </c:pt>
                <c:pt idx="571">
                  <c:v>148.669219215628</c:v>
                </c:pt>
                <c:pt idx="572">
                  <c:v>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216.75494250062803</c:v>
                </c:pt>
                <c:pt idx="973">
                  <c:v>231.14651282837804</c:v>
                </c:pt>
                <c:pt idx="974">
                  <c:v>244.53727854362802</c:v>
                </c:pt>
                <c:pt idx="975">
                  <c:v>256.92723964637798</c:v>
                </c:pt>
                <c:pt idx="976">
                  <c:v>269.94520781018593</c:v>
                </c:pt>
                <c:pt idx="977">
                  <c:v>280.33355968793597</c:v>
                </c:pt>
                <c:pt idx="978">
                  <c:v>289.72110695318599</c:v>
                </c:pt>
                <c:pt idx="979">
                  <c:v>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201.36256756037801</c:v>
                </c:pt>
                <c:pt idx="1002">
                  <c:v>216.75494250062803</c:v>
                </c:pt>
                <c:pt idx="1003">
                  <c:v>231.14651282837804</c:v>
                </c:pt>
                <c:pt idx="1004">
                  <c:v>244.53727854362802</c:v>
                </c:pt>
                <c:pt idx="1005">
                  <c:v>256.92723964637798</c:v>
                </c:pt>
                <c:pt idx="1006">
                  <c:v>268.31639613662799</c:v>
                </c:pt>
                <c:pt idx="1007">
                  <c:v>278.70474801437803</c:v>
                </c:pt>
                <c:pt idx="1008">
                  <c:v>288.09229527962805</c:v>
                </c:pt>
                <c:pt idx="1009">
                  <c:v>296.47903793237799</c:v>
                </c:pt>
                <c:pt idx="1010">
                  <c:v>303.86497597262803</c:v>
                </c:pt>
                <c:pt idx="1011">
                  <c:v>310.25010940037805</c:v>
                </c:pt>
                <c:pt idx="1012">
                  <c:v>315.63443821562799</c:v>
                </c:pt>
                <c:pt idx="1013">
                  <c:v>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231.14651282837804</c:v>
                </c:pt>
                <c:pt idx="1041">
                  <c:v>244.53727854362802</c:v>
                </c:pt>
                <c:pt idx="1042">
                  <c:v>256.92723964637798</c:v>
                </c:pt>
                <c:pt idx="1043">
                  <c:v>268.31639613662799</c:v>
                </c:pt>
                <c:pt idx="1044">
                  <c:v>278.70474801437803</c:v>
                </c:pt>
                <c:pt idx="1045">
                  <c:v>288.09229527962805</c:v>
                </c:pt>
                <c:pt idx="1046">
                  <c:v>296.47903793237799</c:v>
                </c:pt>
                <c:pt idx="1047">
                  <c:v>303.86497597262803</c:v>
                </c:pt>
                <c:pt idx="1048">
                  <c:v>310.25010940037805</c:v>
                </c:pt>
                <c:pt idx="1049">
                  <c:v>317.26324988918594</c:v>
                </c:pt>
                <c:pt idx="1050">
                  <c:v>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184.96938800762803</c:v>
                </c:pt>
                <c:pt idx="1084">
                  <c:v>201.36256756037801</c:v>
                </c:pt>
                <c:pt idx="1085">
                  <c:v>216.75494250062803</c:v>
                </c:pt>
                <c:pt idx="1086">
                  <c:v>231.14651282837804</c:v>
                </c:pt>
                <c:pt idx="1087">
                  <c:v>244.53727854362802</c:v>
                </c:pt>
                <c:pt idx="1088">
                  <c:v>256.92723964637798</c:v>
                </c:pt>
                <c:pt idx="1089">
                  <c:v>269.94520781018593</c:v>
                </c:pt>
                <c:pt idx="1090">
                  <c:v>280.33355968793597</c:v>
                </c:pt>
                <c:pt idx="1091">
                  <c:v>289.72110695318599</c:v>
                </c:pt>
                <c:pt idx="1092">
                  <c:v>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BD-4B9D-B582-7BC8CC2C7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552744"/>
        <c:axId val="1496557336"/>
      </c:scatterChart>
      <c:valAx>
        <c:axId val="1496552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7336"/>
        <c:crosses val="autoZero"/>
        <c:crossBetween val="midCat"/>
      </c:valAx>
      <c:valAx>
        <c:axId val="149655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2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&amp; Torque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6328849762378"/>
          <c:y val="0.17473308341240737"/>
          <c:w val="0.80750749697490487"/>
          <c:h val="0.583691361257904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VEHICLE!$H$5:$H$28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VEHICLE!$I$5:$I$28</c:f>
              <c:numCache>
                <c:formatCode>General</c:formatCode>
                <c:ptCount val="24"/>
                <c:pt idx="0">
                  <c:v>0.75</c:v>
                </c:pt>
                <c:pt idx="1">
                  <c:v>1.5</c:v>
                </c:pt>
                <c:pt idx="2">
                  <c:v>2.25</c:v>
                </c:pt>
                <c:pt idx="3">
                  <c:v>3</c:v>
                </c:pt>
                <c:pt idx="4">
                  <c:v>3.75</c:v>
                </c:pt>
                <c:pt idx="5">
                  <c:v>4.5</c:v>
                </c:pt>
                <c:pt idx="6">
                  <c:v>5.25</c:v>
                </c:pt>
                <c:pt idx="7">
                  <c:v>6</c:v>
                </c:pt>
                <c:pt idx="8">
                  <c:v>6.75</c:v>
                </c:pt>
                <c:pt idx="9">
                  <c:v>7.5</c:v>
                </c:pt>
                <c:pt idx="10">
                  <c:v>8.25</c:v>
                </c:pt>
                <c:pt idx="11">
                  <c:v>9</c:v>
                </c:pt>
                <c:pt idx="12">
                  <c:v>9.75</c:v>
                </c:pt>
                <c:pt idx="13">
                  <c:v>10.5</c:v>
                </c:pt>
                <c:pt idx="14">
                  <c:v>11.25</c:v>
                </c:pt>
                <c:pt idx="15">
                  <c:v>12</c:v>
                </c:pt>
                <c:pt idx="16">
                  <c:v>12.75</c:v>
                </c:pt>
                <c:pt idx="17">
                  <c:v>13.5</c:v>
                </c:pt>
                <c:pt idx="18">
                  <c:v>14.25</c:v>
                </c:pt>
                <c:pt idx="19">
                  <c:v>15</c:v>
                </c:pt>
                <c:pt idx="20">
                  <c:v>15.75</c:v>
                </c:pt>
                <c:pt idx="21">
                  <c:v>16.5</c:v>
                </c:pt>
                <c:pt idx="22">
                  <c:v>17.25</c:v>
                </c:pt>
                <c:pt idx="23">
                  <c:v>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9B-4839-A8A4-ACCE86A95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559632"/>
        <c:axId val="1496559304"/>
      </c:scatterChar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VEHICLE!$H$5:$H$28</c:f>
              <c:numCache>
                <c:formatCode>General</c:formatCode>
                <c:ptCount val="24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</c:numCache>
            </c:numRef>
          </c:xVal>
          <c:yVal>
            <c:numRef>
              <c:f>VEHICLE!$K$5:$K$28</c:f>
              <c:numCache>
                <c:formatCode>General</c:formatCode>
                <c:ptCount val="24"/>
                <c:pt idx="0">
                  <c:v>7.1209104638175811</c:v>
                </c:pt>
                <c:pt idx="1">
                  <c:v>10.681365695726372</c:v>
                </c:pt>
                <c:pt idx="2">
                  <c:v>12.817638834871646</c:v>
                </c:pt>
                <c:pt idx="3">
                  <c:v>14.241820927635162</c:v>
                </c:pt>
                <c:pt idx="4">
                  <c:v>15.259093851037678</c:v>
                </c:pt>
                <c:pt idx="5">
                  <c:v>16.022048543589559</c:v>
                </c:pt>
                <c:pt idx="6">
                  <c:v>16.615457748907691</c:v>
                </c:pt>
                <c:pt idx="7">
                  <c:v>17.090185113162196</c:v>
                </c:pt>
                <c:pt idx="8">
                  <c:v>17.478598411188614</c:v>
                </c:pt>
                <c:pt idx="9">
                  <c:v>17.802276159543954</c:v>
                </c:pt>
                <c:pt idx="10">
                  <c:v>18.076157331229243</c:v>
                </c:pt>
                <c:pt idx="11">
                  <c:v>18.310912621245212</c:v>
                </c:pt>
                <c:pt idx="12">
                  <c:v>18.514367205925709</c:v>
                </c:pt>
                <c:pt idx="13">
                  <c:v>18.692389967521152</c:v>
                </c:pt>
                <c:pt idx="14">
                  <c:v>18.849468874811244</c:v>
                </c:pt>
                <c:pt idx="15">
                  <c:v>18.989094570180214</c:v>
                </c:pt>
                <c:pt idx="16">
                  <c:v>19.114022823931403</c:v>
                </c:pt>
                <c:pt idx="17">
                  <c:v>19.22645825230747</c:v>
                </c:pt>
                <c:pt idx="18">
                  <c:v>19.328185544647724</c:v>
                </c:pt>
                <c:pt idx="19">
                  <c:v>19.420664901320684</c:v>
                </c:pt>
                <c:pt idx="20">
                  <c:v>18.820664901320683</c:v>
                </c:pt>
                <c:pt idx="21">
                  <c:v>18.220664901320681</c:v>
                </c:pt>
                <c:pt idx="22">
                  <c:v>17.62066490132068</c:v>
                </c:pt>
                <c:pt idx="23">
                  <c:v>17.020664901320679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C9B-4839-A8A4-ACCE86A95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1290704"/>
        <c:axId val="1321286440"/>
      </c:scatterChart>
      <c:valAx>
        <c:axId val="149655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9304"/>
        <c:crosses val="autoZero"/>
        <c:crossBetween val="midCat"/>
      </c:valAx>
      <c:valAx>
        <c:axId val="149655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59632"/>
        <c:crosses val="autoZero"/>
        <c:crossBetween val="midCat"/>
      </c:valAx>
      <c:valAx>
        <c:axId val="13212864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1290704"/>
        <c:crosses val="max"/>
        <c:crossBetween val="midCat"/>
      </c:valAx>
      <c:valAx>
        <c:axId val="1321290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1286440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&amp;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Power Against Time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Cycle'!$S$3:$S$1111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416.39218556090736</c:v>
                </c:pt>
                <c:pt idx="160">
                  <c:v>434.02413882290733</c:v>
                </c:pt>
                <c:pt idx="161">
                  <c:v>449.87688388490733</c:v>
                </c:pt>
                <c:pt idx="162">
                  <c:v>463.9504207469073</c:v>
                </c:pt>
                <c:pt idx="163">
                  <c:v>476.2447494089073</c:v>
                </c:pt>
                <c:pt idx="164">
                  <c:v>486.75986987090732</c:v>
                </c:pt>
                <c:pt idx="165">
                  <c:v>495.49578213290732</c:v>
                </c:pt>
                <c:pt idx="166">
                  <c:v>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434.02413882290733</c:v>
                </c:pt>
                <c:pt idx="218">
                  <c:v>449.87688388490733</c:v>
                </c:pt>
                <c:pt idx="219">
                  <c:v>463.9504207469073</c:v>
                </c:pt>
                <c:pt idx="220">
                  <c:v>476.2447494089073</c:v>
                </c:pt>
                <c:pt idx="221">
                  <c:v>488.93161876898466</c:v>
                </c:pt>
                <c:pt idx="222">
                  <c:v>497.66753103098466</c:v>
                </c:pt>
                <c:pt idx="223">
                  <c:v>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375.79065443690735</c:v>
                </c:pt>
                <c:pt idx="297">
                  <c:v>396.98102409890737</c:v>
                </c:pt>
                <c:pt idx="298">
                  <c:v>416.39218556090736</c:v>
                </c:pt>
                <c:pt idx="299">
                  <c:v>434.02413882290733</c:v>
                </c:pt>
                <c:pt idx="300">
                  <c:v>449.87688388490733</c:v>
                </c:pt>
                <c:pt idx="301">
                  <c:v>463.9504207469073</c:v>
                </c:pt>
                <c:pt idx="302">
                  <c:v>476.2447494089073</c:v>
                </c:pt>
                <c:pt idx="303">
                  <c:v>488.93161876898466</c:v>
                </c:pt>
                <c:pt idx="304">
                  <c:v>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23.111975392391855</c:v>
                </c:pt>
                <c:pt idx="324">
                  <c:v>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568.82593079850926</c:v>
                </c:pt>
                <c:pt idx="329">
                  <c:v>590.01630046050923</c:v>
                </c:pt>
                <c:pt idx="330">
                  <c:v>609.42746192250922</c:v>
                </c:pt>
                <c:pt idx="331">
                  <c:v>627.05941518450913</c:v>
                </c:pt>
                <c:pt idx="332">
                  <c:v>642.91216024650919</c:v>
                </c:pt>
                <c:pt idx="333">
                  <c:v>656.98569710850916</c:v>
                </c:pt>
                <c:pt idx="334">
                  <c:v>669.28002577050916</c:v>
                </c:pt>
                <c:pt idx="335">
                  <c:v>473.87137613250917</c:v>
                </c:pt>
                <c:pt idx="336">
                  <c:v>289.57201203290731</c:v>
                </c:pt>
                <c:pt idx="337">
                  <c:v>296.52871609490734</c:v>
                </c:pt>
                <c:pt idx="338">
                  <c:v>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18.004169007628036</c:v>
                </c:pt>
                <c:pt idx="368">
                  <c:v>34.39734856037802</c:v>
                </c:pt>
                <c:pt idx="369">
                  <c:v>49.789723500628043</c:v>
                </c:pt>
                <c:pt idx="370">
                  <c:v>64.181293828377989</c:v>
                </c:pt>
                <c:pt idx="371">
                  <c:v>77.572059543628029</c:v>
                </c:pt>
                <c:pt idx="372">
                  <c:v>89.962020646377994</c:v>
                </c:pt>
                <c:pt idx="373">
                  <c:v>101.351177136628</c:v>
                </c:pt>
                <c:pt idx="374">
                  <c:v>111.73952901437804</c:v>
                </c:pt>
                <c:pt idx="375">
                  <c:v>121.127076279628</c:v>
                </c:pt>
                <c:pt idx="376">
                  <c:v>129.513818932378</c:v>
                </c:pt>
                <c:pt idx="377">
                  <c:v>136.89975697262798</c:v>
                </c:pt>
                <c:pt idx="378">
                  <c:v>144.91370207393595</c:v>
                </c:pt>
                <c:pt idx="379">
                  <c:v>150.29803088918595</c:v>
                </c:pt>
                <c:pt idx="380">
                  <c:v>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18.004169007628036</c:v>
                </c:pt>
                <c:pt idx="404">
                  <c:v>34.39734856037802</c:v>
                </c:pt>
                <c:pt idx="405">
                  <c:v>49.789723500628043</c:v>
                </c:pt>
                <c:pt idx="406">
                  <c:v>64.181293828377989</c:v>
                </c:pt>
                <c:pt idx="407">
                  <c:v>77.572059543628029</c:v>
                </c:pt>
                <c:pt idx="408">
                  <c:v>89.962020646377994</c:v>
                </c:pt>
                <c:pt idx="409">
                  <c:v>101.351177136628</c:v>
                </c:pt>
                <c:pt idx="410">
                  <c:v>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18.004169007628036</c:v>
                </c:pt>
                <c:pt idx="474">
                  <c:v>34.39734856037802</c:v>
                </c:pt>
                <c:pt idx="475">
                  <c:v>49.789723500628043</c:v>
                </c:pt>
                <c:pt idx="476">
                  <c:v>64.181293828377989</c:v>
                </c:pt>
                <c:pt idx="477">
                  <c:v>77.572059543628029</c:v>
                </c:pt>
                <c:pt idx="478">
                  <c:v>89.962020646377994</c:v>
                </c:pt>
                <c:pt idx="479">
                  <c:v>101.351177136628</c:v>
                </c:pt>
                <c:pt idx="480">
                  <c:v>111.73952901437804</c:v>
                </c:pt>
                <c:pt idx="481">
                  <c:v>122.75588795318595</c:v>
                </c:pt>
                <c:pt idx="482">
                  <c:v>131.14263060593595</c:v>
                </c:pt>
                <c:pt idx="483">
                  <c:v>138.52856864618593</c:v>
                </c:pt>
                <c:pt idx="484">
                  <c:v>144.91370207393595</c:v>
                </c:pt>
                <c:pt idx="485">
                  <c:v>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64.181293828377989</c:v>
                </c:pt>
                <c:pt idx="531">
                  <c:v>77.572059543628029</c:v>
                </c:pt>
                <c:pt idx="532">
                  <c:v>89.962020646377994</c:v>
                </c:pt>
                <c:pt idx="533">
                  <c:v>101.351177136628</c:v>
                </c:pt>
                <c:pt idx="534">
                  <c:v>111.73952901437804</c:v>
                </c:pt>
                <c:pt idx="535">
                  <c:v>121.127076279628</c:v>
                </c:pt>
                <c:pt idx="536">
                  <c:v>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34.39734856037802</c:v>
                </c:pt>
                <c:pt idx="561">
                  <c:v>49.789723500628043</c:v>
                </c:pt>
                <c:pt idx="562">
                  <c:v>64.181293828377989</c:v>
                </c:pt>
                <c:pt idx="563">
                  <c:v>77.572059543628029</c:v>
                </c:pt>
                <c:pt idx="564">
                  <c:v>89.962020646377994</c:v>
                </c:pt>
                <c:pt idx="565">
                  <c:v>101.351177136628</c:v>
                </c:pt>
                <c:pt idx="566">
                  <c:v>111.73952901437804</c:v>
                </c:pt>
                <c:pt idx="567">
                  <c:v>121.127076279628</c:v>
                </c:pt>
                <c:pt idx="568">
                  <c:v>129.513818932378</c:v>
                </c:pt>
                <c:pt idx="569">
                  <c:v>136.89975697262798</c:v>
                </c:pt>
                <c:pt idx="570">
                  <c:v>143.284890400378</c:v>
                </c:pt>
                <c:pt idx="571">
                  <c:v>148.669219215628</c:v>
                </c:pt>
                <c:pt idx="572">
                  <c:v>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216.75494250062803</c:v>
                </c:pt>
                <c:pt idx="973">
                  <c:v>231.14651282837804</c:v>
                </c:pt>
                <c:pt idx="974">
                  <c:v>244.53727854362802</c:v>
                </c:pt>
                <c:pt idx="975">
                  <c:v>256.92723964637798</c:v>
                </c:pt>
                <c:pt idx="976">
                  <c:v>269.94520781018593</c:v>
                </c:pt>
                <c:pt idx="977">
                  <c:v>280.33355968793597</c:v>
                </c:pt>
                <c:pt idx="978">
                  <c:v>289.72110695318599</c:v>
                </c:pt>
                <c:pt idx="979">
                  <c:v>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201.36256756037801</c:v>
                </c:pt>
                <c:pt idx="1002">
                  <c:v>216.75494250062803</c:v>
                </c:pt>
                <c:pt idx="1003">
                  <c:v>231.14651282837804</c:v>
                </c:pt>
                <c:pt idx="1004">
                  <c:v>244.53727854362802</c:v>
                </c:pt>
                <c:pt idx="1005">
                  <c:v>256.92723964637798</c:v>
                </c:pt>
                <c:pt idx="1006">
                  <c:v>268.31639613662799</c:v>
                </c:pt>
                <c:pt idx="1007">
                  <c:v>278.70474801437803</c:v>
                </c:pt>
                <c:pt idx="1008">
                  <c:v>288.09229527962805</c:v>
                </c:pt>
                <c:pt idx="1009">
                  <c:v>296.47903793237799</c:v>
                </c:pt>
                <c:pt idx="1010">
                  <c:v>303.86497597262803</c:v>
                </c:pt>
                <c:pt idx="1011">
                  <c:v>310.25010940037805</c:v>
                </c:pt>
                <c:pt idx="1012">
                  <c:v>315.63443821562799</c:v>
                </c:pt>
                <c:pt idx="1013">
                  <c:v>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231.14651282837804</c:v>
                </c:pt>
                <c:pt idx="1041">
                  <c:v>244.53727854362802</c:v>
                </c:pt>
                <c:pt idx="1042">
                  <c:v>256.92723964637798</c:v>
                </c:pt>
                <c:pt idx="1043">
                  <c:v>268.31639613662799</c:v>
                </c:pt>
                <c:pt idx="1044">
                  <c:v>278.70474801437803</c:v>
                </c:pt>
                <c:pt idx="1045">
                  <c:v>288.09229527962805</c:v>
                </c:pt>
                <c:pt idx="1046">
                  <c:v>296.47903793237799</c:v>
                </c:pt>
                <c:pt idx="1047">
                  <c:v>303.86497597262803</c:v>
                </c:pt>
                <c:pt idx="1048">
                  <c:v>310.25010940037805</c:v>
                </c:pt>
                <c:pt idx="1049">
                  <c:v>317.26324988918594</c:v>
                </c:pt>
                <c:pt idx="1050">
                  <c:v>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184.96938800762803</c:v>
                </c:pt>
                <c:pt idx="1084">
                  <c:v>201.36256756037801</c:v>
                </c:pt>
                <c:pt idx="1085">
                  <c:v>216.75494250062803</c:v>
                </c:pt>
                <c:pt idx="1086">
                  <c:v>231.14651282837804</c:v>
                </c:pt>
                <c:pt idx="1087">
                  <c:v>244.53727854362802</c:v>
                </c:pt>
                <c:pt idx="1088">
                  <c:v>256.92723964637798</c:v>
                </c:pt>
                <c:pt idx="1089">
                  <c:v>269.94520781018593</c:v>
                </c:pt>
                <c:pt idx="1090">
                  <c:v>280.33355968793597</c:v>
                </c:pt>
                <c:pt idx="1091">
                  <c:v>289.72110695318599</c:v>
                </c:pt>
                <c:pt idx="1092">
                  <c:v>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48A-457D-BB3B-5E5D14693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565864"/>
        <c:axId val="1496562584"/>
      </c:scatterChart>
      <c:scatterChart>
        <c:scatterStyle val="smoothMarker"/>
        <c:varyColors val="0"/>
        <c:ser>
          <c:idx val="0"/>
          <c:order val="0"/>
          <c:tx>
            <c:v>Fuel Consumption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Cycle'!$X$3:$X$1111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0.13823075593878625</c:v>
                </c:pt>
                <c:pt idx="3">
                  <c:v>0.17092309371352873</c:v>
                </c:pt>
                <c:pt idx="4">
                  <c:v>0.16395307186203698</c:v>
                </c:pt>
                <c:pt idx="5">
                  <c:v>0.17586368134367869</c:v>
                </c:pt>
                <c:pt idx="6">
                  <c:v>0.17293334191301135</c:v>
                </c:pt>
                <c:pt idx="7">
                  <c:v>0.17015401505145694</c:v>
                </c:pt>
                <c:pt idx="8">
                  <c:v>0.17497065769173878</c:v>
                </c:pt>
                <c:pt idx="9">
                  <c:v>0.18525296363370422</c:v>
                </c:pt>
                <c:pt idx="10">
                  <c:v>0.1890484996100279</c:v>
                </c:pt>
                <c:pt idx="11">
                  <c:v>4.6309499006110581E-2</c:v>
                </c:pt>
                <c:pt idx="12">
                  <c:v>5.1539848697424048E-2</c:v>
                </c:pt>
                <c:pt idx="13">
                  <c:v>5.7225011405373463E-2</c:v>
                </c:pt>
                <c:pt idx="14">
                  <c:v>5.95113852066423E-2</c:v>
                </c:pt>
                <c:pt idx="15">
                  <c:v>5.9389075527499745E-2</c:v>
                </c:pt>
                <c:pt idx="16">
                  <c:v>5.9389075527499745E-2</c:v>
                </c:pt>
                <c:pt idx="17">
                  <c:v>5.9389075527499745E-2</c:v>
                </c:pt>
                <c:pt idx="18">
                  <c:v>5.9389075527499745E-2</c:v>
                </c:pt>
                <c:pt idx="19">
                  <c:v>5.9389075527499745E-2</c:v>
                </c:pt>
                <c:pt idx="20">
                  <c:v>5.9389075527499745E-2</c:v>
                </c:pt>
                <c:pt idx="21">
                  <c:v>5.9389075527499745E-2</c:v>
                </c:pt>
                <c:pt idx="22">
                  <c:v>5.9389075527499745E-2</c:v>
                </c:pt>
                <c:pt idx="23">
                  <c:v>5.9389075527499745E-2</c:v>
                </c:pt>
                <c:pt idx="24">
                  <c:v>5.9389075527499745E-2</c:v>
                </c:pt>
                <c:pt idx="25">
                  <c:v>5.9389075527499745E-2</c:v>
                </c:pt>
                <c:pt idx="26">
                  <c:v>5.9389075527499745E-2</c:v>
                </c:pt>
                <c:pt idx="27">
                  <c:v>5.9389075527499745E-2</c:v>
                </c:pt>
                <c:pt idx="28">
                  <c:v>5.9389075527499745E-2</c:v>
                </c:pt>
                <c:pt idx="29">
                  <c:v>5.9389075527499745E-2</c:v>
                </c:pt>
                <c:pt idx="30">
                  <c:v>5.9389075527499745E-2</c:v>
                </c:pt>
                <c:pt idx="31">
                  <c:v>5.9389075527499745E-2</c:v>
                </c:pt>
                <c:pt idx="32">
                  <c:v>5.9389075527499745E-2</c:v>
                </c:pt>
                <c:pt idx="33">
                  <c:v>5.9389075527499745E-2</c:v>
                </c:pt>
                <c:pt idx="34">
                  <c:v>5.9389075527499745E-2</c:v>
                </c:pt>
                <c:pt idx="35">
                  <c:v>5.9389075527499745E-2</c:v>
                </c:pt>
                <c:pt idx="36">
                  <c:v>5.9389075527499745E-2</c:v>
                </c:pt>
                <c:pt idx="37">
                  <c:v>5.9389075527499745E-2</c:v>
                </c:pt>
                <c:pt idx="38">
                  <c:v>5.9389075527499745E-2</c:v>
                </c:pt>
                <c:pt idx="39">
                  <c:v>5.9389075527499745E-2</c:v>
                </c:pt>
                <c:pt idx="40">
                  <c:v>5.9389075527499745E-2</c:v>
                </c:pt>
                <c:pt idx="41">
                  <c:v>5.9389075527499745E-2</c:v>
                </c:pt>
                <c:pt idx="42">
                  <c:v>5.9389075527499745E-2</c:v>
                </c:pt>
                <c:pt idx="43">
                  <c:v>5.9389075527499745E-2</c:v>
                </c:pt>
                <c:pt idx="44">
                  <c:v>5.9389075527499745E-2</c:v>
                </c:pt>
                <c:pt idx="45">
                  <c:v>5.9389075527499745E-2</c:v>
                </c:pt>
                <c:pt idx="46">
                  <c:v>5.9389075527499745E-2</c:v>
                </c:pt>
                <c:pt idx="47">
                  <c:v>5.9389075527499745E-2</c:v>
                </c:pt>
                <c:pt idx="48">
                  <c:v>5.9389075527499745E-2</c:v>
                </c:pt>
                <c:pt idx="49">
                  <c:v>5.9389075527499745E-2</c:v>
                </c:pt>
                <c:pt idx="50">
                  <c:v>5.9389075527499745E-2</c:v>
                </c:pt>
                <c:pt idx="51">
                  <c:v>5.9389075527499745E-2</c:v>
                </c:pt>
                <c:pt idx="52">
                  <c:v>5.9389075527499745E-2</c:v>
                </c:pt>
                <c:pt idx="53">
                  <c:v>5.9389075527499745E-2</c:v>
                </c:pt>
                <c:pt idx="54">
                  <c:v>5.9389075527499745E-2</c:v>
                </c:pt>
                <c:pt idx="55">
                  <c:v>5.9389075527499745E-2</c:v>
                </c:pt>
                <c:pt idx="56">
                  <c:v>5.9389075527499745E-2</c:v>
                </c:pt>
                <c:pt idx="57">
                  <c:v>5.9389075527499745E-2</c:v>
                </c:pt>
                <c:pt idx="58">
                  <c:v>5.9389075527499745E-2</c:v>
                </c:pt>
                <c:pt idx="59">
                  <c:v>5.9389075527499745E-2</c:v>
                </c:pt>
                <c:pt idx="60">
                  <c:v>5.9389075527499745E-2</c:v>
                </c:pt>
                <c:pt idx="61">
                  <c:v>5.9389075527499745E-2</c:v>
                </c:pt>
                <c:pt idx="62">
                  <c:v>5.9389075527499745E-2</c:v>
                </c:pt>
                <c:pt idx="63">
                  <c:v>5.9389075527499745E-2</c:v>
                </c:pt>
                <c:pt idx="64">
                  <c:v>5.9389075527499745E-2</c:v>
                </c:pt>
                <c:pt idx="65">
                  <c:v>5.9389075527499745E-2</c:v>
                </c:pt>
                <c:pt idx="66">
                  <c:v>5.9389075527499745E-2</c:v>
                </c:pt>
                <c:pt idx="67">
                  <c:v>5.9389075527499745E-2</c:v>
                </c:pt>
                <c:pt idx="68">
                  <c:v>5.9389075527499745E-2</c:v>
                </c:pt>
                <c:pt idx="69">
                  <c:v>5.9389075527499745E-2</c:v>
                </c:pt>
                <c:pt idx="70">
                  <c:v>5.9389075527499745E-2</c:v>
                </c:pt>
                <c:pt idx="71">
                  <c:v>5.9389075527499745E-2</c:v>
                </c:pt>
                <c:pt idx="72">
                  <c:v>5.9389075527499745E-2</c:v>
                </c:pt>
                <c:pt idx="73">
                  <c:v>5.9389075527499745E-2</c:v>
                </c:pt>
                <c:pt idx="74">
                  <c:v>5.9389075527499745E-2</c:v>
                </c:pt>
                <c:pt idx="75">
                  <c:v>5.9389075527499745E-2</c:v>
                </c:pt>
                <c:pt idx="76">
                  <c:v>5.9389075527499745E-2</c:v>
                </c:pt>
                <c:pt idx="77">
                  <c:v>5.9389075527499745E-2</c:v>
                </c:pt>
                <c:pt idx="78">
                  <c:v>5.9389075527499745E-2</c:v>
                </c:pt>
                <c:pt idx="79">
                  <c:v>5.9389075527499745E-2</c:v>
                </c:pt>
                <c:pt idx="80">
                  <c:v>5.9389075527499745E-2</c:v>
                </c:pt>
                <c:pt idx="81">
                  <c:v>5.9389075527499745E-2</c:v>
                </c:pt>
                <c:pt idx="82">
                  <c:v>5.9389075527499745E-2</c:v>
                </c:pt>
                <c:pt idx="83">
                  <c:v>5.9389075527499745E-2</c:v>
                </c:pt>
                <c:pt idx="84">
                  <c:v>5.9389075527499745E-2</c:v>
                </c:pt>
                <c:pt idx="85">
                  <c:v>5.9389075527499745E-2</c:v>
                </c:pt>
                <c:pt idx="86">
                  <c:v>5.9389075527499745E-2</c:v>
                </c:pt>
                <c:pt idx="87">
                  <c:v>5.9389075527499745E-2</c:v>
                </c:pt>
                <c:pt idx="88">
                  <c:v>5.9389075527499745E-2</c:v>
                </c:pt>
                <c:pt idx="89">
                  <c:v>5.9389075527499745E-2</c:v>
                </c:pt>
                <c:pt idx="90">
                  <c:v>5.9389075527499745E-2</c:v>
                </c:pt>
                <c:pt idx="91">
                  <c:v>5.9389075527499745E-2</c:v>
                </c:pt>
                <c:pt idx="92">
                  <c:v>5.9389075527499745E-2</c:v>
                </c:pt>
                <c:pt idx="93">
                  <c:v>4.5207841254058558E-2</c:v>
                </c:pt>
                <c:pt idx="94">
                  <c:v>2.9006691159531799E-2</c:v>
                </c:pt>
                <c:pt idx="95">
                  <c:v>2.6290994927020788E-2</c:v>
                </c:pt>
                <c:pt idx="96">
                  <c:v>2.4118980540695133E-2</c:v>
                </c:pt>
                <c:pt idx="97">
                  <c:v>2.1450657769370478E-2</c:v>
                </c:pt>
                <c:pt idx="98">
                  <c:v>9.945614513988732E-2</c:v>
                </c:pt>
                <c:pt idx="99">
                  <c:v>9.945614513988732E-2</c:v>
                </c:pt>
                <c:pt idx="100">
                  <c:v>9.945614513988732E-2</c:v>
                </c:pt>
                <c:pt idx="101">
                  <c:v>9.945614513988732E-2</c:v>
                </c:pt>
                <c:pt idx="102">
                  <c:v>9.945614513988732E-2</c:v>
                </c:pt>
                <c:pt idx="103">
                  <c:v>9.945614513988732E-2</c:v>
                </c:pt>
                <c:pt idx="104">
                  <c:v>9.945614513988732E-2</c:v>
                </c:pt>
                <c:pt idx="105">
                  <c:v>9.945614513988732E-2</c:v>
                </c:pt>
                <c:pt idx="106">
                  <c:v>9.945614513988732E-2</c:v>
                </c:pt>
                <c:pt idx="107">
                  <c:v>9.945614513988732E-2</c:v>
                </c:pt>
                <c:pt idx="108">
                  <c:v>9.945614513988732E-2</c:v>
                </c:pt>
                <c:pt idx="109">
                  <c:v>9.718319963118438E-2</c:v>
                </c:pt>
                <c:pt idx="110">
                  <c:v>5.2304839380802118E-2</c:v>
                </c:pt>
                <c:pt idx="111">
                  <c:v>5.7560893705610287E-2</c:v>
                </c:pt>
                <c:pt idx="112">
                  <c:v>5.9860687381732988E-2</c:v>
                </c:pt>
                <c:pt idx="113">
                  <c:v>5.9737659805723972E-2</c:v>
                </c:pt>
                <c:pt idx="114">
                  <c:v>5.9737659805723972E-2</c:v>
                </c:pt>
                <c:pt idx="115">
                  <c:v>5.9737659805723972E-2</c:v>
                </c:pt>
                <c:pt idx="116">
                  <c:v>4.0454449382620633E-2</c:v>
                </c:pt>
                <c:pt idx="117">
                  <c:v>4.1477678734305454E-2</c:v>
                </c:pt>
                <c:pt idx="118">
                  <c:v>4.3972310393376769E-2</c:v>
                </c:pt>
                <c:pt idx="119">
                  <c:v>4.3822276764097466E-2</c:v>
                </c:pt>
                <c:pt idx="120">
                  <c:v>4.9154651989038921E-2</c:v>
                </c:pt>
                <c:pt idx="121">
                  <c:v>1.7980065666595615E-2</c:v>
                </c:pt>
                <c:pt idx="122">
                  <c:v>2.3346344179787686E-2</c:v>
                </c:pt>
                <c:pt idx="123">
                  <c:v>2.307328297449936E-2</c:v>
                </c:pt>
                <c:pt idx="124">
                  <c:v>2.307328297449936E-2</c:v>
                </c:pt>
                <c:pt idx="125">
                  <c:v>2.307328297449936E-2</c:v>
                </c:pt>
                <c:pt idx="126">
                  <c:v>2.307328297449936E-2</c:v>
                </c:pt>
                <c:pt idx="127">
                  <c:v>2.307328297449936E-2</c:v>
                </c:pt>
                <c:pt idx="128">
                  <c:v>2.307328297449936E-2</c:v>
                </c:pt>
                <c:pt idx="129">
                  <c:v>2.307328297449936E-2</c:v>
                </c:pt>
                <c:pt idx="130">
                  <c:v>2.307328297449936E-2</c:v>
                </c:pt>
                <c:pt idx="131">
                  <c:v>2.307328297449936E-2</c:v>
                </c:pt>
                <c:pt idx="132">
                  <c:v>2.307328297449936E-2</c:v>
                </c:pt>
                <c:pt idx="133">
                  <c:v>2.3073282974499325E-2</c:v>
                </c:pt>
                <c:pt idx="134">
                  <c:v>2.3073282974499325E-2</c:v>
                </c:pt>
                <c:pt idx="135">
                  <c:v>2.3073282974499325E-2</c:v>
                </c:pt>
                <c:pt idx="136">
                  <c:v>2.3073282974499325E-2</c:v>
                </c:pt>
                <c:pt idx="137">
                  <c:v>2.3073282974499325E-2</c:v>
                </c:pt>
                <c:pt idx="138">
                  <c:v>2.3073282974499325E-2</c:v>
                </c:pt>
                <c:pt idx="139">
                  <c:v>2.3073282974499325E-2</c:v>
                </c:pt>
                <c:pt idx="140">
                  <c:v>2.3073282974499325E-2</c:v>
                </c:pt>
                <c:pt idx="141">
                  <c:v>2.3073282974499325E-2</c:v>
                </c:pt>
                <c:pt idx="142">
                  <c:v>2.3073282974499332E-2</c:v>
                </c:pt>
                <c:pt idx="143">
                  <c:v>2.3073282974499332E-2</c:v>
                </c:pt>
                <c:pt idx="144">
                  <c:v>2.3073282974499332E-2</c:v>
                </c:pt>
                <c:pt idx="145">
                  <c:v>4.8694108542555466E-2</c:v>
                </c:pt>
                <c:pt idx="146">
                  <c:v>5.9737659805723972E-2</c:v>
                </c:pt>
                <c:pt idx="147">
                  <c:v>5.9737659805723972E-2</c:v>
                </c:pt>
                <c:pt idx="148">
                  <c:v>5.9737659805723972E-2</c:v>
                </c:pt>
                <c:pt idx="149">
                  <c:v>5.9737659805723972E-2</c:v>
                </c:pt>
                <c:pt idx="150">
                  <c:v>5.9737659805723972E-2</c:v>
                </c:pt>
                <c:pt idx="151">
                  <c:v>5.9737659805723972E-2</c:v>
                </c:pt>
                <c:pt idx="152">
                  <c:v>5.9737659805723972E-2</c:v>
                </c:pt>
                <c:pt idx="153">
                  <c:v>5.9737659805723972E-2</c:v>
                </c:pt>
                <c:pt idx="154">
                  <c:v>5.9737659805723972E-2</c:v>
                </c:pt>
                <c:pt idx="155">
                  <c:v>5.9737659805723972E-2</c:v>
                </c:pt>
                <c:pt idx="156">
                  <c:v>5.9737659805723972E-2</c:v>
                </c:pt>
                <c:pt idx="157">
                  <c:v>5.3531492924801492E-2</c:v>
                </c:pt>
                <c:pt idx="158">
                  <c:v>4.8082875844836039E-2</c:v>
                </c:pt>
                <c:pt idx="159">
                  <c:v>0.10802080716099006</c:v>
                </c:pt>
                <c:pt idx="160">
                  <c:v>0.11307393853703522</c:v>
                </c:pt>
                <c:pt idx="161">
                  <c:v>0.12088014810442677</c:v>
                </c:pt>
                <c:pt idx="162">
                  <c:v>0.12845283480982211</c:v>
                </c:pt>
                <c:pt idx="163">
                  <c:v>0.12156078128724181</c:v>
                </c:pt>
                <c:pt idx="164">
                  <c:v>0.12246667786082979</c:v>
                </c:pt>
                <c:pt idx="165">
                  <c:v>0.1279053041055519</c:v>
                </c:pt>
                <c:pt idx="166">
                  <c:v>0.13298728761572792</c:v>
                </c:pt>
                <c:pt idx="167">
                  <c:v>2.4474532561448773E-2</c:v>
                </c:pt>
                <c:pt idx="168">
                  <c:v>2.4474532561448773E-2</c:v>
                </c:pt>
                <c:pt idx="169">
                  <c:v>2.4474532561448773E-2</c:v>
                </c:pt>
                <c:pt idx="170">
                  <c:v>2.4474532561448773E-2</c:v>
                </c:pt>
                <c:pt idx="171">
                  <c:v>2.4474532561448773E-2</c:v>
                </c:pt>
                <c:pt idx="172">
                  <c:v>2.4474532561448773E-2</c:v>
                </c:pt>
                <c:pt idx="173">
                  <c:v>2.4474532561448773E-2</c:v>
                </c:pt>
                <c:pt idx="174">
                  <c:v>2.4474532561448773E-2</c:v>
                </c:pt>
                <c:pt idx="175">
                  <c:v>2.4474532561448773E-2</c:v>
                </c:pt>
                <c:pt idx="176">
                  <c:v>2.4474532561448773E-2</c:v>
                </c:pt>
                <c:pt idx="177">
                  <c:v>2.4474532561448773E-2</c:v>
                </c:pt>
                <c:pt idx="178">
                  <c:v>0.16893518410665634</c:v>
                </c:pt>
                <c:pt idx="179">
                  <c:v>0.17111518696866321</c:v>
                </c:pt>
                <c:pt idx="180">
                  <c:v>0.173739182266924</c:v>
                </c:pt>
                <c:pt idx="181">
                  <c:v>0.17771373737774554</c:v>
                </c:pt>
                <c:pt idx="182">
                  <c:v>0.18011434126388132</c:v>
                </c:pt>
                <c:pt idx="183">
                  <c:v>0.17636805246354967</c:v>
                </c:pt>
                <c:pt idx="184">
                  <c:v>0.18733690618793777</c:v>
                </c:pt>
                <c:pt idx="185">
                  <c:v>0.1921603626695812</c:v>
                </c:pt>
                <c:pt idx="186">
                  <c:v>0.19742593248593066</c:v>
                </c:pt>
                <c:pt idx="187">
                  <c:v>0.20313361563698618</c:v>
                </c:pt>
                <c:pt idx="188">
                  <c:v>5.9737659805723972E-2</c:v>
                </c:pt>
                <c:pt idx="189">
                  <c:v>5.9737659805723972E-2</c:v>
                </c:pt>
                <c:pt idx="190">
                  <c:v>5.9737659805723972E-2</c:v>
                </c:pt>
                <c:pt idx="191">
                  <c:v>5.9737659805723972E-2</c:v>
                </c:pt>
                <c:pt idx="192">
                  <c:v>5.9737659805723972E-2</c:v>
                </c:pt>
                <c:pt idx="193">
                  <c:v>5.9737659805723972E-2</c:v>
                </c:pt>
                <c:pt idx="194">
                  <c:v>5.9737659805723972E-2</c:v>
                </c:pt>
                <c:pt idx="195">
                  <c:v>5.9737659805723972E-2</c:v>
                </c:pt>
                <c:pt idx="196">
                  <c:v>5.9737659805723972E-2</c:v>
                </c:pt>
                <c:pt idx="197">
                  <c:v>5.9737659805723972E-2</c:v>
                </c:pt>
                <c:pt idx="198">
                  <c:v>5.9737659805723972E-2</c:v>
                </c:pt>
                <c:pt idx="199">
                  <c:v>5.9737659805723972E-2</c:v>
                </c:pt>
                <c:pt idx="200">
                  <c:v>5.9737659805723972E-2</c:v>
                </c:pt>
                <c:pt idx="201">
                  <c:v>5.9737659805723972E-2</c:v>
                </c:pt>
                <c:pt idx="202">
                  <c:v>5.9737659805723972E-2</c:v>
                </c:pt>
                <c:pt idx="203">
                  <c:v>5.9737659805723972E-2</c:v>
                </c:pt>
                <c:pt idx="204">
                  <c:v>5.9737659805723972E-2</c:v>
                </c:pt>
                <c:pt idx="205">
                  <c:v>5.9737659805723972E-2</c:v>
                </c:pt>
                <c:pt idx="206">
                  <c:v>5.9737659805723972E-2</c:v>
                </c:pt>
                <c:pt idx="207">
                  <c:v>5.9737659805723972E-2</c:v>
                </c:pt>
                <c:pt idx="208">
                  <c:v>5.9737659805723972E-2</c:v>
                </c:pt>
                <c:pt idx="209">
                  <c:v>5.9737659805723972E-2</c:v>
                </c:pt>
                <c:pt idx="210">
                  <c:v>5.9737659805723972E-2</c:v>
                </c:pt>
                <c:pt idx="211">
                  <c:v>5.9737659805723972E-2</c:v>
                </c:pt>
                <c:pt idx="212">
                  <c:v>5.9737659805723972E-2</c:v>
                </c:pt>
                <c:pt idx="213">
                  <c:v>5.9737659805723972E-2</c:v>
                </c:pt>
                <c:pt idx="214">
                  <c:v>5.3531492924801492E-2</c:v>
                </c:pt>
                <c:pt idx="215">
                  <c:v>4.8082875844836039E-2</c:v>
                </c:pt>
                <c:pt idx="216">
                  <c:v>4.3091741307269046E-2</c:v>
                </c:pt>
                <c:pt idx="217">
                  <c:v>0.11619654690500357</c:v>
                </c:pt>
                <c:pt idx="218">
                  <c:v>0.12088014810442677</c:v>
                </c:pt>
                <c:pt idx="219">
                  <c:v>0.11771924441687411</c:v>
                </c:pt>
                <c:pt idx="220">
                  <c:v>0.11982111903399162</c:v>
                </c:pt>
                <c:pt idx="221">
                  <c:v>0.12864875805170717</c:v>
                </c:pt>
                <c:pt idx="222">
                  <c:v>0.12050473753945619</c:v>
                </c:pt>
                <c:pt idx="223">
                  <c:v>0.11157166184640568</c:v>
                </c:pt>
                <c:pt idx="224">
                  <c:v>2.7196863641449482E-2</c:v>
                </c:pt>
                <c:pt idx="225">
                  <c:v>2.7196863641449482E-2</c:v>
                </c:pt>
                <c:pt idx="226">
                  <c:v>2.7196863641449482E-2</c:v>
                </c:pt>
                <c:pt idx="227">
                  <c:v>2.7196863641449482E-2</c:v>
                </c:pt>
                <c:pt idx="228">
                  <c:v>2.7196863641449482E-2</c:v>
                </c:pt>
                <c:pt idx="229">
                  <c:v>2.7196863641449482E-2</c:v>
                </c:pt>
                <c:pt idx="230">
                  <c:v>2.7196863641449482E-2</c:v>
                </c:pt>
                <c:pt idx="231">
                  <c:v>2.7196863641449482E-2</c:v>
                </c:pt>
                <c:pt idx="232">
                  <c:v>2.7196863641449482E-2</c:v>
                </c:pt>
                <c:pt idx="233">
                  <c:v>2.7196863641449482E-2</c:v>
                </c:pt>
                <c:pt idx="234">
                  <c:v>2.7196863641449482E-2</c:v>
                </c:pt>
                <c:pt idx="235">
                  <c:v>2.7196863641449482E-2</c:v>
                </c:pt>
                <c:pt idx="236">
                  <c:v>0.10295712515834116</c:v>
                </c:pt>
                <c:pt idx="237">
                  <c:v>0.10392667722870878</c:v>
                </c:pt>
                <c:pt idx="238">
                  <c:v>0.10255106714733879</c:v>
                </c:pt>
                <c:pt idx="239">
                  <c:v>0.10315672138336468</c:v>
                </c:pt>
                <c:pt idx="240">
                  <c:v>0.1022213485733915</c:v>
                </c:pt>
                <c:pt idx="241">
                  <c:v>0.10211135625017792</c:v>
                </c:pt>
                <c:pt idx="242">
                  <c:v>0.1025007681603074</c:v>
                </c:pt>
                <c:pt idx="243">
                  <c:v>0.10671102528665732</c:v>
                </c:pt>
                <c:pt idx="244">
                  <c:v>0.10735413892172363</c:v>
                </c:pt>
                <c:pt idx="245">
                  <c:v>0.12004799704629088</c:v>
                </c:pt>
                <c:pt idx="246">
                  <c:v>0.120589628214909</c:v>
                </c:pt>
                <c:pt idx="247">
                  <c:v>0.12190685878134022</c:v>
                </c:pt>
                <c:pt idx="248">
                  <c:v>0.12152912505822436</c:v>
                </c:pt>
                <c:pt idx="249">
                  <c:v>0.12299891316577032</c:v>
                </c:pt>
                <c:pt idx="250">
                  <c:v>0.12265852822747385</c:v>
                </c:pt>
                <c:pt idx="251">
                  <c:v>5.0532235647039764E-2</c:v>
                </c:pt>
                <c:pt idx="252">
                  <c:v>5.4614527070210889E-2</c:v>
                </c:pt>
                <c:pt idx="253">
                  <c:v>5.9687391818091351E-2</c:v>
                </c:pt>
                <c:pt idx="254">
                  <c:v>5.9389075527499745E-2</c:v>
                </c:pt>
                <c:pt idx="255">
                  <c:v>5.9389075527499745E-2</c:v>
                </c:pt>
                <c:pt idx="256">
                  <c:v>5.9389075527499745E-2</c:v>
                </c:pt>
                <c:pt idx="257">
                  <c:v>5.9389075527499745E-2</c:v>
                </c:pt>
                <c:pt idx="258">
                  <c:v>5.9389075527499745E-2</c:v>
                </c:pt>
                <c:pt idx="259">
                  <c:v>5.9389075527499745E-2</c:v>
                </c:pt>
                <c:pt idx="260">
                  <c:v>5.9389075527499745E-2</c:v>
                </c:pt>
                <c:pt idx="261">
                  <c:v>5.9389075527499745E-2</c:v>
                </c:pt>
                <c:pt idx="262">
                  <c:v>5.9389075527499745E-2</c:v>
                </c:pt>
                <c:pt idx="263">
                  <c:v>5.9389075527499745E-2</c:v>
                </c:pt>
                <c:pt idx="264">
                  <c:v>5.9389075527499745E-2</c:v>
                </c:pt>
                <c:pt idx="265">
                  <c:v>6.1000617420397141E-2</c:v>
                </c:pt>
                <c:pt idx="266">
                  <c:v>5.9737659805723972E-2</c:v>
                </c:pt>
                <c:pt idx="267">
                  <c:v>4.7817141542029047E-2</c:v>
                </c:pt>
                <c:pt idx="268">
                  <c:v>1.3093695597798981E-2</c:v>
                </c:pt>
                <c:pt idx="269">
                  <c:v>1.0714104860959101E-2</c:v>
                </c:pt>
                <c:pt idx="270">
                  <c:v>7.818837721457781E-3</c:v>
                </c:pt>
                <c:pt idx="271">
                  <c:v>8.4041607473836308E-2</c:v>
                </c:pt>
                <c:pt idx="272">
                  <c:v>8.4041607473836308E-2</c:v>
                </c:pt>
                <c:pt idx="273">
                  <c:v>8.4041607473836308E-2</c:v>
                </c:pt>
                <c:pt idx="274">
                  <c:v>8.4041607473836308E-2</c:v>
                </c:pt>
                <c:pt idx="275">
                  <c:v>8.4041607473836308E-2</c:v>
                </c:pt>
                <c:pt idx="276">
                  <c:v>8.4041607473836308E-2</c:v>
                </c:pt>
                <c:pt idx="277">
                  <c:v>8.4041607473836308E-2</c:v>
                </c:pt>
                <c:pt idx="278">
                  <c:v>8.404160747383628E-2</c:v>
                </c:pt>
                <c:pt idx="279">
                  <c:v>8.404160747383628E-2</c:v>
                </c:pt>
                <c:pt idx="280">
                  <c:v>8.404160747383628E-2</c:v>
                </c:pt>
                <c:pt idx="281">
                  <c:v>8.404160747383628E-2</c:v>
                </c:pt>
                <c:pt idx="282">
                  <c:v>8.404160747383628E-2</c:v>
                </c:pt>
                <c:pt idx="283">
                  <c:v>8.404160747383628E-2</c:v>
                </c:pt>
                <c:pt idx="284">
                  <c:v>8.404160747383628E-2</c:v>
                </c:pt>
                <c:pt idx="285">
                  <c:v>0.21472337371178674</c:v>
                </c:pt>
                <c:pt idx="286">
                  <c:v>5.4980544812169387E-2</c:v>
                </c:pt>
                <c:pt idx="287">
                  <c:v>5.7410860076330984E-2</c:v>
                </c:pt>
                <c:pt idx="288">
                  <c:v>5.95113852066423E-2</c:v>
                </c:pt>
                <c:pt idx="289">
                  <c:v>5.9389075527499745E-2</c:v>
                </c:pt>
                <c:pt idx="290">
                  <c:v>5.9389075527499745E-2</c:v>
                </c:pt>
                <c:pt idx="291">
                  <c:v>5.9389075527499745E-2</c:v>
                </c:pt>
                <c:pt idx="292">
                  <c:v>5.9389075527499745E-2</c:v>
                </c:pt>
                <c:pt idx="293">
                  <c:v>5.9389075527499745E-2</c:v>
                </c:pt>
                <c:pt idx="294">
                  <c:v>5.9389075527499745E-2</c:v>
                </c:pt>
                <c:pt idx="295">
                  <c:v>5.9389075527499745E-2</c:v>
                </c:pt>
                <c:pt idx="296">
                  <c:v>9.6625939561975141E-2</c:v>
                </c:pt>
                <c:pt idx="297">
                  <c:v>0.10298514750701984</c:v>
                </c:pt>
                <c:pt idx="298">
                  <c:v>0.10848038204766046</c:v>
                </c:pt>
                <c:pt idx="299">
                  <c:v>0.11662057789844452</c:v>
                </c:pt>
                <c:pt idx="300">
                  <c:v>0.12455632857794051</c:v>
                </c:pt>
                <c:pt idx="301">
                  <c:v>0.11842267173451758</c:v>
                </c:pt>
                <c:pt idx="302">
                  <c:v>0.11982111903399162</c:v>
                </c:pt>
                <c:pt idx="303">
                  <c:v>0.12621085716667596</c:v>
                </c:pt>
                <c:pt idx="304">
                  <c:v>0.12846591070053393</c:v>
                </c:pt>
                <c:pt idx="305">
                  <c:v>2.6144649760067567E-2</c:v>
                </c:pt>
                <c:pt idx="306">
                  <c:v>2.6144649760067567E-2</c:v>
                </c:pt>
                <c:pt idx="307">
                  <c:v>2.6144649760067567E-2</c:v>
                </c:pt>
                <c:pt idx="308">
                  <c:v>2.6144649760067567E-2</c:v>
                </c:pt>
                <c:pt idx="309">
                  <c:v>2.6144649760067567E-2</c:v>
                </c:pt>
                <c:pt idx="310">
                  <c:v>2.6144649760067567E-2</c:v>
                </c:pt>
                <c:pt idx="311">
                  <c:v>2.6144649760067567E-2</c:v>
                </c:pt>
                <c:pt idx="312">
                  <c:v>2.6144649760067567E-2</c:v>
                </c:pt>
                <c:pt idx="313">
                  <c:v>9.7482851821240252E-2</c:v>
                </c:pt>
                <c:pt idx="314">
                  <c:v>0.11174922446559366</c:v>
                </c:pt>
                <c:pt idx="315">
                  <c:v>0.1096390171485716</c:v>
                </c:pt>
                <c:pt idx="316">
                  <c:v>0.10787555321952036</c:v>
                </c:pt>
                <c:pt idx="317">
                  <c:v>0.10613841185196254</c:v>
                </c:pt>
                <c:pt idx="318">
                  <c:v>0.1073411566166934</c:v>
                </c:pt>
                <c:pt idx="319">
                  <c:v>0.10814420821757097</c:v>
                </c:pt>
                <c:pt idx="320">
                  <c:v>0.10936879665550697</c:v>
                </c:pt>
                <c:pt idx="321">
                  <c:v>0.11133813701754064</c:v>
                </c:pt>
                <c:pt idx="322">
                  <c:v>0.11342118063373331</c:v>
                </c:pt>
                <c:pt idx="323">
                  <c:v>5.9080366472173745E-3</c:v>
                </c:pt>
                <c:pt idx="324">
                  <c:v>9.4602663571913303E-4</c:v>
                </c:pt>
                <c:pt idx="325">
                  <c:v>4.470796392415077E-3</c:v>
                </c:pt>
                <c:pt idx="326">
                  <c:v>1.0342432437185235E-2</c:v>
                </c:pt>
                <c:pt idx="327">
                  <c:v>1.0044116146593634E-2</c:v>
                </c:pt>
                <c:pt idx="328">
                  <c:v>0.14626052926456951</c:v>
                </c:pt>
                <c:pt idx="329">
                  <c:v>0.15306251948035854</c:v>
                </c:pt>
                <c:pt idx="330">
                  <c:v>0.14598329529353682</c:v>
                </c:pt>
                <c:pt idx="331">
                  <c:v>0.15348992430014236</c:v>
                </c:pt>
                <c:pt idx="332">
                  <c:v>0.16073635643044573</c:v>
                </c:pt>
                <c:pt idx="333">
                  <c:v>0.16769464594449945</c:v>
                </c:pt>
                <c:pt idx="334">
                  <c:v>0.16838795962465528</c:v>
                </c:pt>
                <c:pt idx="335">
                  <c:v>0.12232326622487232</c:v>
                </c:pt>
                <c:pt idx="336">
                  <c:v>7.6642861778470781E-2</c:v>
                </c:pt>
                <c:pt idx="337">
                  <c:v>8.0423533982997716E-2</c:v>
                </c:pt>
                <c:pt idx="338">
                  <c:v>8.1827757222783765E-2</c:v>
                </c:pt>
                <c:pt idx="339">
                  <c:v>7.6874272756979098E-2</c:v>
                </c:pt>
                <c:pt idx="340">
                  <c:v>7.6874272756979098E-2</c:v>
                </c:pt>
                <c:pt idx="341">
                  <c:v>7.6874272756979098E-2</c:v>
                </c:pt>
                <c:pt idx="342">
                  <c:v>7.6874272756979098E-2</c:v>
                </c:pt>
                <c:pt idx="343">
                  <c:v>0.14004907085044999</c:v>
                </c:pt>
                <c:pt idx="344">
                  <c:v>0.14878345416547958</c:v>
                </c:pt>
                <c:pt idx="345">
                  <c:v>0.14584654212950734</c:v>
                </c:pt>
                <c:pt idx="346">
                  <c:v>0.1458559686914013</c:v>
                </c:pt>
                <c:pt idx="347">
                  <c:v>0.15289299653711333</c:v>
                </c:pt>
                <c:pt idx="348">
                  <c:v>0.15181132290427557</c:v>
                </c:pt>
                <c:pt idx="349">
                  <c:v>0.15144091865795659</c:v>
                </c:pt>
                <c:pt idx="350">
                  <c:v>9.0740120924749201E-2</c:v>
                </c:pt>
                <c:pt idx="351">
                  <c:v>9.1593263798875724E-2</c:v>
                </c:pt>
                <c:pt idx="352">
                  <c:v>9.1949868323396397E-2</c:v>
                </c:pt>
                <c:pt idx="353">
                  <c:v>9.261766401259601E-2</c:v>
                </c:pt>
                <c:pt idx="354">
                  <c:v>9.3904262086782361E-2</c:v>
                </c:pt>
                <c:pt idx="355">
                  <c:v>9.5062888977292509E-2</c:v>
                </c:pt>
                <c:pt idx="356">
                  <c:v>9.7719923946271936E-2</c:v>
                </c:pt>
                <c:pt idx="357">
                  <c:v>9.9062192043257891E-2</c:v>
                </c:pt>
                <c:pt idx="358">
                  <c:v>0.10574006675713445</c:v>
                </c:pt>
                <c:pt idx="359">
                  <c:v>0.10803544281067312</c:v>
                </c:pt>
                <c:pt idx="360">
                  <c:v>0.11232699356690833</c:v>
                </c:pt>
                <c:pt idx="361">
                  <c:v>0.11202867727631674</c:v>
                </c:pt>
                <c:pt idx="362">
                  <c:v>0.11202867727631674</c:v>
                </c:pt>
                <c:pt idx="363">
                  <c:v>0.11202867727631674</c:v>
                </c:pt>
                <c:pt idx="364">
                  <c:v>0.11202867727631674</c:v>
                </c:pt>
                <c:pt idx="365">
                  <c:v>0.11202867727631674</c:v>
                </c:pt>
                <c:pt idx="366">
                  <c:v>0.11202867727631674</c:v>
                </c:pt>
                <c:pt idx="367">
                  <c:v>4.6293587290014192E-3</c:v>
                </c:pt>
                <c:pt idx="368">
                  <c:v>8.9233887775409595E-3</c:v>
                </c:pt>
                <c:pt idx="369">
                  <c:v>1.2971444745342012E-2</c:v>
                </c:pt>
                <c:pt idx="370">
                  <c:v>1.7245261051227666E-2</c:v>
                </c:pt>
                <c:pt idx="371">
                  <c:v>2.1477189166837843E-2</c:v>
                </c:pt>
                <c:pt idx="372">
                  <c:v>2.5642694790637584E-2</c:v>
                </c:pt>
                <c:pt idx="373">
                  <c:v>2.9116671139915448E-2</c:v>
                </c:pt>
                <c:pt idx="374">
                  <c:v>3.2585641114544386E-2</c:v>
                </c:pt>
                <c:pt idx="375">
                  <c:v>3.5848512146440754E-2</c:v>
                </c:pt>
                <c:pt idx="376">
                  <c:v>3.8892264428660742E-2</c:v>
                </c:pt>
                <c:pt idx="377">
                  <c:v>4.4094971597291477E-2</c:v>
                </c:pt>
                <c:pt idx="378">
                  <c:v>4.3543655760845651E-2</c:v>
                </c:pt>
                <c:pt idx="379">
                  <c:v>4.5161538383945203E-2</c:v>
                </c:pt>
                <c:pt idx="380">
                  <c:v>4.6478699329888719E-2</c:v>
                </c:pt>
                <c:pt idx="381">
                  <c:v>7.364709729355623E-2</c:v>
                </c:pt>
                <c:pt idx="382">
                  <c:v>7.364709729355623E-2</c:v>
                </c:pt>
                <c:pt idx="383">
                  <c:v>7.364709729355623E-2</c:v>
                </c:pt>
                <c:pt idx="384">
                  <c:v>7.364709729355623E-2</c:v>
                </c:pt>
                <c:pt idx="385">
                  <c:v>7.364709729355623E-2</c:v>
                </c:pt>
                <c:pt idx="386">
                  <c:v>7.364709729355623E-2</c:v>
                </c:pt>
                <c:pt idx="387">
                  <c:v>7.364709729355623E-2</c:v>
                </c:pt>
                <c:pt idx="388">
                  <c:v>7.364709729355623E-2</c:v>
                </c:pt>
                <c:pt idx="389">
                  <c:v>7.364709729355623E-2</c:v>
                </c:pt>
                <c:pt idx="390">
                  <c:v>7.364709729355623E-2</c:v>
                </c:pt>
                <c:pt idx="391">
                  <c:v>0.15228914883543851</c:v>
                </c:pt>
                <c:pt idx="392">
                  <c:v>0.17201231800773609</c:v>
                </c:pt>
                <c:pt idx="393">
                  <c:v>0.18527509967608663</c:v>
                </c:pt>
                <c:pt idx="394">
                  <c:v>0.18242646595208734</c:v>
                </c:pt>
                <c:pt idx="395">
                  <c:v>0.17232047397092654</c:v>
                </c:pt>
                <c:pt idx="396">
                  <c:v>0.20643426778062157</c:v>
                </c:pt>
                <c:pt idx="397">
                  <c:v>0.22767723807571491</c:v>
                </c:pt>
                <c:pt idx="398">
                  <c:v>0.2317900190890648</c:v>
                </c:pt>
                <c:pt idx="399">
                  <c:v>0.24427284510413272</c:v>
                </c:pt>
                <c:pt idx="400">
                  <c:v>0.24930156417681051</c:v>
                </c:pt>
                <c:pt idx="401">
                  <c:v>0.25478088531693255</c:v>
                </c:pt>
                <c:pt idx="402">
                  <c:v>0.22272073691107322</c:v>
                </c:pt>
                <c:pt idx="403">
                  <c:v>4.6293587290014192E-3</c:v>
                </c:pt>
                <c:pt idx="404">
                  <c:v>9.2123833566214522E-3</c:v>
                </c:pt>
                <c:pt idx="405">
                  <c:v>1.2916491488944257E-2</c:v>
                </c:pt>
                <c:pt idx="406">
                  <c:v>1.7182557493180914E-2</c:v>
                </c:pt>
                <c:pt idx="407">
                  <c:v>2.0209425026026892E-2</c:v>
                </c:pt>
                <c:pt idx="408">
                  <c:v>2.3985471814070999E-2</c:v>
                </c:pt>
                <c:pt idx="409">
                  <c:v>2.7232662405405703E-2</c:v>
                </c:pt>
                <c:pt idx="410">
                  <c:v>3.0700604556800626E-2</c:v>
                </c:pt>
                <c:pt idx="411">
                  <c:v>9.0569434293743603E-2</c:v>
                </c:pt>
                <c:pt idx="412">
                  <c:v>9.0569434293743603E-2</c:v>
                </c:pt>
                <c:pt idx="413">
                  <c:v>9.0569434293743603E-2</c:v>
                </c:pt>
                <c:pt idx="414">
                  <c:v>9.0569434293743603E-2</c:v>
                </c:pt>
                <c:pt idx="415">
                  <c:v>9.0569434293743603E-2</c:v>
                </c:pt>
                <c:pt idx="416">
                  <c:v>9.0569434293743603E-2</c:v>
                </c:pt>
                <c:pt idx="417">
                  <c:v>0.19410293089297737</c:v>
                </c:pt>
                <c:pt idx="418">
                  <c:v>0.1928259566572289</c:v>
                </c:pt>
                <c:pt idx="419">
                  <c:v>0.19166945842277414</c:v>
                </c:pt>
                <c:pt idx="420">
                  <c:v>9.7426873803727596E-2</c:v>
                </c:pt>
                <c:pt idx="421">
                  <c:v>0.1002658909039708</c:v>
                </c:pt>
                <c:pt idx="422">
                  <c:v>0.10361551530834369</c:v>
                </c:pt>
                <c:pt idx="423">
                  <c:v>0.10780604874037319</c:v>
                </c:pt>
                <c:pt idx="424">
                  <c:v>0.11225241449426043</c:v>
                </c:pt>
                <c:pt idx="425">
                  <c:v>0.11202867727631674</c:v>
                </c:pt>
                <c:pt idx="426">
                  <c:v>0.11202867727631674</c:v>
                </c:pt>
                <c:pt idx="427">
                  <c:v>0.11202867727631674</c:v>
                </c:pt>
                <c:pt idx="428">
                  <c:v>0.11202867727631674</c:v>
                </c:pt>
                <c:pt idx="429">
                  <c:v>0.11202867727631674</c:v>
                </c:pt>
                <c:pt idx="430">
                  <c:v>0.11202867727631674</c:v>
                </c:pt>
                <c:pt idx="431">
                  <c:v>0.11202867727631674</c:v>
                </c:pt>
                <c:pt idx="432">
                  <c:v>0.11202867727631674</c:v>
                </c:pt>
                <c:pt idx="433">
                  <c:v>0.11202867727631674</c:v>
                </c:pt>
                <c:pt idx="434">
                  <c:v>0.11202867727631674</c:v>
                </c:pt>
                <c:pt idx="435">
                  <c:v>0.11202867727631674</c:v>
                </c:pt>
                <c:pt idx="436">
                  <c:v>0.11202867727631674</c:v>
                </c:pt>
                <c:pt idx="437">
                  <c:v>0.11202867727631674</c:v>
                </c:pt>
                <c:pt idx="438">
                  <c:v>0.11202867727631674</c:v>
                </c:pt>
                <c:pt idx="439">
                  <c:v>0.11202867727631674</c:v>
                </c:pt>
                <c:pt idx="440">
                  <c:v>0.11202867727631674</c:v>
                </c:pt>
                <c:pt idx="441">
                  <c:v>0.11202867727631674</c:v>
                </c:pt>
                <c:pt idx="442">
                  <c:v>0.11202867727631674</c:v>
                </c:pt>
                <c:pt idx="443">
                  <c:v>0.11202867727631674</c:v>
                </c:pt>
                <c:pt idx="444">
                  <c:v>0.11202867727631674</c:v>
                </c:pt>
                <c:pt idx="445">
                  <c:v>0.11202867727631674</c:v>
                </c:pt>
                <c:pt idx="446">
                  <c:v>0.11202867727631674</c:v>
                </c:pt>
                <c:pt idx="447">
                  <c:v>0.11202867727631674</c:v>
                </c:pt>
                <c:pt idx="448">
                  <c:v>0.11202867727631674</c:v>
                </c:pt>
                <c:pt idx="449">
                  <c:v>0.11202867727631674</c:v>
                </c:pt>
                <c:pt idx="450">
                  <c:v>0.11202867727631674</c:v>
                </c:pt>
                <c:pt idx="451">
                  <c:v>0.11202867727631674</c:v>
                </c:pt>
                <c:pt idx="452">
                  <c:v>0.11202867727631674</c:v>
                </c:pt>
                <c:pt idx="453">
                  <c:v>0.11202867727631674</c:v>
                </c:pt>
                <c:pt idx="454">
                  <c:v>0.11202867727631674</c:v>
                </c:pt>
                <c:pt idx="455">
                  <c:v>0.11202867727631674</c:v>
                </c:pt>
                <c:pt idx="456">
                  <c:v>0.11202867727631674</c:v>
                </c:pt>
                <c:pt idx="457">
                  <c:v>0.11202867727631674</c:v>
                </c:pt>
                <c:pt idx="458">
                  <c:v>0.11202867727631674</c:v>
                </c:pt>
                <c:pt idx="459">
                  <c:v>0.11202867727631674</c:v>
                </c:pt>
                <c:pt idx="460">
                  <c:v>0.11202867727631674</c:v>
                </c:pt>
                <c:pt idx="461">
                  <c:v>0.11202867727631674</c:v>
                </c:pt>
                <c:pt idx="462">
                  <c:v>0.11202867727631674</c:v>
                </c:pt>
                <c:pt idx="463">
                  <c:v>0.11202867727631674</c:v>
                </c:pt>
                <c:pt idx="464">
                  <c:v>0.11202867727631674</c:v>
                </c:pt>
                <c:pt idx="465">
                  <c:v>0.11202867727631674</c:v>
                </c:pt>
                <c:pt idx="466">
                  <c:v>0.11202867727631674</c:v>
                </c:pt>
                <c:pt idx="467">
                  <c:v>0.11202867727631674</c:v>
                </c:pt>
                <c:pt idx="468">
                  <c:v>0.11202867727631674</c:v>
                </c:pt>
                <c:pt idx="469">
                  <c:v>0.11202867727631674</c:v>
                </c:pt>
                <c:pt idx="470">
                  <c:v>0.11202867727631674</c:v>
                </c:pt>
                <c:pt idx="471">
                  <c:v>0.11202867727631674</c:v>
                </c:pt>
                <c:pt idx="472">
                  <c:v>0.11202867727631674</c:v>
                </c:pt>
                <c:pt idx="473">
                  <c:v>4.6293587290014192E-3</c:v>
                </c:pt>
                <c:pt idx="474">
                  <c:v>8.9233887775409595E-3</c:v>
                </c:pt>
                <c:pt idx="475">
                  <c:v>1.2971444745342012E-2</c:v>
                </c:pt>
                <c:pt idx="476">
                  <c:v>1.7245261051227666E-2</c:v>
                </c:pt>
                <c:pt idx="477">
                  <c:v>2.1477189166837843E-2</c:v>
                </c:pt>
                <c:pt idx="478">
                  <c:v>2.5642694790637584E-2</c:v>
                </c:pt>
                <c:pt idx="479">
                  <c:v>2.9116671139915448E-2</c:v>
                </c:pt>
                <c:pt idx="480">
                  <c:v>3.2585641114544386E-2</c:v>
                </c:pt>
                <c:pt idx="481">
                  <c:v>3.6330571788737477E-2</c:v>
                </c:pt>
                <c:pt idx="482">
                  <c:v>3.9381387325620333E-2</c:v>
                </c:pt>
                <c:pt idx="483">
                  <c:v>4.4619606600823543E-2</c:v>
                </c:pt>
                <c:pt idx="484">
                  <c:v>4.3543655760845651E-2</c:v>
                </c:pt>
                <c:pt idx="485">
                  <c:v>4.5161538383945203E-2</c:v>
                </c:pt>
                <c:pt idx="486">
                  <c:v>7.4776642762750783E-2</c:v>
                </c:pt>
                <c:pt idx="487">
                  <c:v>7.4776642762750783E-2</c:v>
                </c:pt>
                <c:pt idx="488">
                  <c:v>7.4776642762750783E-2</c:v>
                </c:pt>
                <c:pt idx="489">
                  <c:v>7.4776642762750783E-2</c:v>
                </c:pt>
                <c:pt idx="490">
                  <c:v>7.4776642762750783E-2</c:v>
                </c:pt>
                <c:pt idx="491">
                  <c:v>7.4776642762750783E-2</c:v>
                </c:pt>
                <c:pt idx="492">
                  <c:v>7.4776642762750783E-2</c:v>
                </c:pt>
                <c:pt idx="493">
                  <c:v>0.15341135314687732</c:v>
                </c:pt>
                <c:pt idx="494">
                  <c:v>0.17312382866908954</c:v>
                </c:pt>
                <c:pt idx="495">
                  <c:v>0.18671176153576632</c:v>
                </c:pt>
                <c:pt idx="496">
                  <c:v>0.18407058897848302</c:v>
                </c:pt>
                <c:pt idx="497">
                  <c:v>0.17445855999700377</c:v>
                </c:pt>
                <c:pt idx="498">
                  <c:v>0.19816771235272956</c:v>
                </c:pt>
                <c:pt idx="499">
                  <c:v>0.19695036733959398</c:v>
                </c:pt>
                <c:pt idx="500">
                  <c:v>0.19585873815399221</c:v>
                </c:pt>
                <c:pt idx="501">
                  <c:v>9.7841376765367832E-2</c:v>
                </c:pt>
                <c:pt idx="502">
                  <c:v>0.1025382194853949</c:v>
                </c:pt>
                <c:pt idx="503">
                  <c:v>0.1070801974213175</c:v>
                </c:pt>
                <c:pt idx="504">
                  <c:v>0.11232699356690833</c:v>
                </c:pt>
                <c:pt idx="505">
                  <c:v>0.11202867727631674</c:v>
                </c:pt>
                <c:pt idx="506">
                  <c:v>0.11202867727631674</c:v>
                </c:pt>
                <c:pt idx="507">
                  <c:v>0.11202867727631674</c:v>
                </c:pt>
                <c:pt idx="508">
                  <c:v>0.11202867727631674</c:v>
                </c:pt>
                <c:pt idx="509">
                  <c:v>0.11202867727631674</c:v>
                </c:pt>
                <c:pt idx="510">
                  <c:v>0.11202867727631674</c:v>
                </c:pt>
                <c:pt idx="511">
                  <c:v>0.11202867727631674</c:v>
                </c:pt>
                <c:pt idx="512">
                  <c:v>0.11202867727631674</c:v>
                </c:pt>
                <c:pt idx="513">
                  <c:v>0.11202867727631674</c:v>
                </c:pt>
                <c:pt idx="514">
                  <c:v>0.11202867727631674</c:v>
                </c:pt>
                <c:pt idx="515">
                  <c:v>0.11202867727631674</c:v>
                </c:pt>
                <c:pt idx="516">
                  <c:v>0.11202867727631674</c:v>
                </c:pt>
                <c:pt idx="517">
                  <c:v>0.11202867727631674</c:v>
                </c:pt>
                <c:pt idx="518">
                  <c:v>0.11202867727631674</c:v>
                </c:pt>
                <c:pt idx="519">
                  <c:v>0.11202867727631674</c:v>
                </c:pt>
                <c:pt idx="520">
                  <c:v>0.11202867727631674</c:v>
                </c:pt>
                <c:pt idx="521">
                  <c:v>0.11202867727631674</c:v>
                </c:pt>
                <c:pt idx="522">
                  <c:v>0.11202867727631674</c:v>
                </c:pt>
                <c:pt idx="523">
                  <c:v>0.11202867727631674</c:v>
                </c:pt>
                <c:pt idx="524">
                  <c:v>0.11202867727631674</c:v>
                </c:pt>
                <c:pt idx="525">
                  <c:v>0.11202867727631674</c:v>
                </c:pt>
                <c:pt idx="526">
                  <c:v>0.11202867727631674</c:v>
                </c:pt>
                <c:pt idx="527">
                  <c:v>0.10798871563608106</c:v>
                </c:pt>
                <c:pt idx="528">
                  <c:v>0.10469933349524084</c:v>
                </c:pt>
                <c:pt idx="529">
                  <c:v>0.10113468578075777</c:v>
                </c:pt>
                <c:pt idx="530">
                  <c:v>1.7245261051227666E-2</c:v>
                </c:pt>
                <c:pt idx="531">
                  <c:v>2.1477189166837843E-2</c:v>
                </c:pt>
                <c:pt idx="532">
                  <c:v>2.5642694790637584E-2</c:v>
                </c:pt>
                <c:pt idx="533">
                  <c:v>2.9116671139915448E-2</c:v>
                </c:pt>
                <c:pt idx="534">
                  <c:v>3.2585641114544386E-2</c:v>
                </c:pt>
                <c:pt idx="535">
                  <c:v>3.5848512146440754E-2</c:v>
                </c:pt>
                <c:pt idx="536">
                  <c:v>3.8330634683288838E-2</c:v>
                </c:pt>
                <c:pt idx="537">
                  <c:v>8.1876977821414509E-2</c:v>
                </c:pt>
                <c:pt idx="538">
                  <c:v>8.1876977821414509E-2</c:v>
                </c:pt>
                <c:pt idx="539">
                  <c:v>8.1876977821414509E-2</c:v>
                </c:pt>
                <c:pt idx="540">
                  <c:v>8.1876977821414509E-2</c:v>
                </c:pt>
                <c:pt idx="541">
                  <c:v>8.1876977821414509E-2</c:v>
                </c:pt>
                <c:pt idx="542">
                  <c:v>8.1876977821414509E-2</c:v>
                </c:pt>
                <c:pt idx="543">
                  <c:v>8.1876977821414509E-2</c:v>
                </c:pt>
                <c:pt idx="544">
                  <c:v>0.18407058897848302</c:v>
                </c:pt>
                <c:pt idx="545">
                  <c:v>0.17445855999700377</c:v>
                </c:pt>
                <c:pt idx="546">
                  <c:v>0.19816771235272956</c:v>
                </c:pt>
                <c:pt idx="547">
                  <c:v>0.19695036733959398</c:v>
                </c:pt>
                <c:pt idx="548">
                  <c:v>9.7312190640496371E-2</c:v>
                </c:pt>
                <c:pt idx="549">
                  <c:v>9.7841376765367832E-2</c:v>
                </c:pt>
                <c:pt idx="550">
                  <c:v>0.1025382194853949</c:v>
                </c:pt>
                <c:pt idx="551">
                  <c:v>0.1070801974213175</c:v>
                </c:pt>
                <c:pt idx="552">
                  <c:v>0.11232699356690833</c:v>
                </c:pt>
                <c:pt idx="553">
                  <c:v>0.11202867727631674</c:v>
                </c:pt>
                <c:pt idx="554">
                  <c:v>0.11202867727631674</c:v>
                </c:pt>
                <c:pt idx="555">
                  <c:v>0.11202867727631674</c:v>
                </c:pt>
                <c:pt idx="556">
                  <c:v>0.11202867727631674</c:v>
                </c:pt>
                <c:pt idx="557">
                  <c:v>0.11202867727631674</c:v>
                </c:pt>
                <c:pt idx="558">
                  <c:v>0.11202867727631674</c:v>
                </c:pt>
                <c:pt idx="559">
                  <c:v>0.10735857430448581</c:v>
                </c:pt>
                <c:pt idx="560">
                  <c:v>8.8444885040250571E-3</c:v>
                </c:pt>
                <c:pt idx="561">
                  <c:v>1.2916491488944257E-2</c:v>
                </c:pt>
                <c:pt idx="562">
                  <c:v>1.6720801965667956E-2</c:v>
                </c:pt>
                <c:pt idx="563">
                  <c:v>2.0843307096432361E-2</c:v>
                </c:pt>
                <c:pt idx="564">
                  <c:v>2.4907567835897971E-2</c:v>
                </c:pt>
                <c:pt idx="565">
                  <c:v>2.8889049882529893E-2</c:v>
                </c:pt>
                <c:pt idx="566">
                  <c:v>3.2101088626279875E-2</c:v>
                </c:pt>
                <c:pt idx="567">
                  <c:v>3.5323251061798566E-2</c:v>
                </c:pt>
                <c:pt idx="568">
                  <c:v>3.8330634683288838E-2</c:v>
                </c:pt>
                <c:pt idx="569">
                  <c:v>4.1110219683806834E-2</c:v>
                </c:pt>
                <c:pt idx="570">
                  <c:v>4.6151602546591459E-2</c:v>
                </c:pt>
                <c:pt idx="571">
                  <c:v>4.4672113203319652E-2</c:v>
                </c:pt>
                <c:pt idx="572">
                  <c:v>4.5989274149263161E-2</c:v>
                </c:pt>
                <c:pt idx="573">
                  <c:v>7.364709729355623E-2</c:v>
                </c:pt>
                <c:pt idx="574">
                  <c:v>7.364709729355623E-2</c:v>
                </c:pt>
                <c:pt idx="575">
                  <c:v>7.364709729355623E-2</c:v>
                </c:pt>
                <c:pt idx="576">
                  <c:v>7.364709729355623E-2</c:v>
                </c:pt>
                <c:pt idx="577">
                  <c:v>7.364709729355623E-2</c:v>
                </c:pt>
                <c:pt idx="578">
                  <c:v>7.364709729355623E-2</c:v>
                </c:pt>
                <c:pt idx="579">
                  <c:v>7.364709729355623E-2</c:v>
                </c:pt>
                <c:pt idx="580">
                  <c:v>7.364709729355623E-2</c:v>
                </c:pt>
                <c:pt idx="581">
                  <c:v>7.364709729355623E-2</c:v>
                </c:pt>
                <c:pt idx="582">
                  <c:v>7.364709729355623E-2</c:v>
                </c:pt>
                <c:pt idx="583">
                  <c:v>7.364709729355623E-2</c:v>
                </c:pt>
                <c:pt idx="584">
                  <c:v>0.10236561674377671</c:v>
                </c:pt>
                <c:pt idx="585">
                  <c:v>0.11776057758529132</c:v>
                </c:pt>
                <c:pt idx="586">
                  <c:v>0.11097127345128036</c:v>
                </c:pt>
                <c:pt idx="587">
                  <c:v>0.11352620844364664</c:v>
                </c:pt>
                <c:pt idx="588">
                  <c:v>0.12773390140963864</c:v>
                </c:pt>
                <c:pt idx="589">
                  <c:v>0.1876154714865845</c:v>
                </c:pt>
                <c:pt idx="590">
                  <c:v>0.1870903195428848</c:v>
                </c:pt>
                <c:pt idx="591">
                  <c:v>0.18421242306892632</c:v>
                </c:pt>
                <c:pt idx="592">
                  <c:v>0.22540821966083294</c:v>
                </c:pt>
                <c:pt idx="593">
                  <c:v>0.23610920862172771</c:v>
                </c:pt>
                <c:pt idx="594">
                  <c:v>0.23865874532018977</c:v>
                </c:pt>
                <c:pt idx="595">
                  <c:v>0.23827407057910946</c:v>
                </c:pt>
                <c:pt idx="596">
                  <c:v>0.15996504280451479</c:v>
                </c:pt>
                <c:pt idx="597">
                  <c:v>0.16076782027873499</c:v>
                </c:pt>
                <c:pt idx="598">
                  <c:v>0.16277624984393116</c:v>
                </c:pt>
                <c:pt idx="599">
                  <c:v>0.16429959725373661</c:v>
                </c:pt>
                <c:pt idx="600">
                  <c:v>0.16668888491252978</c:v>
                </c:pt>
                <c:pt idx="601">
                  <c:v>0.1684952050009707</c:v>
                </c:pt>
                <c:pt idx="602">
                  <c:v>0.18334226400853251</c:v>
                </c:pt>
                <c:pt idx="603">
                  <c:v>0.18316327423417753</c:v>
                </c:pt>
                <c:pt idx="604">
                  <c:v>0.18316327423417753</c:v>
                </c:pt>
                <c:pt idx="605">
                  <c:v>0.18316327423417753</c:v>
                </c:pt>
                <c:pt idx="606">
                  <c:v>0.18316327423417753</c:v>
                </c:pt>
                <c:pt idx="607">
                  <c:v>0.18316327423417753</c:v>
                </c:pt>
                <c:pt idx="608">
                  <c:v>0.22053995399553974</c:v>
                </c:pt>
                <c:pt idx="609">
                  <c:v>0.21480999763627015</c:v>
                </c:pt>
                <c:pt idx="610">
                  <c:v>0.2149529013509128</c:v>
                </c:pt>
                <c:pt idx="611">
                  <c:v>0.22094883488359929</c:v>
                </c:pt>
                <c:pt idx="612">
                  <c:v>0.2280637190110012</c:v>
                </c:pt>
                <c:pt idx="613">
                  <c:v>0.23047670124833014</c:v>
                </c:pt>
                <c:pt idx="614">
                  <c:v>0.23035552399026102</c:v>
                </c:pt>
                <c:pt idx="615">
                  <c:v>0.18316327423417753</c:v>
                </c:pt>
                <c:pt idx="616">
                  <c:v>0.18316327423417753</c:v>
                </c:pt>
                <c:pt idx="617">
                  <c:v>0.18316327423417753</c:v>
                </c:pt>
                <c:pt idx="618">
                  <c:v>0.18316327423417753</c:v>
                </c:pt>
                <c:pt idx="619">
                  <c:v>0.18316327423417753</c:v>
                </c:pt>
                <c:pt idx="620">
                  <c:v>0.18316327423417753</c:v>
                </c:pt>
                <c:pt idx="621">
                  <c:v>0.18316327423417753</c:v>
                </c:pt>
                <c:pt idx="622">
                  <c:v>0.18316327423417753</c:v>
                </c:pt>
                <c:pt idx="623">
                  <c:v>0.18316327423417753</c:v>
                </c:pt>
                <c:pt idx="624">
                  <c:v>0.18316327423417753</c:v>
                </c:pt>
                <c:pt idx="625">
                  <c:v>0.18316327423417753</c:v>
                </c:pt>
                <c:pt idx="626">
                  <c:v>0.18316327423417753</c:v>
                </c:pt>
                <c:pt idx="627">
                  <c:v>0.14671284326852277</c:v>
                </c:pt>
                <c:pt idx="628">
                  <c:v>0.14671284326852277</c:v>
                </c:pt>
                <c:pt idx="629">
                  <c:v>0.14671284326852277</c:v>
                </c:pt>
                <c:pt idx="630">
                  <c:v>0.14671284326852277</c:v>
                </c:pt>
                <c:pt idx="631">
                  <c:v>0.14671284326852277</c:v>
                </c:pt>
                <c:pt idx="632">
                  <c:v>0.14671284326852277</c:v>
                </c:pt>
                <c:pt idx="633">
                  <c:v>0.14671284326852277</c:v>
                </c:pt>
                <c:pt idx="634">
                  <c:v>0.14671284326852277</c:v>
                </c:pt>
                <c:pt idx="635">
                  <c:v>0.14671284326852277</c:v>
                </c:pt>
                <c:pt idx="636">
                  <c:v>0.14671284326852282</c:v>
                </c:pt>
                <c:pt idx="637">
                  <c:v>0.18316327423417753</c:v>
                </c:pt>
                <c:pt idx="638">
                  <c:v>0.18316327423417753</c:v>
                </c:pt>
                <c:pt idx="639">
                  <c:v>0.18316327423417753</c:v>
                </c:pt>
                <c:pt idx="640">
                  <c:v>0.18316327423417753</c:v>
                </c:pt>
                <c:pt idx="641">
                  <c:v>0.18316327423417753</c:v>
                </c:pt>
                <c:pt idx="642">
                  <c:v>0.18316327423417753</c:v>
                </c:pt>
                <c:pt idx="643">
                  <c:v>0.18316327423417753</c:v>
                </c:pt>
                <c:pt idx="644">
                  <c:v>0.18316327423417753</c:v>
                </c:pt>
                <c:pt idx="645">
                  <c:v>0.18316327423417753</c:v>
                </c:pt>
                <c:pt idx="646">
                  <c:v>0.18316327423417753</c:v>
                </c:pt>
                <c:pt idx="647">
                  <c:v>0.18316327423417753</c:v>
                </c:pt>
                <c:pt idx="648">
                  <c:v>0.18316327423417753</c:v>
                </c:pt>
                <c:pt idx="649">
                  <c:v>0.18316327423417753</c:v>
                </c:pt>
                <c:pt idx="650">
                  <c:v>0.18316327423417753</c:v>
                </c:pt>
                <c:pt idx="651">
                  <c:v>0.18316327423417753</c:v>
                </c:pt>
                <c:pt idx="652">
                  <c:v>0.18316327423417753</c:v>
                </c:pt>
                <c:pt idx="653">
                  <c:v>0.18316327423417753</c:v>
                </c:pt>
                <c:pt idx="654">
                  <c:v>0.18316327423417753</c:v>
                </c:pt>
                <c:pt idx="655">
                  <c:v>0.18316327423417753</c:v>
                </c:pt>
                <c:pt idx="656">
                  <c:v>0.18316327423417753</c:v>
                </c:pt>
                <c:pt idx="657">
                  <c:v>0.18316327423417753</c:v>
                </c:pt>
                <c:pt idx="658">
                  <c:v>0.18316327423417753</c:v>
                </c:pt>
                <c:pt idx="659">
                  <c:v>0.18316327423417753</c:v>
                </c:pt>
                <c:pt idx="660">
                  <c:v>0.18316327423417753</c:v>
                </c:pt>
                <c:pt idx="661">
                  <c:v>0.18316327423417753</c:v>
                </c:pt>
                <c:pt idx="662">
                  <c:v>0.18316327423417753</c:v>
                </c:pt>
                <c:pt idx="663">
                  <c:v>0.18316327423417753</c:v>
                </c:pt>
                <c:pt idx="664">
                  <c:v>0.18316327423417753</c:v>
                </c:pt>
                <c:pt idx="665">
                  <c:v>0.18316327423417753</c:v>
                </c:pt>
                <c:pt idx="666">
                  <c:v>0.18316327423417753</c:v>
                </c:pt>
                <c:pt idx="667">
                  <c:v>0.18316327423417753</c:v>
                </c:pt>
                <c:pt idx="668">
                  <c:v>0.18316327423417753</c:v>
                </c:pt>
                <c:pt idx="669">
                  <c:v>0.18316327423417753</c:v>
                </c:pt>
                <c:pt idx="670">
                  <c:v>0.18316327423417753</c:v>
                </c:pt>
                <c:pt idx="671">
                  <c:v>0.18316327423417753</c:v>
                </c:pt>
                <c:pt idx="672">
                  <c:v>0.18316327423417753</c:v>
                </c:pt>
                <c:pt idx="673">
                  <c:v>0.18316327423417753</c:v>
                </c:pt>
                <c:pt idx="674">
                  <c:v>0.18316327423417753</c:v>
                </c:pt>
                <c:pt idx="675">
                  <c:v>0.18316327423417753</c:v>
                </c:pt>
                <c:pt idx="676">
                  <c:v>0.18316327423417753</c:v>
                </c:pt>
                <c:pt idx="677">
                  <c:v>0.18316327423417753</c:v>
                </c:pt>
                <c:pt idx="678">
                  <c:v>0.18316327423417753</c:v>
                </c:pt>
                <c:pt idx="679">
                  <c:v>0.18316327423417753</c:v>
                </c:pt>
                <c:pt idx="680">
                  <c:v>0.18316327423417753</c:v>
                </c:pt>
                <c:pt idx="681">
                  <c:v>0.18316327423417753</c:v>
                </c:pt>
                <c:pt idx="682">
                  <c:v>0.18316327423417753</c:v>
                </c:pt>
                <c:pt idx="683">
                  <c:v>0.18316327423417753</c:v>
                </c:pt>
                <c:pt idx="684">
                  <c:v>0.18316327423417753</c:v>
                </c:pt>
                <c:pt idx="685">
                  <c:v>0.18316327423417753</c:v>
                </c:pt>
                <c:pt idx="686">
                  <c:v>0.18316327423417753</c:v>
                </c:pt>
                <c:pt idx="687">
                  <c:v>0.18316327423417753</c:v>
                </c:pt>
                <c:pt idx="688">
                  <c:v>0.18316327423417753</c:v>
                </c:pt>
                <c:pt idx="689">
                  <c:v>0.18316327423417753</c:v>
                </c:pt>
                <c:pt idx="690">
                  <c:v>0.18490638697739159</c:v>
                </c:pt>
                <c:pt idx="691">
                  <c:v>0.17219615469602018</c:v>
                </c:pt>
                <c:pt idx="692">
                  <c:v>0.1727965486093026</c:v>
                </c:pt>
                <c:pt idx="693">
                  <c:v>9.8526048480324785E-2</c:v>
                </c:pt>
                <c:pt idx="694">
                  <c:v>9.9019752738686226E-2</c:v>
                </c:pt>
                <c:pt idx="695">
                  <c:v>9.3888143999444576E-2</c:v>
                </c:pt>
                <c:pt idx="696">
                  <c:v>9.3674231962147789E-2</c:v>
                </c:pt>
                <c:pt idx="697">
                  <c:v>9.2095371695368994E-2</c:v>
                </c:pt>
                <c:pt idx="698">
                  <c:v>9.1931983975341913E-2</c:v>
                </c:pt>
                <c:pt idx="699">
                  <c:v>9.0507044562581587E-2</c:v>
                </c:pt>
                <c:pt idx="700">
                  <c:v>8.9686089083663309E-2</c:v>
                </c:pt>
                <c:pt idx="701">
                  <c:v>8.9166779137144422E-2</c:v>
                </c:pt>
                <c:pt idx="702">
                  <c:v>8.816311807458467E-2</c:v>
                </c:pt>
                <c:pt idx="703">
                  <c:v>8.6337361880364061E-2</c:v>
                </c:pt>
                <c:pt idx="704">
                  <c:v>8.5572354230869924E-2</c:v>
                </c:pt>
                <c:pt idx="705">
                  <c:v>8.4574153744144356E-2</c:v>
                </c:pt>
                <c:pt idx="706">
                  <c:v>8.3709952000276033E-2</c:v>
                </c:pt>
                <c:pt idx="707">
                  <c:v>7.4160120839490626E-2</c:v>
                </c:pt>
                <c:pt idx="708">
                  <c:v>7.4964326800452244E-2</c:v>
                </c:pt>
                <c:pt idx="709">
                  <c:v>7.4105894438924069E-2</c:v>
                </c:pt>
                <c:pt idx="710">
                  <c:v>7.2159683465823368E-2</c:v>
                </c:pt>
                <c:pt idx="711">
                  <c:v>7.1528249397199761E-2</c:v>
                </c:pt>
                <c:pt idx="712">
                  <c:v>0.12880956481556216</c:v>
                </c:pt>
                <c:pt idx="713">
                  <c:v>0.12880956481556216</c:v>
                </c:pt>
                <c:pt idx="714">
                  <c:v>0.12880956481556216</c:v>
                </c:pt>
                <c:pt idx="715">
                  <c:v>0.12880956481556216</c:v>
                </c:pt>
                <c:pt idx="716">
                  <c:v>0.12880956481556216</c:v>
                </c:pt>
                <c:pt idx="717">
                  <c:v>0.12880956481556216</c:v>
                </c:pt>
                <c:pt idx="718">
                  <c:v>0.12880956481556216</c:v>
                </c:pt>
                <c:pt idx="719">
                  <c:v>0.12880956481556216</c:v>
                </c:pt>
                <c:pt idx="720">
                  <c:v>0.12880956481556216</c:v>
                </c:pt>
                <c:pt idx="721">
                  <c:v>0.12880956481556216</c:v>
                </c:pt>
                <c:pt idx="722">
                  <c:v>0.12880956481556216</c:v>
                </c:pt>
                <c:pt idx="723">
                  <c:v>0.16308158091580044</c:v>
                </c:pt>
                <c:pt idx="724">
                  <c:v>0.17312002649235472</c:v>
                </c:pt>
                <c:pt idx="725">
                  <c:v>0.17884052615349436</c:v>
                </c:pt>
                <c:pt idx="726">
                  <c:v>0.18574634679481425</c:v>
                </c:pt>
                <c:pt idx="727">
                  <c:v>0.18508723068237581</c:v>
                </c:pt>
                <c:pt idx="728">
                  <c:v>0.18194596875454694</c:v>
                </c:pt>
                <c:pt idx="729">
                  <c:v>0.17291924852484328</c:v>
                </c:pt>
                <c:pt idx="730">
                  <c:v>0.17142802640728949</c:v>
                </c:pt>
                <c:pt idx="731">
                  <c:v>0.19479668446825632</c:v>
                </c:pt>
                <c:pt idx="732">
                  <c:v>0.19351216899316018</c:v>
                </c:pt>
                <c:pt idx="733">
                  <c:v>0.19311571866274282</c:v>
                </c:pt>
                <c:pt idx="734">
                  <c:v>0.19106685189693484</c:v>
                </c:pt>
                <c:pt idx="735">
                  <c:v>0.22901406100002117</c:v>
                </c:pt>
                <c:pt idx="736">
                  <c:v>0.25593570539255656</c:v>
                </c:pt>
                <c:pt idx="737">
                  <c:v>0.27328782411673841</c:v>
                </c:pt>
                <c:pt idx="738">
                  <c:v>0.19706603030737616</c:v>
                </c:pt>
                <c:pt idx="739">
                  <c:v>0.20607481570957265</c:v>
                </c:pt>
                <c:pt idx="740">
                  <c:v>0.20785988525781074</c:v>
                </c:pt>
                <c:pt idx="741">
                  <c:v>0.2186699178399443</c:v>
                </c:pt>
                <c:pt idx="742">
                  <c:v>0.17181311416662867</c:v>
                </c:pt>
                <c:pt idx="743">
                  <c:v>0.18133659580720229</c:v>
                </c:pt>
                <c:pt idx="744">
                  <c:v>0.18320802167776629</c:v>
                </c:pt>
                <c:pt idx="745">
                  <c:v>0.18316327423417753</c:v>
                </c:pt>
                <c:pt idx="746">
                  <c:v>0.18316327423417753</c:v>
                </c:pt>
                <c:pt idx="747">
                  <c:v>0.18316327423417753</c:v>
                </c:pt>
                <c:pt idx="748">
                  <c:v>0.18316327423417753</c:v>
                </c:pt>
                <c:pt idx="749">
                  <c:v>0.18316327423417753</c:v>
                </c:pt>
                <c:pt idx="750">
                  <c:v>0.18316327423417753</c:v>
                </c:pt>
                <c:pt idx="751">
                  <c:v>0.18316327423417753</c:v>
                </c:pt>
                <c:pt idx="752">
                  <c:v>0.18316327423417753</c:v>
                </c:pt>
                <c:pt idx="753">
                  <c:v>0.18316327423417753</c:v>
                </c:pt>
                <c:pt idx="754">
                  <c:v>0.18316327423417753</c:v>
                </c:pt>
                <c:pt idx="755">
                  <c:v>0.17499473210470967</c:v>
                </c:pt>
                <c:pt idx="756">
                  <c:v>0.16971462315465458</c:v>
                </c:pt>
                <c:pt idx="757">
                  <c:v>0.10164759260006355</c:v>
                </c:pt>
                <c:pt idx="758">
                  <c:v>0.1020487108298864</c:v>
                </c:pt>
                <c:pt idx="759">
                  <c:v>0.10240345739443256</c:v>
                </c:pt>
                <c:pt idx="760">
                  <c:v>0.10272273642771755</c:v>
                </c:pt>
                <c:pt idx="761">
                  <c:v>0.10093551446620309</c:v>
                </c:pt>
                <c:pt idx="762">
                  <c:v>8.8475921080245282E-2</c:v>
                </c:pt>
                <c:pt idx="763">
                  <c:v>8.8560828394818117E-2</c:v>
                </c:pt>
                <c:pt idx="764">
                  <c:v>8.8659782023717451E-2</c:v>
                </c:pt>
                <c:pt idx="765">
                  <c:v>8.6690974182367944E-2</c:v>
                </c:pt>
                <c:pt idx="766">
                  <c:v>8.4842804076395259E-2</c:v>
                </c:pt>
                <c:pt idx="767">
                  <c:v>8.311527170579934E-2</c:v>
                </c:pt>
                <c:pt idx="768">
                  <c:v>8.1508377070580285E-2</c:v>
                </c:pt>
                <c:pt idx="769">
                  <c:v>8.0022120170738009E-2</c:v>
                </c:pt>
                <c:pt idx="770">
                  <c:v>7.8656501006272514E-2</c:v>
                </c:pt>
                <c:pt idx="771">
                  <c:v>7.7411519577183882E-2</c:v>
                </c:pt>
                <c:pt idx="772">
                  <c:v>7.6287175883472003E-2</c:v>
                </c:pt>
                <c:pt idx="773">
                  <c:v>0.13895193275295278</c:v>
                </c:pt>
                <c:pt idx="774">
                  <c:v>0.13895193275295278</c:v>
                </c:pt>
                <c:pt idx="775">
                  <c:v>0.13895193275295278</c:v>
                </c:pt>
                <c:pt idx="776">
                  <c:v>0.13895193275295278</c:v>
                </c:pt>
                <c:pt idx="777">
                  <c:v>0.13895193275295278</c:v>
                </c:pt>
                <c:pt idx="778">
                  <c:v>0.13895193275295278</c:v>
                </c:pt>
                <c:pt idx="779">
                  <c:v>0.13895193275295278</c:v>
                </c:pt>
                <c:pt idx="780">
                  <c:v>0.13895193275295278</c:v>
                </c:pt>
                <c:pt idx="781">
                  <c:v>0.13895193275295278</c:v>
                </c:pt>
                <c:pt idx="782">
                  <c:v>0.13895193275295278</c:v>
                </c:pt>
                <c:pt idx="783">
                  <c:v>0.18108946883499499</c:v>
                </c:pt>
                <c:pt idx="784">
                  <c:v>0.18826281245864274</c:v>
                </c:pt>
                <c:pt idx="785">
                  <c:v>0.18777333935676033</c:v>
                </c:pt>
                <c:pt idx="786">
                  <c:v>0.18492144754695411</c:v>
                </c:pt>
                <c:pt idx="787">
                  <c:v>0.17591058075280794</c:v>
                </c:pt>
                <c:pt idx="788">
                  <c:v>0.24249887747646476</c:v>
                </c:pt>
                <c:pt idx="789">
                  <c:v>0.24517967530367712</c:v>
                </c:pt>
                <c:pt idx="790">
                  <c:v>0.24487039044578615</c:v>
                </c:pt>
                <c:pt idx="791">
                  <c:v>0.16018491594941359</c:v>
                </c:pt>
                <c:pt idx="792">
                  <c:v>0.16122100604749934</c:v>
                </c:pt>
                <c:pt idx="793">
                  <c:v>0.16349431578512491</c:v>
                </c:pt>
                <c:pt idx="794">
                  <c:v>0.16530771341568939</c:v>
                </c:pt>
                <c:pt idx="795">
                  <c:v>0.16801845391825254</c:v>
                </c:pt>
                <c:pt idx="796">
                  <c:v>0.14045566714504246</c:v>
                </c:pt>
                <c:pt idx="797">
                  <c:v>0.1587161382942798</c:v>
                </c:pt>
                <c:pt idx="798">
                  <c:v>0.15370572833889479</c:v>
                </c:pt>
                <c:pt idx="799">
                  <c:v>0.15868367151395393</c:v>
                </c:pt>
                <c:pt idx="800">
                  <c:v>0.15234666797413485</c:v>
                </c:pt>
                <c:pt idx="801">
                  <c:v>0.15556754045246357</c:v>
                </c:pt>
                <c:pt idx="802">
                  <c:v>0.15145768682776359</c:v>
                </c:pt>
                <c:pt idx="803">
                  <c:v>0.15145768682776359</c:v>
                </c:pt>
                <c:pt idx="804">
                  <c:v>0.17218416487179067</c:v>
                </c:pt>
                <c:pt idx="805">
                  <c:v>0.18316327423417753</c:v>
                </c:pt>
                <c:pt idx="806">
                  <c:v>0.18316327423417753</c:v>
                </c:pt>
                <c:pt idx="807">
                  <c:v>0.18316327423417753</c:v>
                </c:pt>
                <c:pt idx="808">
                  <c:v>0.18316327423417753</c:v>
                </c:pt>
                <c:pt idx="809">
                  <c:v>0.18316327423417753</c:v>
                </c:pt>
                <c:pt idx="810">
                  <c:v>0.18316327423417753</c:v>
                </c:pt>
                <c:pt idx="811">
                  <c:v>0.18316327423417753</c:v>
                </c:pt>
                <c:pt idx="812">
                  <c:v>0.18316327423417753</c:v>
                </c:pt>
                <c:pt idx="813">
                  <c:v>0.18316327423417753</c:v>
                </c:pt>
                <c:pt idx="814">
                  <c:v>0.18316327423417753</c:v>
                </c:pt>
                <c:pt idx="815">
                  <c:v>0.18316327423417753</c:v>
                </c:pt>
                <c:pt idx="816">
                  <c:v>0.18316327423417753</c:v>
                </c:pt>
                <c:pt idx="817">
                  <c:v>0.18316327423417753</c:v>
                </c:pt>
                <c:pt idx="818">
                  <c:v>0.18316327423417753</c:v>
                </c:pt>
                <c:pt idx="819">
                  <c:v>0.18316327423417753</c:v>
                </c:pt>
                <c:pt idx="820">
                  <c:v>0.18316327423417753</c:v>
                </c:pt>
                <c:pt idx="821">
                  <c:v>0.18490638697739159</c:v>
                </c:pt>
                <c:pt idx="822">
                  <c:v>0.17219615469602018</c:v>
                </c:pt>
                <c:pt idx="823">
                  <c:v>0.10449499670012637</c:v>
                </c:pt>
                <c:pt idx="824">
                  <c:v>9.8526048480324785E-2</c:v>
                </c:pt>
                <c:pt idx="825">
                  <c:v>9.9019752738686226E-2</c:v>
                </c:pt>
                <c:pt idx="826">
                  <c:v>9.3888143999444576E-2</c:v>
                </c:pt>
                <c:pt idx="827">
                  <c:v>9.3674231962147789E-2</c:v>
                </c:pt>
                <c:pt idx="828">
                  <c:v>9.2095371695368994E-2</c:v>
                </c:pt>
                <c:pt idx="829">
                  <c:v>9.1931983975341913E-2</c:v>
                </c:pt>
                <c:pt idx="830">
                  <c:v>9.0507044562581587E-2</c:v>
                </c:pt>
                <c:pt idx="831">
                  <c:v>8.9686089083663309E-2</c:v>
                </c:pt>
                <c:pt idx="832">
                  <c:v>8.9166779137144422E-2</c:v>
                </c:pt>
                <c:pt idx="833">
                  <c:v>8.816311807458467E-2</c:v>
                </c:pt>
                <c:pt idx="834">
                  <c:v>8.6337361880364061E-2</c:v>
                </c:pt>
                <c:pt idx="835">
                  <c:v>8.5257420312585555E-2</c:v>
                </c:pt>
                <c:pt idx="836">
                  <c:v>8.4257489485721773E-2</c:v>
                </c:pt>
                <c:pt idx="837">
                  <c:v>4.0053377315782769E-2</c:v>
                </c:pt>
                <c:pt idx="838">
                  <c:v>4.0053377315782769E-2</c:v>
                </c:pt>
                <c:pt idx="839">
                  <c:v>4.0053377315782769E-2</c:v>
                </c:pt>
                <c:pt idx="840">
                  <c:v>4.0053377315782769E-2</c:v>
                </c:pt>
                <c:pt idx="841">
                  <c:v>4.0053377315782769E-2</c:v>
                </c:pt>
                <c:pt idx="842">
                  <c:v>4.0053377315782769E-2</c:v>
                </c:pt>
                <c:pt idx="843">
                  <c:v>4.0053377315782769E-2</c:v>
                </c:pt>
                <c:pt idx="844">
                  <c:v>4.0053377315782769E-2</c:v>
                </c:pt>
                <c:pt idx="845">
                  <c:v>4.0053377315782769E-2</c:v>
                </c:pt>
                <c:pt idx="846">
                  <c:v>4.0053377315782769E-2</c:v>
                </c:pt>
                <c:pt idx="847">
                  <c:v>4.0053377315782769E-2</c:v>
                </c:pt>
                <c:pt idx="848">
                  <c:v>4.0053377315782769E-2</c:v>
                </c:pt>
                <c:pt idx="849">
                  <c:v>4.0053377315782769E-2</c:v>
                </c:pt>
                <c:pt idx="850">
                  <c:v>4.0053377315782769E-2</c:v>
                </c:pt>
                <c:pt idx="851">
                  <c:v>4.0053377315782769E-2</c:v>
                </c:pt>
                <c:pt idx="852">
                  <c:v>4.0053377315782769E-2</c:v>
                </c:pt>
                <c:pt idx="853">
                  <c:v>4.0053377315782769E-2</c:v>
                </c:pt>
                <c:pt idx="854">
                  <c:v>4.0053377315782769E-2</c:v>
                </c:pt>
                <c:pt idx="855">
                  <c:v>4.0053377315782769E-2</c:v>
                </c:pt>
                <c:pt idx="856">
                  <c:v>4.0053377315782769E-2</c:v>
                </c:pt>
                <c:pt idx="857">
                  <c:v>4.0053377315782769E-2</c:v>
                </c:pt>
                <c:pt idx="858">
                  <c:v>9.1797017754404561E-2</c:v>
                </c:pt>
                <c:pt idx="859">
                  <c:v>9.1827428664385244E-2</c:v>
                </c:pt>
                <c:pt idx="860">
                  <c:v>9.2902323054924046E-2</c:v>
                </c:pt>
                <c:pt idx="861">
                  <c:v>9.3029609364978963E-2</c:v>
                </c:pt>
                <c:pt idx="862">
                  <c:v>9.2406176243606059E-2</c:v>
                </c:pt>
                <c:pt idx="863">
                  <c:v>9.2224583235538046E-2</c:v>
                </c:pt>
                <c:pt idx="864">
                  <c:v>9.2599076847785289E-2</c:v>
                </c:pt>
                <c:pt idx="865">
                  <c:v>9.1656814862604991E-2</c:v>
                </c:pt>
                <c:pt idx="866">
                  <c:v>9.2080659420944219E-2</c:v>
                </c:pt>
                <c:pt idx="867">
                  <c:v>9.1124892277720457E-2</c:v>
                </c:pt>
                <c:pt idx="868">
                  <c:v>9.4864574141962255E-2</c:v>
                </c:pt>
                <c:pt idx="869">
                  <c:v>9.3150975309444564E-2</c:v>
                </c:pt>
                <c:pt idx="870">
                  <c:v>9.7477235516164301E-2</c:v>
                </c:pt>
                <c:pt idx="871">
                  <c:v>4.9835605566998037E-2</c:v>
                </c:pt>
                <c:pt idx="872">
                  <c:v>5.2257045023714706E-2</c:v>
                </c:pt>
                <c:pt idx="873">
                  <c:v>5.2249120464071812E-2</c:v>
                </c:pt>
                <c:pt idx="874">
                  <c:v>5.2159625576894311E-2</c:v>
                </c:pt>
                <c:pt idx="875">
                  <c:v>5.2159625576894311E-2</c:v>
                </c:pt>
                <c:pt idx="876">
                  <c:v>5.2159625576894311E-2</c:v>
                </c:pt>
                <c:pt idx="877">
                  <c:v>5.2159625576894311E-2</c:v>
                </c:pt>
                <c:pt idx="878">
                  <c:v>5.2159625576894311E-2</c:v>
                </c:pt>
                <c:pt idx="879">
                  <c:v>5.2159625576894311E-2</c:v>
                </c:pt>
                <c:pt idx="880">
                  <c:v>5.2159625576894311E-2</c:v>
                </c:pt>
                <c:pt idx="881">
                  <c:v>5.2159625576894311E-2</c:v>
                </c:pt>
                <c:pt idx="882">
                  <c:v>5.2159625576894311E-2</c:v>
                </c:pt>
                <c:pt idx="883">
                  <c:v>5.2159625576894311E-2</c:v>
                </c:pt>
                <c:pt idx="884">
                  <c:v>5.2159625576894311E-2</c:v>
                </c:pt>
                <c:pt idx="885">
                  <c:v>5.2159625576894311E-2</c:v>
                </c:pt>
                <c:pt idx="886">
                  <c:v>5.2159625576894311E-2</c:v>
                </c:pt>
                <c:pt idx="887">
                  <c:v>5.2159625576894311E-2</c:v>
                </c:pt>
                <c:pt idx="888">
                  <c:v>5.2159625576894311E-2</c:v>
                </c:pt>
                <c:pt idx="889">
                  <c:v>5.2159625576894311E-2</c:v>
                </c:pt>
                <c:pt idx="890">
                  <c:v>5.2159625576894311E-2</c:v>
                </c:pt>
                <c:pt idx="891">
                  <c:v>5.2159625576894311E-2</c:v>
                </c:pt>
                <c:pt idx="892">
                  <c:v>5.2159625576894311E-2</c:v>
                </c:pt>
                <c:pt idx="893">
                  <c:v>5.2159625576894311E-2</c:v>
                </c:pt>
                <c:pt idx="894">
                  <c:v>5.2159625576894311E-2</c:v>
                </c:pt>
                <c:pt idx="895">
                  <c:v>5.2159625576894311E-2</c:v>
                </c:pt>
                <c:pt idx="896">
                  <c:v>5.2159625576894311E-2</c:v>
                </c:pt>
                <c:pt idx="897">
                  <c:v>5.2159625576894311E-2</c:v>
                </c:pt>
                <c:pt idx="898">
                  <c:v>5.2159625576894311E-2</c:v>
                </c:pt>
                <c:pt idx="899">
                  <c:v>5.2159625576894311E-2</c:v>
                </c:pt>
                <c:pt idx="900">
                  <c:v>5.2159625576894311E-2</c:v>
                </c:pt>
                <c:pt idx="901">
                  <c:v>5.2159625576894311E-2</c:v>
                </c:pt>
                <c:pt idx="902">
                  <c:v>5.2159625576894311E-2</c:v>
                </c:pt>
                <c:pt idx="903">
                  <c:v>5.2159625576894311E-2</c:v>
                </c:pt>
                <c:pt idx="904">
                  <c:v>5.2159625576894311E-2</c:v>
                </c:pt>
                <c:pt idx="905">
                  <c:v>5.2159625576894311E-2</c:v>
                </c:pt>
                <c:pt idx="906">
                  <c:v>5.2159625576894311E-2</c:v>
                </c:pt>
                <c:pt idx="907">
                  <c:v>5.2159625576894311E-2</c:v>
                </c:pt>
                <c:pt idx="908">
                  <c:v>5.2159625576894311E-2</c:v>
                </c:pt>
                <c:pt idx="909">
                  <c:v>5.2159625576894311E-2</c:v>
                </c:pt>
                <c:pt idx="910">
                  <c:v>5.2159625576894311E-2</c:v>
                </c:pt>
                <c:pt idx="911">
                  <c:v>5.2159625576894311E-2</c:v>
                </c:pt>
                <c:pt idx="912">
                  <c:v>5.2159625576894311E-2</c:v>
                </c:pt>
                <c:pt idx="913">
                  <c:v>5.2159625576894311E-2</c:v>
                </c:pt>
                <c:pt idx="914">
                  <c:v>5.2159625576894311E-2</c:v>
                </c:pt>
                <c:pt idx="915">
                  <c:v>5.2159625576894311E-2</c:v>
                </c:pt>
                <c:pt idx="916">
                  <c:v>5.2159625576894311E-2</c:v>
                </c:pt>
                <c:pt idx="917">
                  <c:v>5.2159625576894311E-2</c:v>
                </c:pt>
                <c:pt idx="918">
                  <c:v>5.2159625576894311E-2</c:v>
                </c:pt>
                <c:pt idx="919">
                  <c:v>5.2159625576894311E-2</c:v>
                </c:pt>
                <c:pt idx="920">
                  <c:v>5.2159625576894311E-2</c:v>
                </c:pt>
                <c:pt idx="921">
                  <c:v>5.2159625576894311E-2</c:v>
                </c:pt>
                <c:pt idx="922">
                  <c:v>5.2159625576894311E-2</c:v>
                </c:pt>
                <c:pt idx="923">
                  <c:v>5.2159625576894311E-2</c:v>
                </c:pt>
                <c:pt idx="924">
                  <c:v>5.2159625576894311E-2</c:v>
                </c:pt>
                <c:pt idx="925">
                  <c:v>5.2159625576894311E-2</c:v>
                </c:pt>
                <c:pt idx="926">
                  <c:v>5.2159625576894311E-2</c:v>
                </c:pt>
                <c:pt idx="927">
                  <c:v>5.2159625576894311E-2</c:v>
                </c:pt>
                <c:pt idx="928">
                  <c:v>5.2159625576894311E-2</c:v>
                </c:pt>
                <c:pt idx="929">
                  <c:v>5.2159625576894311E-2</c:v>
                </c:pt>
                <c:pt idx="930">
                  <c:v>5.2159625576894311E-2</c:v>
                </c:pt>
                <c:pt idx="931">
                  <c:v>5.2159625576894311E-2</c:v>
                </c:pt>
                <c:pt idx="932">
                  <c:v>5.2159625576894311E-2</c:v>
                </c:pt>
                <c:pt idx="933">
                  <c:v>5.2159625576894311E-2</c:v>
                </c:pt>
                <c:pt idx="934">
                  <c:v>5.2159625576894311E-2</c:v>
                </c:pt>
                <c:pt idx="935">
                  <c:v>5.468745579919615E-2</c:v>
                </c:pt>
                <c:pt idx="936">
                  <c:v>5.7179831130361174E-2</c:v>
                </c:pt>
                <c:pt idx="937">
                  <c:v>5.9785909715685183E-2</c:v>
                </c:pt>
                <c:pt idx="938">
                  <c:v>6.2505691555168191E-2</c:v>
                </c:pt>
                <c:pt idx="939">
                  <c:v>6.5339176648810171E-2</c:v>
                </c:pt>
                <c:pt idx="940">
                  <c:v>6.8286364996611171E-2</c:v>
                </c:pt>
                <c:pt idx="941">
                  <c:v>6.9407582359718584E-2</c:v>
                </c:pt>
                <c:pt idx="942">
                  <c:v>6.9347919101600264E-2</c:v>
                </c:pt>
                <c:pt idx="943">
                  <c:v>6.9347919101600264E-2</c:v>
                </c:pt>
                <c:pt idx="944">
                  <c:v>6.9347919101600264E-2</c:v>
                </c:pt>
                <c:pt idx="945">
                  <c:v>6.9347919101600264E-2</c:v>
                </c:pt>
                <c:pt idx="946">
                  <c:v>6.9347919101600264E-2</c:v>
                </c:pt>
                <c:pt idx="947">
                  <c:v>6.9347919101600264E-2</c:v>
                </c:pt>
                <c:pt idx="948">
                  <c:v>6.9347919101600264E-2</c:v>
                </c:pt>
                <c:pt idx="949">
                  <c:v>6.9347919101600264E-2</c:v>
                </c:pt>
                <c:pt idx="950">
                  <c:v>6.9347919101600264E-2</c:v>
                </c:pt>
                <c:pt idx="951">
                  <c:v>6.9347919101600264E-2</c:v>
                </c:pt>
                <c:pt idx="952">
                  <c:v>6.9347919101600264E-2</c:v>
                </c:pt>
                <c:pt idx="953">
                  <c:v>6.9347919101600264E-2</c:v>
                </c:pt>
                <c:pt idx="954">
                  <c:v>6.9347919101600264E-2</c:v>
                </c:pt>
                <c:pt idx="955">
                  <c:v>6.9347919101600264E-2</c:v>
                </c:pt>
                <c:pt idx="956">
                  <c:v>6.9347919101600264E-2</c:v>
                </c:pt>
                <c:pt idx="957">
                  <c:v>6.9347919101600264E-2</c:v>
                </c:pt>
                <c:pt idx="958">
                  <c:v>6.9347919101600264E-2</c:v>
                </c:pt>
                <c:pt idx="959">
                  <c:v>6.9347919101600264E-2</c:v>
                </c:pt>
                <c:pt idx="960">
                  <c:v>6.9347919101600264E-2</c:v>
                </c:pt>
                <c:pt idx="961">
                  <c:v>6.9347919101600264E-2</c:v>
                </c:pt>
                <c:pt idx="962">
                  <c:v>6.9347919101600264E-2</c:v>
                </c:pt>
                <c:pt idx="963">
                  <c:v>6.9347919101600264E-2</c:v>
                </c:pt>
                <c:pt idx="964">
                  <c:v>6.9347919101600264E-2</c:v>
                </c:pt>
                <c:pt idx="965">
                  <c:v>6.9347919101600264E-2</c:v>
                </c:pt>
                <c:pt idx="966">
                  <c:v>6.9347919101600264E-2</c:v>
                </c:pt>
                <c:pt idx="967">
                  <c:v>6.9347919101600264E-2</c:v>
                </c:pt>
                <c:pt idx="968">
                  <c:v>6.9347919101600264E-2</c:v>
                </c:pt>
                <c:pt idx="969">
                  <c:v>6.9347919101600264E-2</c:v>
                </c:pt>
                <c:pt idx="970">
                  <c:v>6.5057442679811756E-2</c:v>
                </c:pt>
                <c:pt idx="971">
                  <c:v>6.1385077489460635E-2</c:v>
                </c:pt>
                <c:pt idx="972">
                  <c:v>5.6469981398695981E-2</c:v>
                </c:pt>
                <c:pt idx="973">
                  <c:v>6.2108158265949731E-2</c:v>
                </c:pt>
                <c:pt idx="974">
                  <c:v>6.7704446942928001E-2</c:v>
                </c:pt>
                <c:pt idx="975">
                  <c:v>7.3234313128095863E-2</c:v>
                </c:pt>
                <c:pt idx="976">
                  <c:v>7.755120427471357E-2</c:v>
                </c:pt>
                <c:pt idx="977">
                  <c:v>8.1751273241704545E-2</c:v>
                </c:pt>
                <c:pt idx="978">
                  <c:v>7.6682323677038144E-2</c:v>
                </c:pt>
                <c:pt idx="979">
                  <c:v>8.0851821331556745E-2</c:v>
                </c:pt>
                <c:pt idx="980">
                  <c:v>4.2756604321815779E-2</c:v>
                </c:pt>
                <c:pt idx="981">
                  <c:v>4.2756604321815779E-2</c:v>
                </c:pt>
                <c:pt idx="982">
                  <c:v>4.2756604321815779E-2</c:v>
                </c:pt>
                <c:pt idx="983">
                  <c:v>4.2756604321815779E-2</c:v>
                </c:pt>
                <c:pt idx="984">
                  <c:v>4.2756604321815779E-2</c:v>
                </c:pt>
                <c:pt idx="985">
                  <c:v>4.2756604321815779E-2</c:v>
                </c:pt>
                <c:pt idx="986">
                  <c:v>4.2756604321815779E-2</c:v>
                </c:pt>
                <c:pt idx="987">
                  <c:v>4.2756604321815779E-2</c:v>
                </c:pt>
                <c:pt idx="988">
                  <c:v>4.2756604321815779E-2</c:v>
                </c:pt>
                <c:pt idx="989">
                  <c:v>4.2756604321815779E-2</c:v>
                </c:pt>
                <c:pt idx="990">
                  <c:v>4.2756604321815779E-2</c:v>
                </c:pt>
                <c:pt idx="991">
                  <c:v>4.2756604321815779E-2</c:v>
                </c:pt>
                <c:pt idx="992">
                  <c:v>0.14754576399387584</c:v>
                </c:pt>
                <c:pt idx="993">
                  <c:v>0.15504856660151534</c:v>
                </c:pt>
                <c:pt idx="994">
                  <c:v>0.15373379963487591</c:v>
                </c:pt>
                <c:pt idx="995">
                  <c:v>0.15887289994398934</c:v>
                </c:pt>
                <c:pt idx="996">
                  <c:v>0.15871177735001407</c:v>
                </c:pt>
                <c:pt idx="997">
                  <c:v>0.15826719477181361</c:v>
                </c:pt>
                <c:pt idx="998">
                  <c:v>0.15832935287777483</c:v>
                </c:pt>
                <c:pt idx="999">
                  <c:v>0.16564589480666991</c:v>
                </c:pt>
                <c:pt idx="1000">
                  <c:v>0.17214145599513134</c:v>
                </c:pt>
                <c:pt idx="1001">
                  <c:v>5.147363686256419E-2</c:v>
                </c:pt>
                <c:pt idx="1002">
                  <c:v>5.5408337972735984E-2</c:v>
                </c:pt>
                <c:pt idx="1003">
                  <c:v>5.9434019220044286E-2</c:v>
                </c:pt>
                <c:pt idx="1004">
                  <c:v>6.3438064222198789E-2</c:v>
                </c:pt>
                <c:pt idx="1005">
                  <c:v>6.6935850579772735E-2</c:v>
                </c:pt>
                <c:pt idx="1006">
                  <c:v>7.2095559620127772E-2</c:v>
                </c:pt>
                <c:pt idx="1007">
                  <c:v>7.7164311867137472E-2</c:v>
                </c:pt>
                <c:pt idx="1008">
                  <c:v>8.2117573019266935E-2</c:v>
                </c:pt>
                <c:pt idx="1009">
                  <c:v>8.5173975194372115E-2</c:v>
                </c:pt>
                <c:pt idx="1010">
                  <c:v>8.8613538482425702E-2</c:v>
                </c:pt>
                <c:pt idx="1011">
                  <c:v>8.2115865012625577E-2</c:v>
                </c:pt>
                <c:pt idx="1012">
                  <c:v>8.5605324510677011E-2</c:v>
                </c:pt>
                <c:pt idx="1013">
                  <c:v>8.1082461339785708E-2</c:v>
                </c:pt>
                <c:pt idx="1014">
                  <c:v>3.8279077864937484E-2</c:v>
                </c:pt>
                <c:pt idx="1015">
                  <c:v>3.8279077864937484E-2</c:v>
                </c:pt>
                <c:pt idx="1016">
                  <c:v>3.8279077864937484E-2</c:v>
                </c:pt>
                <c:pt idx="1017">
                  <c:v>3.8279077864937484E-2</c:v>
                </c:pt>
                <c:pt idx="1018">
                  <c:v>3.8279077864937484E-2</c:v>
                </c:pt>
                <c:pt idx="1019">
                  <c:v>3.8279077864937484E-2</c:v>
                </c:pt>
                <c:pt idx="1020">
                  <c:v>0.13610351856886085</c:v>
                </c:pt>
                <c:pt idx="1021">
                  <c:v>0.14160993144955891</c:v>
                </c:pt>
                <c:pt idx="1022">
                  <c:v>0.14813335080280046</c:v>
                </c:pt>
                <c:pt idx="1023">
                  <c:v>0.14623839879996475</c:v>
                </c:pt>
                <c:pt idx="1024">
                  <c:v>0.15050231289564178</c:v>
                </c:pt>
                <c:pt idx="1025">
                  <c:v>0.14976224402233554</c:v>
                </c:pt>
                <c:pt idx="1026">
                  <c:v>0.14916885028152368</c:v>
                </c:pt>
                <c:pt idx="1027">
                  <c:v>0.14870641219448572</c:v>
                </c:pt>
                <c:pt idx="1028">
                  <c:v>5.0638774216765596E-2</c:v>
                </c:pt>
                <c:pt idx="1029">
                  <c:v>5.36341560328761E-2</c:v>
                </c:pt>
                <c:pt idx="1030">
                  <c:v>5.7000056023455412E-2</c:v>
                </c:pt>
                <c:pt idx="1031">
                  <c:v>6.0934757133627206E-2</c:v>
                </c:pt>
                <c:pt idx="1032">
                  <c:v>6.5125290565656732E-2</c:v>
                </c:pt>
                <c:pt idx="1033">
                  <c:v>6.9571656319543956E-2</c:v>
                </c:pt>
                <c:pt idx="1034">
                  <c:v>6.9347919101600264E-2</c:v>
                </c:pt>
                <c:pt idx="1035">
                  <c:v>6.9347919101600264E-2</c:v>
                </c:pt>
                <c:pt idx="1036">
                  <c:v>6.9347919101600264E-2</c:v>
                </c:pt>
                <c:pt idx="1037">
                  <c:v>6.5057442679811756E-2</c:v>
                </c:pt>
                <c:pt idx="1038">
                  <c:v>6.1385077489460635E-2</c:v>
                </c:pt>
                <c:pt idx="1039">
                  <c:v>5.7636149127403814E-2</c:v>
                </c:pt>
                <c:pt idx="1040">
                  <c:v>6.2108158265949731E-2</c:v>
                </c:pt>
                <c:pt idx="1041">
                  <c:v>6.7704446942928001E-2</c:v>
                </c:pt>
                <c:pt idx="1042">
                  <c:v>7.3234313128095863E-2</c:v>
                </c:pt>
                <c:pt idx="1043">
                  <c:v>7.7083271141742571E-2</c:v>
                </c:pt>
                <c:pt idx="1044">
                  <c:v>8.127627685407067E-2</c:v>
                </c:pt>
                <c:pt idx="1045">
                  <c:v>7.6251215756478891E-2</c:v>
                </c:pt>
                <c:pt idx="1046">
                  <c:v>8.0410060436674771E-2</c:v>
                </c:pt>
                <c:pt idx="1047">
                  <c:v>8.3783680831151189E-2</c:v>
                </c:pt>
                <c:pt idx="1048">
                  <c:v>8.5544232469136325E-2</c:v>
                </c:pt>
                <c:pt idx="1049">
                  <c:v>6.8173404947535307E-2</c:v>
                </c:pt>
                <c:pt idx="1050">
                  <c:v>0</c:v>
                </c:pt>
                <c:pt idx="1051">
                  <c:v>3.1144626671722027E-2</c:v>
                </c:pt>
                <c:pt idx="1052">
                  <c:v>3.1144626671722027E-2</c:v>
                </c:pt>
                <c:pt idx="1053">
                  <c:v>3.1144626671722027E-2</c:v>
                </c:pt>
                <c:pt idx="1054">
                  <c:v>3.1144626671722027E-2</c:v>
                </c:pt>
                <c:pt idx="1055">
                  <c:v>3.1144626671722027E-2</c:v>
                </c:pt>
                <c:pt idx="1056">
                  <c:v>3.1144626671722027E-2</c:v>
                </c:pt>
                <c:pt idx="1057">
                  <c:v>3.1144626671722027E-2</c:v>
                </c:pt>
                <c:pt idx="1058">
                  <c:v>3.1144626671722027E-2</c:v>
                </c:pt>
                <c:pt idx="1059">
                  <c:v>0.10939378305849973</c:v>
                </c:pt>
                <c:pt idx="1060">
                  <c:v>0.12805985811705675</c:v>
                </c:pt>
                <c:pt idx="1061">
                  <c:v>0.14637602752028978</c:v>
                </c:pt>
                <c:pt idx="1062">
                  <c:v>0.15288115455099066</c:v>
                </c:pt>
                <c:pt idx="1063">
                  <c:v>0.16053629224431618</c:v>
                </c:pt>
                <c:pt idx="1064">
                  <c:v>0.15908662466238099</c:v>
                </c:pt>
                <c:pt idx="1065">
                  <c:v>5.0357565195454625E-2</c:v>
                </c:pt>
                <c:pt idx="1066">
                  <c:v>5.2425199288833338E-2</c:v>
                </c:pt>
                <c:pt idx="1067">
                  <c:v>5.4591529996989643E-2</c:v>
                </c:pt>
                <c:pt idx="1068">
                  <c:v>5.6828642736843807E-2</c:v>
                </c:pt>
                <c:pt idx="1069">
                  <c:v>6.076411746955318E-2</c:v>
                </c:pt>
                <c:pt idx="1070">
                  <c:v>6.4658934261164952E-2</c:v>
                </c:pt>
                <c:pt idx="1071">
                  <c:v>6.8978941943847932E-2</c:v>
                </c:pt>
                <c:pt idx="1072">
                  <c:v>6.937775073065941E-2</c:v>
                </c:pt>
                <c:pt idx="1073">
                  <c:v>6.9347919101600264E-2</c:v>
                </c:pt>
                <c:pt idx="1074">
                  <c:v>6.9347919101600264E-2</c:v>
                </c:pt>
                <c:pt idx="1075">
                  <c:v>6.9347919101600264E-2</c:v>
                </c:pt>
                <c:pt idx="1076">
                  <c:v>6.9347919101600264E-2</c:v>
                </c:pt>
                <c:pt idx="1077">
                  <c:v>6.9347919101600264E-2</c:v>
                </c:pt>
                <c:pt idx="1078">
                  <c:v>6.9347919101600264E-2</c:v>
                </c:pt>
                <c:pt idx="1079">
                  <c:v>6.9347919101600264E-2</c:v>
                </c:pt>
                <c:pt idx="1080">
                  <c:v>6.9347919101600264E-2</c:v>
                </c:pt>
                <c:pt idx="1081">
                  <c:v>6.9347919101600264E-2</c:v>
                </c:pt>
                <c:pt idx="1082">
                  <c:v>6.9347919101600264E-2</c:v>
                </c:pt>
                <c:pt idx="1083">
                  <c:v>4.7560631685270728E-2</c:v>
                </c:pt>
                <c:pt idx="1084">
                  <c:v>5.2237644783321158E-2</c:v>
                </c:pt>
                <c:pt idx="1085">
                  <c:v>5.6469981398695981E-2</c:v>
                </c:pt>
                <c:pt idx="1086">
                  <c:v>6.2108158265949731E-2</c:v>
                </c:pt>
                <c:pt idx="1087">
                  <c:v>6.7704446942928001E-2</c:v>
                </c:pt>
                <c:pt idx="1088">
                  <c:v>7.3234313128095863E-2</c:v>
                </c:pt>
                <c:pt idx="1089">
                  <c:v>7.755120427471357E-2</c:v>
                </c:pt>
                <c:pt idx="1090">
                  <c:v>8.1751273241704545E-2</c:v>
                </c:pt>
                <c:pt idx="1091">
                  <c:v>7.6682323677038144E-2</c:v>
                </c:pt>
                <c:pt idx="1092">
                  <c:v>8.0851821331556745E-2</c:v>
                </c:pt>
                <c:pt idx="1093">
                  <c:v>3.1057572638333395E-2</c:v>
                </c:pt>
                <c:pt idx="1094">
                  <c:v>3.1057572638333395E-2</c:v>
                </c:pt>
                <c:pt idx="1095">
                  <c:v>3.1057572638333395E-2</c:v>
                </c:pt>
                <c:pt idx="1096">
                  <c:v>3.1057572638333395E-2</c:v>
                </c:pt>
                <c:pt idx="1097">
                  <c:v>3.1057572638333395E-2</c:v>
                </c:pt>
                <c:pt idx="1098">
                  <c:v>3.1057572638333395E-2</c:v>
                </c:pt>
                <c:pt idx="1099">
                  <c:v>3.1057572638333395E-2</c:v>
                </c:pt>
                <c:pt idx="1100">
                  <c:v>3.1057572638333395E-2</c:v>
                </c:pt>
                <c:pt idx="1101">
                  <c:v>3.1057572638333395E-2</c:v>
                </c:pt>
                <c:pt idx="1102">
                  <c:v>3.1057572638333395E-2</c:v>
                </c:pt>
                <c:pt idx="1103">
                  <c:v>3.1057572638333395E-2</c:v>
                </c:pt>
                <c:pt idx="1104">
                  <c:v>0.17082431118770053</c:v>
                </c:pt>
                <c:pt idx="1105">
                  <c:v>0.18203329000940777</c:v>
                </c:pt>
                <c:pt idx="1106">
                  <c:v>0.17822825756025759</c:v>
                </c:pt>
                <c:pt idx="1107">
                  <c:v>4.1736900640717833E-2</c:v>
                </c:pt>
                <c:pt idx="1108">
                  <c:v>4.5861076112358373E-2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8A-457D-BB3B-5E5D14693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7240"/>
        <c:axId val="1419071984"/>
      </c:scatterChart>
      <c:valAx>
        <c:axId val="1496565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62584"/>
        <c:crosses val="autoZero"/>
        <c:crossBetween val="midCat"/>
      </c:valAx>
      <c:valAx>
        <c:axId val="149656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565864"/>
        <c:crosses val="autoZero"/>
        <c:crossBetween val="midCat"/>
      </c:valAx>
      <c:valAx>
        <c:axId val="14190719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7240"/>
        <c:crosses val="max"/>
        <c:crossBetween val="midCat"/>
      </c:valAx>
      <c:valAx>
        <c:axId val="1419097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071984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Resistance Force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Cycle'!$P$3:$P$1111</c:f>
              <c:numCache>
                <c:formatCode>General</c:formatCode>
                <c:ptCount val="1109"/>
                <c:pt idx="0">
                  <c:v>0</c:v>
                </c:pt>
                <c:pt idx="1">
                  <c:v>73.241199000000009</c:v>
                </c:pt>
                <c:pt idx="2">
                  <c:v>75.910011300000008</c:v>
                </c:pt>
                <c:pt idx="3">
                  <c:v>80.358031800000006</c:v>
                </c:pt>
                <c:pt idx="4">
                  <c:v>86.585260500000004</c:v>
                </c:pt>
                <c:pt idx="5">
                  <c:v>94.591697400000015</c:v>
                </c:pt>
                <c:pt idx="6">
                  <c:v>104.3773425</c:v>
                </c:pt>
                <c:pt idx="7">
                  <c:v>115.94219580000001</c:v>
                </c:pt>
                <c:pt idx="8">
                  <c:v>129.28625729999999</c:v>
                </c:pt>
                <c:pt idx="9">
                  <c:v>144.409527</c:v>
                </c:pt>
                <c:pt idx="10">
                  <c:v>161.31200490000001</c:v>
                </c:pt>
                <c:pt idx="11">
                  <c:v>179.99369100000001</c:v>
                </c:pt>
                <c:pt idx="12">
                  <c:v>200.45458529999999</c:v>
                </c:pt>
                <c:pt idx="13">
                  <c:v>222.6946878</c:v>
                </c:pt>
                <c:pt idx="14">
                  <c:v>232.32740995520999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415.72996416160186</c:v>
                </c:pt>
                <c:pt idx="94">
                  <c:v>404.38751188660183</c:v>
                </c:pt>
                <c:pt idx="95">
                  <c:v>393.48986166160182</c:v>
                </c:pt>
                <c:pt idx="96">
                  <c:v>383.03701348660184</c:v>
                </c:pt>
                <c:pt idx="97">
                  <c:v>373.02896736160187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200.45458529999999</c:v>
                </c:pt>
                <c:pt idx="111">
                  <c:v>222.6946878</c:v>
                </c:pt>
                <c:pt idx="112">
                  <c:v>232.32740995520999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161.31200490000001</c:v>
                </c:pt>
                <c:pt idx="117">
                  <c:v>161.31200490000001</c:v>
                </c:pt>
                <c:pt idx="118">
                  <c:v>170.43044692500001</c:v>
                </c:pt>
                <c:pt idx="119">
                  <c:v>170.43044692500001</c:v>
                </c:pt>
                <c:pt idx="120">
                  <c:v>190.00173712499998</c:v>
                </c:pt>
                <c:pt idx="121">
                  <c:v>68.759778195360383</c:v>
                </c:pt>
                <c:pt idx="122">
                  <c:v>89.734952625570372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209.35783209320999</c:v>
                </c:pt>
                <c:pt idx="158">
                  <c:v>188.16746243120997</c:v>
                </c:pt>
                <c:pt idx="159">
                  <c:v>168.75630096921</c:v>
                </c:pt>
                <c:pt idx="160">
                  <c:v>151.12434770721001</c:v>
                </c:pt>
                <c:pt idx="161">
                  <c:v>135.27160264521001</c:v>
                </c:pt>
                <c:pt idx="162">
                  <c:v>121.19806578321001</c:v>
                </c:pt>
                <c:pt idx="163">
                  <c:v>108.90373712121001</c:v>
                </c:pt>
                <c:pt idx="164">
                  <c:v>98.388616659210015</c:v>
                </c:pt>
                <c:pt idx="165">
                  <c:v>89.652704397210016</c:v>
                </c:pt>
                <c:pt idx="166">
                  <c:v>82.696000335210016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89.652704397210016</c:v>
                </c:pt>
                <c:pt idx="179">
                  <c:v>98.388616659210015</c:v>
                </c:pt>
                <c:pt idx="180">
                  <c:v>108.90373712121001</c:v>
                </c:pt>
                <c:pt idx="181">
                  <c:v>121.19806578321001</c:v>
                </c:pt>
                <c:pt idx="182">
                  <c:v>135.27160264521001</c:v>
                </c:pt>
                <c:pt idx="183">
                  <c:v>151.12434770721001</c:v>
                </c:pt>
                <c:pt idx="184">
                  <c:v>168.75630096921</c:v>
                </c:pt>
                <c:pt idx="185">
                  <c:v>188.16746243120997</c:v>
                </c:pt>
                <c:pt idx="186">
                  <c:v>209.35783209320999</c:v>
                </c:pt>
                <c:pt idx="187">
                  <c:v>232.32740995520999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209.35783209320999</c:v>
                </c:pt>
                <c:pt idx="215">
                  <c:v>188.16746243120997</c:v>
                </c:pt>
                <c:pt idx="216">
                  <c:v>168.75630096921</c:v>
                </c:pt>
                <c:pt idx="217">
                  <c:v>151.12434770721001</c:v>
                </c:pt>
                <c:pt idx="218">
                  <c:v>135.27160264521001</c:v>
                </c:pt>
                <c:pt idx="219">
                  <c:v>121.19806578321001</c:v>
                </c:pt>
                <c:pt idx="220">
                  <c:v>108.90373712121001</c:v>
                </c:pt>
                <c:pt idx="221">
                  <c:v>98.388616659210015</c:v>
                </c:pt>
                <c:pt idx="222">
                  <c:v>89.652704397210016</c:v>
                </c:pt>
                <c:pt idx="223">
                  <c:v>82.696000335210016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85.951951341210005</c:v>
                </c:pt>
                <c:pt idx="237">
                  <c:v>89.652704397210016</c:v>
                </c:pt>
                <c:pt idx="238">
                  <c:v>93.798259503210005</c:v>
                </c:pt>
                <c:pt idx="239">
                  <c:v>98.388616659210015</c:v>
                </c:pt>
                <c:pt idx="240">
                  <c:v>103.42377586521</c:v>
                </c:pt>
                <c:pt idx="241">
                  <c:v>108.90373712121001</c:v>
                </c:pt>
                <c:pt idx="242">
                  <c:v>114.82850042721</c:v>
                </c:pt>
                <c:pt idx="243">
                  <c:v>121.19806578321001</c:v>
                </c:pt>
                <c:pt idx="244">
                  <c:v>128.01243318921001</c:v>
                </c:pt>
                <c:pt idx="245">
                  <c:v>135.27160264521001</c:v>
                </c:pt>
                <c:pt idx="246">
                  <c:v>142.97557415121003</c:v>
                </c:pt>
                <c:pt idx="247">
                  <c:v>151.12434770721001</c:v>
                </c:pt>
                <c:pt idx="248">
                  <c:v>159.71792331321001</c:v>
                </c:pt>
                <c:pt idx="249">
                  <c:v>168.75630096921</c:v>
                </c:pt>
                <c:pt idx="250">
                  <c:v>178.23948067521002</c:v>
                </c:pt>
                <c:pt idx="251">
                  <c:v>188.16746243120997</c:v>
                </c:pt>
                <c:pt idx="252">
                  <c:v>209.35783209320999</c:v>
                </c:pt>
                <c:pt idx="253">
                  <c:v>232.32740995520999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353.9446928546397</c:v>
                </c:pt>
                <c:pt idx="268">
                  <c:v>343.04704262963969</c:v>
                </c:pt>
                <c:pt idx="269">
                  <c:v>332.59419445463965</c:v>
                </c:pt>
                <c:pt idx="270">
                  <c:v>322.58614832963974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285.10615387104656</c:v>
                </c:pt>
                <c:pt idx="286">
                  <c:v>211.352235525</c:v>
                </c:pt>
                <c:pt idx="287">
                  <c:v>222.6946878</c:v>
                </c:pt>
                <c:pt idx="288">
                  <c:v>232.32740995520999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209.35783209320999</c:v>
                </c:pt>
                <c:pt idx="297">
                  <c:v>188.16746243120997</c:v>
                </c:pt>
                <c:pt idx="298">
                  <c:v>168.75630096921</c:v>
                </c:pt>
                <c:pt idx="299">
                  <c:v>151.12434770721001</c:v>
                </c:pt>
                <c:pt idx="300">
                  <c:v>135.27160264521001</c:v>
                </c:pt>
                <c:pt idx="301">
                  <c:v>121.19806578321001</c:v>
                </c:pt>
                <c:pt idx="302">
                  <c:v>108.90373712121001</c:v>
                </c:pt>
                <c:pt idx="303">
                  <c:v>98.388616659210015</c:v>
                </c:pt>
                <c:pt idx="304">
                  <c:v>89.652704397210016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93.798259503210005</c:v>
                </c:pt>
                <c:pt idx="314">
                  <c:v>98.388616659210015</c:v>
                </c:pt>
                <c:pt idx="315">
                  <c:v>103.42377586521</c:v>
                </c:pt>
                <c:pt idx="316">
                  <c:v>108.90373712121001</c:v>
                </c:pt>
                <c:pt idx="317">
                  <c:v>114.82850042721</c:v>
                </c:pt>
                <c:pt idx="318">
                  <c:v>121.19806578321001</c:v>
                </c:pt>
                <c:pt idx="319">
                  <c:v>128.01243318921001</c:v>
                </c:pt>
                <c:pt idx="320">
                  <c:v>135.27160264521001</c:v>
                </c:pt>
                <c:pt idx="321">
                  <c:v>142.97557415121003</c:v>
                </c:pt>
                <c:pt idx="322">
                  <c:v>151.12434770721001</c:v>
                </c:pt>
                <c:pt idx="323">
                  <c:v>-24.278975392391857</c:v>
                </c:pt>
                <c:pt idx="324">
                  <c:v>-4.8678139303918897</c:v>
                </c:pt>
                <c:pt idx="325">
                  <c:v>16.322555731608134</c:v>
                </c:pt>
                <c:pt idx="326">
                  <c:v>39.292133593608128</c:v>
                </c:pt>
                <c:pt idx="327">
                  <c:v>39.292133593608128</c:v>
                </c:pt>
                <c:pt idx="328">
                  <c:v>16.322555731608134</c:v>
                </c:pt>
                <c:pt idx="329">
                  <c:v>-4.8678139303918897</c:v>
                </c:pt>
                <c:pt idx="330">
                  <c:v>-24.278975392391857</c:v>
                </c:pt>
                <c:pt idx="331">
                  <c:v>-41.910928654391853</c:v>
                </c:pt>
                <c:pt idx="332">
                  <c:v>-57.76367371639185</c:v>
                </c:pt>
                <c:pt idx="333">
                  <c:v>-71.837210578391847</c:v>
                </c:pt>
                <c:pt idx="334">
                  <c:v>-84.131539240391845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114.82850042721</c:v>
                </c:pt>
                <c:pt idx="1105">
                  <c:v>128.01243318921001</c:v>
                </c:pt>
                <c:pt idx="1106">
                  <c:v>142.97557415121003</c:v>
                </c:pt>
                <c:pt idx="1107">
                  <c:v>159.71792331321001</c:v>
                </c:pt>
                <c:pt idx="1108">
                  <c:v>178.23948067521002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8E-4B34-B30B-AE581D911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27896"/>
        <c:axId val="1496723304"/>
      </c:scatterChart>
      <c:valAx>
        <c:axId val="1496727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3304"/>
        <c:crosses val="autoZero"/>
        <c:crossBetween val="midCat"/>
      </c:valAx>
      <c:valAx>
        <c:axId val="149672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7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Speed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Cycle'!$E$3:$E$1111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13.41</c:v>
                </c:pt>
                <c:pt idx="15">
                  <c:v>13.41</c:v>
                </c:pt>
                <c:pt idx="16">
                  <c:v>13.41</c:v>
                </c:pt>
                <c:pt idx="17">
                  <c:v>13.41</c:v>
                </c:pt>
                <c:pt idx="18">
                  <c:v>13.41</c:v>
                </c:pt>
                <c:pt idx="19">
                  <c:v>13.41</c:v>
                </c:pt>
                <c:pt idx="20">
                  <c:v>13.41</c:v>
                </c:pt>
                <c:pt idx="21">
                  <c:v>13.41</c:v>
                </c:pt>
                <c:pt idx="22">
                  <c:v>13.41</c:v>
                </c:pt>
                <c:pt idx="23">
                  <c:v>13.41</c:v>
                </c:pt>
                <c:pt idx="24">
                  <c:v>13.41</c:v>
                </c:pt>
                <c:pt idx="25">
                  <c:v>13.41</c:v>
                </c:pt>
                <c:pt idx="26">
                  <c:v>13.41</c:v>
                </c:pt>
                <c:pt idx="27">
                  <c:v>13.41</c:v>
                </c:pt>
                <c:pt idx="28">
                  <c:v>13.41</c:v>
                </c:pt>
                <c:pt idx="29">
                  <c:v>13.41</c:v>
                </c:pt>
                <c:pt idx="30">
                  <c:v>13.41</c:v>
                </c:pt>
                <c:pt idx="31">
                  <c:v>13.41</c:v>
                </c:pt>
                <c:pt idx="32">
                  <c:v>13.41</c:v>
                </c:pt>
                <c:pt idx="33">
                  <c:v>13.41</c:v>
                </c:pt>
                <c:pt idx="34">
                  <c:v>13.41</c:v>
                </c:pt>
                <c:pt idx="35">
                  <c:v>13.41</c:v>
                </c:pt>
                <c:pt idx="36">
                  <c:v>13.41</c:v>
                </c:pt>
                <c:pt idx="37">
                  <c:v>13.41</c:v>
                </c:pt>
                <c:pt idx="38">
                  <c:v>13.41</c:v>
                </c:pt>
                <c:pt idx="39">
                  <c:v>13.41</c:v>
                </c:pt>
                <c:pt idx="40">
                  <c:v>13.41</c:v>
                </c:pt>
                <c:pt idx="41">
                  <c:v>13.41</c:v>
                </c:pt>
                <c:pt idx="42">
                  <c:v>13.41</c:v>
                </c:pt>
                <c:pt idx="43">
                  <c:v>13.41</c:v>
                </c:pt>
                <c:pt idx="44">
                  <c:v>13.41</c:v>
                </c:pt>
                <c:pt idx="45">
                  <c:v>13.41</c:v>
                </c:pt>
                <c:pt idx="46">
                  <c:v>13.41</c:v>
                </c:pt>
                <c:pt idx="47">
                  <c:v>13.41</c:v>
                </c:pt>
                <c:pt idx="48">
                  <c:v>13.41</c:v>
                </c:pt>
                <c:pt idx="49">
                  <c:v>13.41</c:v>
                </c:pt>
                <c:pt idx="50">
                  <c:v>13.41</c:v>
                </c:pt>
                <c:pt idx="51">
                  <c:v>13.41</c:v>
                </c:pt>
                <c:pt idx="52">
                  <c:v>13.41</c:v>
                </c:pt>
                <c:pt idx="53">
                  <c:v>13.41</c:v>
                </c:pt>
                <c:pt idx="54">
                  <c:v>13.41</c:v>
                </c:pt>
                <c:pt idx="55">
                  <c:v>13.41</c:v>
                </c:pt>
                <c:pt idx="56">
                  <c:v>13.41</c:v>
                </c:pt>
                <c:pt idx="57">
                  <c:v>13.41</c:v>
                </c:pt>
                <c:pt idx="58">
                  <c:v>13.41</c:v>
                </c:pt>
                <c:pt idx="59">
                  <c:v>13.41</c:v>
                </c:pt>
                <c:pt idx="60">
                  <c:v>13.41</c:v>
                </c:pt>
                <c:pt idx="61">
                  <c:v>13.41</c:v>
                </c:pt>
                <c:pt idx="62">
                  <c:v>13.41</c:v>
                </c:pt>
                <c:pt idx="63">
                  <c:v>13.41</c:v>
                </c:pt>
                <c:pt idx="64">
                  <c:v>13.41</c:v>
                </c:pt>
                <c:pt idx="65">
                  <c:v>13.41</c:v>
                </c:pt>
                <c:pt idx="66">
                  <c:v>13.41</c:v>
                </c:pt>
                <c:pt idx="67">
                  <c:v>13.41</c:v>
                </c:pt>
                <c:pt idx="68">
                  <c:v>13.41</c:v>
                </c:pt>
                <c:pt idx="69">
                  <c:v>13.41</c:v>
                </c:pt>
                <c:pt idx="70">
                  <c:v>13.41</c:v>
                </c:pt>
                <c:pt idx="71">
                  <c:v>13.41</c:v>
                </c:pt>
                <c:pt idx="72">
                  <c:v>13.41</c:v>
                </c:pt>
                <c:pt idx="73">
                  <c:v>13.41</c:v>
                </c:pt>
                <c:pt idx="74">
                  <c:v>13.41</c:v>
                </c:pt>
                <c:pt idx="75">
                  <c:v>13.41</c:v>
                </c:pt>
                <c:pt idx="76">
                  <c:v>13.41</c:v>
                </c:pt>
                <c:pt idx="77">
                  <c:v>13.41</c:v>
                </c:pt>
                <c:pt idx="78">
                  <c:v>13.41</c:v>
                </c:pt>
                <c:pt idx="79">
                  <c:v>13.41</c:v>
                </c:pt>
                <c:pt idx="80">
                  <c:v>13.41</c:v>
                </c:pt>
                <c:pt idx="81">
                  <c:v>13.41</c:v>
                </c:pt>
                <c:pt idx="82">
                  <c:v>13.41</c:v>
                </c:pt>
                <c:pt idx="83">
                  <c:v>13.41</c:v>
                </c:pt>
                <c:pt idx="84">
                  <c:v>13.41</c:v>
                </c:pt>
                <c:pt idx="85">
                  <c:v>13.41</c:v>
                </c:pt>
                <c:pt idx="86">
                  <c:v>13.41</c:v>
                </c:pt>
                <c:pt idx="87">
                  <c:v>13.41</c:v>
                </c:pt>
                <c:pt idx="88">
                  <c:v>13.41</c:v>
                </c:pt>
                <c:pt idx="89">
                  <c:v>13.41</c:v>
                </c:pt>
                <c:pt idx="90">
                  <c:v>13.41</c:v>
                </c:pt>
                <c:pt idx="91">
                  <c:v>13.41</c:v>
                </c:pt>
                <c:pt idx="92">
                  <c:v>13.41</c:v>
                </c:pt>
                <c:pt idx="93">
                  <c:v>13</c:v>
                </c:pt>
                <c:pt idx="94">
                  <c:v>12.5</c:v>
                </c:pt>
                <c:pt idx="95">
                  <c:v>12</c:v>
                </c:pt>
                <c:pt idx="96">
                  <c:v>11.5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12</c:v>
                </c:pt>
                <c:pt idx="111">
                  <c:v>13</c:v>
                </c:pt>
                <c:pt idx="112">
                  <c:v>13.41</c:v>
                </c:pt>
                <c:pt idx="113">
                  <c:v>13.41</c:v>
                </c:pt>
                <c:pt idx="114">
                  <c:v>13.41</c:v>
                </c:pt>
                <c:pt idx="115">
                  <c:v>13.41</c:v>
                </c:pt>
                <c:pt idx="116">
                  <c:v>10</c:v>
                </c:pt>
                <c:pt idx="117">
                  <c:v>10</c:v>
                </c:pt>
                <c:pt idx="118">
                  <c:v>10.5</c:v>
                </c:pt>
                <c:pt idx="119">
                  <c:v>10.5</c:v>
                </c:pt>
                <c:pt idx="120">
                  <c:v>11.5</c:v>
                </c:pt>
                <c:pt idx="121">
                  <c:v>12.5</c:v>
                </c:pt>
                <c:pt idx="122">
                  <c:v>13.41</c:v>
                </c:pt>
                <c:pt idx="123">
                  <c:v>13.41</c:v>
                </c:pt>
                <c:pt idx="124">
                  <c:v>13.41</c:v>
                </c:pt>
                <c:pt idx="125">
                  <c:v>13.41</c:v>
                </c:pt>
                <c:pt idx="126">
                  <c:v>13.41</c:v>
                </c:pt>
                <c:pt idx="127">
                  <c:v>13.41</c:v>
                </c:pt>
                <c:pt idx="128">
                  <c:v>13.41</c:v>
                </c:pt>
                <c:pt idx="129">
                  <c:v>13.41</c:v>
                </c:pt>
                <c:pt idx="130">
                  <c:v>13.41</c:v>
                </c:pt>
                <c:pt idx="131">
                  <c:v>13.41</c:v>
                </c:pt>
                <c:pt idx="132">
                  <c:v>13.41</c:v>
                </c:pt>
                <c:pt idx="133">
                  <c:v>13.41</c:v>
                </c:pt>
                <c:pt idx="134">
                  <c:v>13.41</c:v>
                </c:pt>
                <c:pt idx="135">
                  <c:v>13.41</c:v>
                </c:pt>
                <c:pt idx="136">
                  <c:v>13.41</c:v>
                </c:pt>
                <c:pt idx="137">
                  <c:v>13.41</c:v>
                </c:pt>
                <c:pt idx="138">
                  <c:v>13.41</c:v>
                </c:pt>
                <c:pt idx="139">
                  <c:v>13.41</c:v>
                </c:pt>
                <c:pt idx="140">
                  <c:v>13.41</c:v>
                </c:pt>
                <c:pt idx="141">
                  <c:v>13.41</c:v>
                </c:pt>
                <c:pt idx="142">
                  <c:v>13.41</c:v>
                </c:pt>
                <c:pt idx="143">
                  <c:v>13.41</c:v>
                </c:pt>
                <c:pt idx="144">
                  <c:v>13.41</c:v>
                </c:pt>
                <c:pt idx="145">
                  <c:v>13.41</c:v>
                </c:pt>
                <c:pt idx="146">
                  <c:v>13.41</c:v>
                </c:pt>
                <c:pt idx="147">
                  <c:v>13.41</c:v>
                </c:pt>
                <c:pt idx="148">
                  <c:v>13.41</c:v>
                </c:pt>
                <c:pt idx="149">
                  <c:v>13.41</c:v>
                </c:pt>
                <c:pt idx="150">
                  <c:v>13.41</c:v>
                </c:pt>
                <c:pt idx="151">
                  <c:v>13.41</c:v>
                </c:pt>
                <c:pt idx="152">
                  <c:v>13.41</c:v>
                </c:pt>
                <c:pt idx="153">
                  <c:v>13.41</c:v>
                </c:pt>
                <c:pt idx="154">
                  <c:v>13.41</c:v>
                </c:pt>
                <c:pt idx="155">
                  <c:v>13.41</c:v>
                </c:pt>
                <c:pt idx="156">
                  <c:v>13.41</c:v>
                </c:pt>
                <c:pt idx="157">
                  <c:v>12.41</c:v>
                </c:pt>
                <c:pt idx="158">
                  <c:v>11.41</c:v>
                </c:pt>
                <c:pt idx="159">
                  <c:v>10.41</c:v>
                </c:pt>
                <c:pt idx="160">
                  <c:v>9.41</c:v>
                </c:pt>
                <c:pt idx="161">
                  <c:v>8.41</c:v>
                </c:pt>
                <c:pt idx="162">
                  <c:v>7.41</c:v>
                </c:pt>
                <c:pt idx="163">
                  <c:v>6.41</c:v>
                </c:pt>
                <c:pt idx="164">
                  <c:v>5.41</c:v>
                </c:pt>
                <c:pt idx="165">
                  <c:v>4.41</c:v>
                </c:pt>
                <c:pt idx="166">
                  <c:v>3.41</c:v>
                </c:pt>
                <c:pt idx="167">
                  <c:v>3.41</c:v>
                </c:pt>
                <c:pt idx="168">
                  <c:v>3.41</c:v>
                </c:pt>
                <c:pt idx="169">
                  <c:v>3.41</c:v>
                </c:pt>
                <c:pt idx="170">
                  <c:v>3.41</c:v>
                </c:pt>
                <c:pt idx="171">
                  <c:v>3.41</c:v>
                </c:pt>
                <c:pt idx="172">
                  <c:v>3.41</c:v>
                </c:pt>
                <c:pt idx="173">
                  <c:v>3.41</c:v>
                </c:pt>
                <c:pt idx="174">
                  <c:v>3.41</c:v>
                </c:pt>
                <c:pt idx="175">
                  <c:v>3.41</c:v>
                </c:pt>
                <c:pt idx="176">
                  <c:v>3.41</c:v>
                </c:pt>
                <c:pt idx="177">
                  <c:v>3.41</c:v>
                </c:pt>
                <c:pt idx="178">
                  <c:v>4.41</c:v>
                </c:pt>
                <c:pt idx="179">
                  <c:v>5.41</c:v>
                </c:pt>
                <c:pt idx="180">
                  <c:v>6.41</c:v>
                </c:pt>
                <c:pt idx="181">
                  <c:v>7.41</c:v>
                </c:pt>
                <c:pt idx="182">
                  <c:v>8.41</c:v>
                </c:pt>
                <c:pt idx="183">
                  <c:v>9.41</c:v>
                </c:pt>
                <c:pt idx="184">
                  <c:v>10.41</c:v>
                </c:pt>
                <c:pt idx="185">
                  <c:v>11.41</c:v>
                </c:pt>
                <c:pt idx="186">
                  <c:v>12.41</c:v>
                </c:pt>
                <c:pt idx="187">
                  <c:v>13.41</c:v>
                </c:pt>
                <c:pt idx="188">
                  <c:v>13.41</c:v>
                </c:pt>
                <c:pt idx="189">
                  <c:v>13.41</c:v>
                </c:pt>
                <c:pt idx="190">
                  <c:v>13.41</c:v>
                </c:pt>
                <c:pt idx="191">
                  <c:v>13.41</c:v>
                </c:pt>
                <c:pt idx="192">
                  <c:v>13.41</c:v>
                </c:pt>
                <c:pt idx="193">
                  <c:v>13.41</c:v>
                </c:pt>
                <c:pt idx="194">
                  <c:v>13.41</c:v>
                </c:pt>
                <c:pt idx="195">
                  <c:v>13.41</c:v>
                </c:pt>
                <c:pt idx="196">
                  <c:v>13.41</c:v>
                </c:pt>
                <c:pt idx="197">
                  <c:v>13.41</c:v>
                </c:pt>
                <c:pt idx="198">
                  <c:v>13.41</c:v>
                </c:pt>
                <c:pt idx="199">
                  <c:v>13.41</c:v>
                </c:pt>
                <c:pt idx="200">
                  <c:v>13.41</c:v>
                </c:pt>
                <c:pt idx="201">
                  <c:v>13.41</c:v>
                </c:pt>
                <c:pt idx="202">
                  <c:v>13.41</c:v>
                </c:pt>
                <c:pt idx="203">
                  <c:v>13.41</c:v>
                </c:pt>
                <c:pt idx="204">
                  <c:v>13.41</c:v>
                </c:pt>
                <c:pt idx="205">
                  <c:v>13.41</c:v>
                </c:pt>
                <c:pt idx="206">
                  <c:v>13.41</c:v>
                </c:pt>
                <c:pt idx="207">
                  <c:v>13.41</c:v>
                </c:pt>
                <c:pt idx="208">
                  <c:v>13.41</c:v>
                </c:pt>
                <c:pt idx="209">
                  <c:v>13.41</c:v>
                </c:pt>
                <c:pt idx="210">
                  <c:v>13.41</c:v>
                </c:pt>
                <c:pt idx="211">
                  <c:v>13.41</c:v>
                </c:pt>
                <c:pt idx="212">
                  <c:v>13.41</c:v>
                </c:pt>
                <c:pt idx="213">
                  <c:v>13.41</c:v>
                </c:pt>
                <c:pt idx="214">
                  <c:v>12.41</c:v>
                </c:pt>
                <c:pt idx="215">
                  <c:v>11.41</c:v>
                </c:pt>
                <c:pt idx="216">
                  <c:v>10.41</c:v>
                </c:pt>
                <c:pt idx="217">
                  <c:v>9.41</c:v>
                </c:pt>
                <c:pt idx="218">
                  <c:v>8.41</c:v>
                </c:pt>
                <c:pt idx="219">
                  <c:v>7.41</c:v>
                </c:pt>
                <c:pt idx="220">
                  <c:v>6.41</c:v>
                </c:pt>
                <c:pt idx="221">
                  <c:v>5.41</c:v>
                </c:pt>
                <c:pt idx="222">
                  <c:v>4.41</c:v>
                </c:pt>
                <c:pt idx="223">
                  <c:v>3.41</c:v>
                </c:pt>
                <c:pt idx="224">
                  <c:v>3.41</c:v>
                </c:pt>
                <c:pt idx="225">
                  <c:v>3.41</c:v>
                </c:pt>
                <c:pt idx="226">
                  <c:v>3.41</c:v>
                </c:pt>
                <c:pt idx="227">
                  <c:v>3.41</c:v>
                </c:pt>
                <c:pt idx="228">
                  <c:v>3.41</c:v>
                </c:pt>
                <c:pt idx="229">
                  <c:v>3.41</c:v>
                </c:pt>
                <c:pt idx="230">
                  <c:v>3.41</c:v>
                </c:pt>
                <c:pt idx="231">
                  <c:v>3.41</c:v>
                </c:pt>
                <c:pt idx="232">
                  <c:v>3.41</c:v>
                </c:pt>
                <c:pt idx="233">
                  <c:v>3.41</c:v>
                </c:pt>
                <c:pt idx="234">
                  <c:v>3.41</c:v>
                </c:pt>
                <c:pt idx="235">
                  <c:v>3.41</c:v>
                </c:pt>
                <c:pt idx="236">
                  <c:v>3.91</c:v>
                </c:pt>
                <c:pt idx="237">
                  <c:v>4.41</c:v>
                </c:pt>
                <c:pt idx="238">
                  <c:v>4.91</c:v>
                </c:pt>
                <c:pt idx="239">
                  <c:v>5.41</c:v>
                </c:pt>
                <c:pt idx="240">
                  <c:v>5.91</c:v>
                </c:pt>
                <c:pt idx="241">
                  <c:v>6.41</c:v>
                </c:pt>
                <c:pt idx="242">
                  <c:v>6.91</c:v>
                </c:pt>
                <c:pt idx="243">
                  <c:v>7.41</c:v>
                </c:pt>
                <c:pt idx="244">
                  <c:v>7.91</c:v>
                </c:pt>
                <c:pt idx="245">
                  <c:v>8.41</c:v>
                </c:pt>
                <c:pt idx="246">
                  <c:v>8.91</c:v>
                </c:pt>
                <c:pt idx="247">
                  <c:v>9.41</c:v>
                </c:pt>
                <c:pt idx="248">
                  <c:v>9.91</c:v>
                </c:pt>
                <c:pt idx="249">
                  <c:v>10.41</c:v>
                </c:pt>
                <c:pt idx="250">
                  <c:v>10.91</c:v>
                </c:pt>
                <c:pt idx="251">
                  <c:v>11.41</c:v>
                </c:pt>
                <c:pt idx="252">
                  <c:v>12.41</c:v>
                </c:pt>
                <c:pt idx="253">
                  <c:v>13.41</c:v>
                </c:pt>
                <c:pt idx="254">
                  <c:v>13.41</c:v>
                </c:pt>
                <c:pt idx="255">
                  <c:v>13.41</c:v>
                </c:pt>
                <c:pt idx="256">
                  <c:v>13.41</c:v>
                </c:pt>
                <c:pt idx="257">
                  <c:v>13.41</c:v>
                </c:pt>
                <c:pt idx="258">
                  <c:v>13.41</c:v>
                </c:pt>
                <c:pt idx="259">
                  <c:v>13.41</c:v>
                </c:pt>
                <c:pt idx="260">
                  <c:v>13.41</c:v>
                </c:pt>
                <c:pt idx="261">
                  <c:v>13.41</c:v>
                </c:pt>
                <c:pt idx="262">
                  <c:v>13.41</c:v>
                </c:pt>
                <c:pt idx="263">
                  <c:v>13.41</c:v>
                </c:pt>
                <c:pt idx="264">
                  <c:v>13.41</c:v>
                </c:pt>
                <c:pt idx="265">
                  <c:v>13.41</c:v>
                </c:pt>
                <c:pt idx="266">
                  <c:v>13.41</c:v>
                </c:pt>
                <c:pt idx="267">
                  <c:v>12.5</c:v>
                </c:pt>
                <c:pt idx="268">
                  <c:v>12</c:v>
                </c:pt>
                <c:pt idx="269">
                  <c:v>11.5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12</c:v>
                </c:pt>
                <c:pt idx="286">
                  <c:v>12.5</c:v>
                </c:pt>
                <c:pt idx="287">
                  <c:v>13</c:v>
                </c:pt>
                <c:pt idx="288">
                  <c:v>13.41</c:v>
                </c:pt>
                <c:pt idx="289">
                  <c:v>13.41</c:v>
                </c:pt>
                <c:pt idx="290">
                  <c:v>13.41</c:v>
                </c:pt>
                <c:pt idx="291">
                  <c:v>13.41</c:v>
                </c:pt>
                <c:pt idx="292">
                  <c:v>13.41</c:v>
                </c:pt>
                <c:pt idx="293">
                  <c:v>13.41</c:v>
                </c:pt>
                <c:pt idx="294">
                  <c:v>13.41</c:v>
                </c:pt>
                <c:pt idx="295">
                  <c:v>13.41</c:v>
                </c:pt>
                <c:pt idx="296">
                  <c:v>12.41</c:v>
                </c:pt>
                <c:pt idx="297">
                  <c:v>11.41</c:v>
                </c:pt>
                <c:pt idx="298">
                  <c:v>10.41</c:v>
                </c:pt>
                <c:pt idx="299">
                  <c:v>9.41</c:v>
                </c:pt>
                <c:pt idx="300">
                  <c:v>8.41</c:v>
                </c:pt>
                <c:pt idx="301">
                  <c:v>7.41</c:v>
                </c:pt>
                <c:pt idx="302">
                  <c:v>6.41</c:v>
                </c:pt>
                <c:pt idx="303">
                  <c:v>5.41</c:v>
                </c:pt>
                <c:pt idx="304">
                  <c:v>4.41</c:v>
                </c:pt>
                <c:pt idx="305">
                  <c:v>4.41</c:v>
                </c:pt>
                <c:pt idx="306">
                  <c:v>4.41</c:v>
                </c:pt>
                <c:pt idx="307">
                  <c:v>4.41</c:v>
                </c:pt>
                <c:pt idx="308">
                  <c:v>4.41</c:v>
                </c:pt>
                <c:pt idx="309">
                  <c:v>4.41</c:v>
                </c:pt>
                <c:pt idx="310">
                  <c:v>4.41</c:v>
                </c:pt>
                <c:pt idx="311">
                  <c:v>4.41</c:v>
                </c:pt>
                <c:pt idx="312">
                  <c:v>4.41</c:v>
                </c:pt>
                <c:pt idx="313">
                  <c:v>4.91</c:v>
                </c:pt>
                <c:pt idx="314">
                  <c:v>5.41</c:v>
                </c:pt>
                <c:pt idx="315">
                  <c:v>5.91</c:v>
                </c:pt>
                <c:pt idx="316">
                  <c:v>6.41</c:v>
                </c:pt>
                <c:pt idx="317">
                  <c:v>6.91</c:v>
                </c:pt>
                <c:pt idx="318">
                  <c:v>7.41</c:v>
                </c:pt>
                <c:pt idx="319">
                  <c:v>7.91</c:v>
                </c:pt>
                <c:pt idx="320">
                  <c:v>8.41</c:v>
                </c:pt>
                <c:pt idx="321">
                  <c:v>8.91</c:v>
                </c:pt>
                <c:pt idx="322">
                  <c:v>9.41</c:v>
                </c:pt>
                <c:pt idx="323">
                  <c:v>10.41</c:v>
                </c:pt>
                <c:pt idx="324">
                  <c:v>11.41</c:v>
                </c:pt>
                <c:pt idx="325">
                  <c:v>12.41</c:v>
                </c:pt>
                <c:pt idx="326">
                  <c:v>13.41</c:v>
                </c:pt>
                <c:pt idx="327">
                  <c:v>13.41</c:v>
                </c:pt>
                <c:pt idx="328">
                  <c:v>12.41</c:v>
                </c:pt>
                <c:pt idx="329">
                  <c:v>11.41</c:v>
                </c:pt>
                <c:pt idx="330">
                  <c:v>10.41</c:v>
                </c:pt>
                <c:pt idx="331">
                  <c:v>9.41</c:v>
                </c:pt>
                <c:pt idx="332">
                  <c:v>8.41</c:v>
                </c:pt>
                <c:pt idx="333">
                  <c:v>7.41</c:v>
                </c:pt>
                <c:pt idx="334">
                  <c:v>6.41</c:v>
                </c:pt>
                <c:pt idx="335">
                  <c:v>5.41</c:v>
                </c:pt>
                <c:pt idx="336">
                  <c:v>4.41</c:v>
                </c:pt>
                <c:pt idx="337">
                  <c:v>3.41</c:v>
                </c:pt>
                <c:pt idx="338">
                  <c:v>2.41</c:v>
                </c:pt>
                <c:pt idx="339">
                  <c:v>2.41</c:v>
                </c:pt>
                <c:pt idx="340">
                  <c:v>2.41</c:v>
                </c:pt>
                <c:pt idx="341">
                  <c:v>2.41</c:v>
                </c:pt>
                <c:pt idx="342">
                  <c:v>2.41</c:v>
                </c:pt>
                <c:pt idx="343">
                  <c:v>2.91</c:v>
                </c:pt>
                <c:pt idx="344">
                  <c:v>3.41</c:v>
                </c:pt>
                <c:pt idx="345">
                  <c:v>3.91</c:v>
                </c:pt>
                <c:pt idx="346">
                  <c:v>4.41</c:v>
                </c:pt>
                <c:pt idx="347">
                  <c:v>4.91</c:v>
                </c:pt>
                <c:pt idx="348">
                  <c:v>5.41</c:v>
                </c:pt>
                <c:pt idx="349">
                  <c:v>5.91</c:v>
                </c:pt>
                <c:pt idx="350">
                  <c:v>6.41</c:v>
                </c:pt>
                <c:pt idx="351">
                  <c:v>6.91</c:v>
                </c:pt>
                <c:pt idx="352">
                  <c:v>7.41</c:v>
                </c:pt>
                <c:pt idx="353">
                  <c:v>7.91</c:v>
                </c:pt>
                <c:pt idx="354">
                  <c:v>8.41</c:v>
                </c:pt>
                <c:pt idx="355">
                  <c:v>9.16</c:v>
                </c:pt>
                <c:pt idx="356">
                  <c:v>9.91</c:v>
                </c:pt>
                <c:pt idx="357">
                  <c:v>10.66</c:v>
                </c:pt>
                <c:pt idx="358">
                  <c:v>11.41</c:v>
                </c:pt>
                <c:pt idx="359">
                  <c:v>12.41</c:v>
                </c:pt>
                <c:pt idx="360">
                  <c:v>13.41</c:v>
                </c:pt>
                <c:pt idx="361">
                  <c:v>13.41</c:v>
                </c:pt>
                <c:pt idx="362">
                  <c:v>13.41</c:v>
                </c:pt>
                <c:pt idx="363">
                  <c:v>13.41</c:v>
                </c:pt>
                <c:pt idx="364">
                  <c:v>13.41</c:v>
                </c:pt>
                <c:pt idx="365">
                  <c:v>13.41</c:v>
                </c:pt>
                <c:pt idx="366">
                  <c:v>13.41</c:v>
                </c:pt>
                <c:pt idx="367">
                  <c:v>12.66</c:v>
                </c:pt>
                <c:pt idx="368">
                  <c:v>11.91</c:v>
                </c:pt>
                <c:pt idx="369">
                  <c:v>11.16</c:v>
                </c:pt>
                <c:pt idx="370">
                  <c:v>10.41</c:v>
                </c:pt>
                <c:pt idx="371">
                  <c:v>9.66</c:v>
                </c:pt>
                <c:pt idx="372">
                  <c:v>8.91</c:v>
                </c:pt>
                <c:pt idx="373">
                  <c:v>8.16</c:v>
                </c:pt>
                <c:pt idx="374">
                  <c:v>7.41</c:v>
                </c:pt>
                <c:pt idx="375">
                  <c:v>6.66</c:v>
                </c:pt>
                <c:pt idx="376">
                  <c:v>5.91</c:v>
                </c:pt>
                <c:pt idx="377">
                  <c:v>5.16</c:v>
                </c:pt>
                <c:pt idx="378">
                  <c:v>4.41</c:v>
                </c:pt>
                <c:pt idx="379">
                  <c:v>3.66</c:v>
                </c:pt>
                <c:pt idx="380">
                  <c:v>2.91</c:v>
                </c:pt>
                <c:pt idx="381">
                  <c:v>2.91</c:v>
                </c:pt>
                <c:pt idx="382">
                  <c:v>2.91</c:v>
                </c:pt>
                <c:pt idx="383">
                  <c:v>2.91</c:v>
                </c:pt>
                <c:pt idx="384">
                  <c:v>2.91</c:v>
                </c:pt>
                <c:pt idx="385">
                  <c:v>2.91</c:v>
                </c:pt>
                <c:pt idx="386">
                  <c:v>2.91</c:v>
                </c:pt>
                <c:pt idx="387">
                  <c:v>2.91</c:v>
                </c:pt>
                <c:pt idx="388">
                  <c:v>2.91</c:v>
                </c:pt>
                <c:pt idx="389">
                  <c:v>2.91</c:v>
                </c:pt>
                <c:pt idx="390">
                  <c:v>2.91</c:v>
                </c:pt>
                <c:pt idx="391">
                  <c:v>3.66</c:v>
                </c:pt>
                <c:pt idx="392">
                  <c:v>4.41</c:v>
                </c:pt>
                <c:pt idx="393">
                  <c:v>5.16</c:v>
                </c:pt>
                <c:pt idx="394">
                  <c:v>5.91</c:v>
                </c:pt>
                <c:pt idx="395">
                  <c:v>6.66</c:v>
                </c:pt>
                <c:pt idx="396">
                  <c:v>7.66</c:v>
                </c:pt>
                <c:pt idx="397">
                  <c:v>8.66</c:v>
                </c:pt>
                <c:pt idx="398">
                  <c:v>9.66</c:v>
                </c:pt>
                <c:pt idx="399">
                  <c:v>10.66</c:v>
                </c:pt>
                <c:pt idx="400">
                  <c:v>11.66</c:v>
                </c:pt>
                <c:pt idx="401">
                  <c:v>12.66</c:v>
                </c:pt>
                <c:pt idx="402">
                  <c:v>13.41</c:v>
                </c:pt>
                <c:pt idx="403">
                  <c:v>12.66</c:v>
                </c:pt>
                <c:pt idx="404">
                  <c:v>11.91</c:v>
                </c:pt>
                <c:pt idx="405">
                  <c:v>11.16</c:v>
                </c:pt>
                <c:pt idx="406">
                  <c:v>10.41</c:v>
                </c:pt>
                <c:pt idx="407">
                  <c:v>9.66</c:v>
                </c:pt>
                <c:pt idx="408">
                  <c:v>8.91</c:v>
                </c:pt>
                <c:pt idx="409">
                  <c:v>8.16</c:v>
                </c:pt>
                <c:pt idx="410">
                  <c:v>7.41</c:v>
                </c:pt>
                <c:pt idx="411">
                  <c:v>7.41</c:v>
                </c:pt>
                <c:pt idx="412">
                  <c:v>7.41</c:v>
                </c:pt>
                <c:pt idx="413">
                  <c:v>7.41</c:v>
                </c:pt>
                <c:pt idx="414">
                  <c:v>7.41</c:v>
                </c:pt>
                <c:pt idx="415">
                  <c:v>7.41</c:v>
                </c:pt>
                <c:pt idx="416">
                  <c:v>7.41</c:v>
                </c:pt>
                <c:pt idx="417">
                  <c:v>8.16</c:v>
                </c:pt>
                <c:pt idx="418">
                  <c:v>8.91</c:v>
                </c:pt>
                <c:pt idx="419">
                  <c:v>9.66</c:v>
                </c:pt>
                <c:pt idx="420">
                  <c:v>10.41</c:v>
                </c:pt>
                <c:pt idx="421">
                  <c:v>11.16</c:v>
                </c:pt>
                <c:pt idx="422">
                  <c:v>11.91</c:v>
                </c:pt>
                <c:pt idx="423">
                  <c:v>12.66</c:v>
                </c:pt>
                <c:pt idx="424">
                  <c:v>13.41</c:v>
                </c:pt>
                <c:pt idx="425">
                  <c:v>13.41</c:v>
                </c:pt>
                <c:pt idx="426">
                  <c:v>13.41</c:v>
                </c:pt>
                <c:pt idx="427">
                  <c:v>13.41</c:v>
                </c:pt>
                <c:pt idx="428">
                  <c:v>13.41</c:v>
                </c:pt>
                <c:pt idx="429">
                  <c:v>13.41</c:v>
                </c:pt>
                <c:pt idx="430">
                  <c:v>13.41</c:v>
                </c:pt>
                <c:pt idx="431">
                  <c:v>13.41</c:v>
                </c:pt>
                <c:pt idx="432">
                  <c:v>13.41</c:v>
                </c:pt>
                <c:pt idx="433">
                  <c:v>13.41</c:v>
                </c:pt>
                <c:pt idx="434">
                  <c:v>13.41</c:v>
                </c:pt>
                <c:pt idx="435">
                  <c:v>13.41</c:v>
                </c:pt>
                <c:pt idx="436">
                  <c:v>13.41</c:v>
                </c:pt>
                <c:pt idx="437">
                  <c:v>13.41</c:v>
                </c:pt>
                <c:pt idx="438">
                  <c:v>13.41</c:v>
                </c:pt>
                <c:pt idx="439">
                  <c:v>13.41</c:v>
                </c:pt>
                <c:pt idx="440">
                  <c:v>13.41</c:v>
                </c:pt>
                <c:pt idx="441">
                  <c:v>13.41</c:v>
                </c:pt>
                <c:pt idx="442">
                  <c:v>13.41</c:v>
                </c:pt>
                <c:pt idx="443">
                  <c:v>13.41</c:v>
                </c:pt>
                <c:pt idx="444">
                  <c:v>13.41</c:v>
                </c:pt>
                <c:pt idx="445">
                  <c:v>13.41</c:v>
                </c:pt>
                <c:pt idx="446">
                  <c:v>13.41</c:v>
                </c:pt>
                <c:pt idx="447">
                  <c:v>13.41</c:v>
                </c:pt>
                <c:pt idx="448">
                  <c:v>13.41</c:v>
                </c:pt>
                <c:pt idx="449">
                  <c:v>13.41</c:v>
                </c:pt>
                <c:pt idx="450">
                  <c:v>13.41</c:v>
                </c:pt>
                <c:pt idx="451">
                  <c:v>13.41</c:v>
                </c:pt>
                <c:pt idx="452">
                  <c:v>13.41</c:v>
                </c:pt>
                <c:pt idx="453">
                  <c:v>13.41</c:v>
                </c:pt>
                <c:pt idx="454">
                  <c:v>13.41</c:v>
                </c:pt>
                <c:pt idx="455">
                  <c:v>13.41</c:v>
                </c:pt>
                <c:pt idx="456">
                  <c:v>13.41</c:v>
                </c:pt>
                <c:pt idx="457">
                  <c:v>13.41</c:v>
                </c:pt>
                <c:pt idx="458">
                  <c:v>13.41</c:v>
                </c:pt>
                <c:pt idx="459">
                  <c:v>13.41</c:v>
                </c:pt>
                <c:pt idx="460">
                  <c:v>13.41</c:v>
                </c:pt>
                <c:pt idx="461">
                  <c:v>13.41</c:v>
                </c:pt>
                <c:pt idx="462">
                  <c:v>13.41</c:v>
                </c:pt>
                <c:pt idx="463">
                  <c:v>13.41</c:v>
                </c:pt>
                <c:pt idx="464">
                  <c:v>13.41</c:v>
                </c:pt>
                <c:pt idx="465">
                  <c:v>13.41</c:v>
                </c:pt>
                <c:pt idx="466">
                  <c:v>13.41</c:v>
                </c:pt>
                <c:pt idx="467">
                  <c:v>13.41</c:v>
                </c:pt>
                <c:pt idx="468">
                  <c:v>13.41</c:v>
                </c:pt>
                <c:pt idx="469">
                  <c:v>13.41</c:v>
                </c:pt>
                <c:pt idx="470">
                  <c:v>13.41</c:v>
                </c:pt>
                <c:pt idx="471">
                  <c:v>13.41</c:v>
                </c:pt>
                <c:pt idx="472">
                  <c:v>13.41</c:v>
                </c:pt>
                <c:pt idx="473">
                  <c:v>12.66</c:v>
                </c:pt>
                <c:pt idx="474">
                  <c:v>11.91</c:v>
                </c:pt>
                <c:pt idx="475">
                  <c:v>11.16</c:v>
                </c:pt>
                <c:pt idx="476">
                  <c:v>10.41</c:v>
                </c:pt>
                <c:pt idx="477">
                  <c:v>9.66</c:v>
                </c:pt>
                <c:pt idx="478">
                  <c:v>8.91</c:v>
                </c:pt>
                <c:pt idx="479">
                  <c:v>8.16</c:v>
                </c:pt>
                <c:pt idx="480">
                  <c:v>7.41</c:v>
                </c:pt>
                <c:pt idx="481">
                  <c:v>6.66</c:v>
                </c:pt>
                <c:pt idx="482">
                  <c:v>5.91</c:v>
                </c:pt>
                <c:pt idx="483">
                  <c:v>5.16</c:v>
                </c:pt>
                <c:pt idx="484">
                  <c:v>4.41</c:v>
                </c:pt>
                <c:pt idx="485">
                  <c:v>3.66</c:v>
                </c:pt>
                <c:pt idx="486">
                  <c:v>3.66</c:v>
                </c:pt>
                <c:pt idx="487">
                  <c:v>3.66</c:v>
                </c:pt>
                <c:pt idx="488">
                  <c:v>3.66</c:v>
                </c:pt>
                <c:pt idx="489">
                  <c:v>3.66</c:v>
                </c:pt>
                <c:pt idx="490">
                  <c:v>3.66</c:v>
                </c:pt>
                <c:pt idx="491">
                  <c:v>3.66</c:v>
                </c:pt>
                <c:pt idx="492">
                  <c:v>3.66</c:v>
                </c:pt>
                <c:pt idx="493">
                  <c:v>4.41</c:v>
                </c:pt>
                <c:pt idx="494">
                  <c:v>5.16</c:v>
                </c:pt>
                <c:pt idx="495">
                  <c:v>5.91</c:v>
                </c:pt>
                <c:pt idx="496">
                  <c:v>6.66</c:v>
                </c:pt>
                <c:pt idx="497">
                  <c:v>7.41</c:v>
                </c:pt>
                <c:pt idx="498">
                  <c:v>8.16</c:v>
                </c:pt>
                <c:pt idx="499">
                  <c:v>8.91</c:v>
                </c:pt>
                <c:pt idx="500">
                  <c:v>9.66</c:v>
                </c:pt>
                <c:pt idx="501">
                  <c:v>10.41</c:v>
                </c:pt>
                <c:pt idx="502">
                  <c:v>11.41</c:v>
                </c:pt>
                <c:pt idx="503">
                  <c:v>12.41</c:v>
                </c:pt>
                <c:pt idx="504">
                  <c:v>13.41</c:v>
                </c:pt>
                <c:pt idx="505">
                  <c:v>13.41</c:v>
                </c:pt>
                <c:pt idx="506">
                  <c:v>13.41</c:v>
                </c:pt>
                <c:pt idx="507">
                  <c:v>13.41</c:v>
                </c:pt>
                <c:pt idx="508">
                  <c:v>13.41</c:v>
                </c:pt>
                <c:pt idx="509">
                  <c:v>13.41</c:v>
                </c:pt>
                <c:pt idx="510">
                  <c:v>13.41</c:v>
                </c:pt>
                <c:pt idx="511">
                  <c:v>13.41</c:v>
                </c:pt>
                <c:pt idx="512">
                  <c:v>13.41</c:v>
                </c:pt>
                <c:pt idx="513">
                  <c:v>13.41</c:v>
                </c:pt>
                <c:pt idx="514">
                  <c:v>13.41</c:v>
                </c:pt>
                <c:pt idx="515">
                  <c:v>13.41</c:v>
                </c:pt>
                <c:pt idx="516">
                  <c:v>13.41</c:v>
                </c:pt>
                <c:pt idx="517">
                  <c:v>13.41</c:v>
                </c:pt>
                <c:pt idx="518">
                  <c:v>13.41</c:v>
                </c:pt>
                <c:pt idx="519">
                  <c:v>13.41</c:v>
                </c:pt>
                <c:pt idx="520">
                  <c:v>13.41</c:v>
                </c:pt>
                <c:pt idx="521">
                  <c:v>13.41</c:v>
                </c:pt>
                <c:pt idx="522">
                  <c:v>13.41</c:v>
                </c:pt>
                <c:pt idx="523">
                  <c:v>13.41</c:v>
                </c:pt>
                <c:pt idx="524">
                  <c:v>13.41</c:v>
                </c:pt>
                <c:pt idx="525">
                  <c:v>13.41</c:v>
                </c:pt>
                <c:pt idx="526">
                  <c:v>13.41</c:v>
                </c:pt>
                <c:pt idx="527">
                  <c:v>12.66</c:v>
                </c:pt>
                <c:pt idx="528">
                  <c:v>11.91</c:v>
                </c:pt>
                <c:pt idx="529">
                  <c:v>11.16</c:v>
                </c:pt>
                <c:pt idx="530">
                  <c:v>10.41</c:v>
                </c:pt>
                <c:pt idx="531">
                  <c:v>9.66</c:v>
                </c:pt>
                <c:pt idx="532">
                  <c:v>8.91</c:v>
                </c:pt>
                <c:pt idx="533">
                  <c:v>8.16</c:v>
                </c:pt>
                <c:pt idx="534">
                  <c:v>7.41</c:v>
                </c:pt>
                <c:pt idx="535">
                  <c:v>6.66</c:v>
                </c:pt>
                <c:pt idx="536">
                  <c:v>5.91</c:v>
                </c:pt>
                <c:pt idx="537">
                  <c:v>5.91</c:v>
                </c:pt>
                <c:pt idx="538">
                  <c:v>5.91</c:v>
                </c:pt>
                <c:pt idx="539">
                  <c:v>5.91</c:v>
                </c:pt>
                <c:pt idx="540">
                  <c:v>5.91</c:v>
                </c:pt>
                <c:pt idx="541">
                  <c:v>5.91</c:v>
                </c:pt>
                <c:pt idx="542">
                  <c:v>5.91</c:v>
                </c:pt>
                <c:pt idx="543">
                  <c:v>5.91</c:v>
                </c:pt>
                <c:pt idx="544">
                  <c:v>6.66</c:v>
                </c:pt>
                <c:pt idx="545">
                  <c:v>7.41</c:v>
                </c:pt>
                <c:pt idx="546">
                  <c:v>8.16</c:v>
                </c:pt>
                <c:pt idx="547">
                  <c:v>8.91</c:v>
                </c:pt>
                <c:pt idx="548">
                  <c:v>9.66</c:v>
                </c:pt>
                <c:pt idx="549">
                  <c:v>10.41</c:v>
                </c:pt>
                <c:pt idx="550">
                  <c:v>11.41</c:v>
                </c:pt>
                <c:pt idx="551">
                  <c:v>12.41</c:v>
                </c:pt>
                <c:pt idx="552">
                  <c:v>13.41</c:v>
                </c:pt>
                <c:pt idx="553">
                  <c:v>13.41</c:v>
                </c:pt>
                <c:pt idx="554">
                  <c:v>13.41</c:v>
                </c:pt>
                <c:pt idx="555">
                  <c:v>13.41</c:v>
                </c:pt>
                <c:pt idx="556">
                  <c:v>13.41</c:v>
                </c:pt>
                <c:pt idx="557">
                  <c:v>13.41</c:v>
                </c:pt>
                <c:pt idx="558">
                  <c:v>13.41</c:v>
                </c:pt>
                <c:pt idx="559">
                  <c:v>12.66</c:v>
                </c:pt>
                <c:pt idx="560">
                  <c:v>11.91</c:v>
                </c:pt>
                <c:pt idx="561">
                  <c:v>11.16</c:v>
                </c:pt>
                <c:pt idx="562">
                  <c:v>10.41</c:v>
                </c:pt>
                <c:pt idx="563">
                  <c:v>9.66</c:v>
                </c:pt>
                <c:pt idx="564">
                  <c:v>8.91</c:v>
                </c:pt>
                <c:pt idx="565">
                  <c:v>8.16</c:v>
                </c:pt>
                <c:pt idx="566">
                  <c:v>7.41</c:v>
                </c:pt>
                <c:pt idx="567">
                  <c:v>6.66</c:v>
                </c:pt>
                <c:pt idx="568">
                  <c:v>5.91</c:v>
                </c:pt>
                <c:pt idx="569">
                  <c:v>5.16</c:v>
                </c:pt>
                <c:pt idx="570">
                  <c:v>4.41</c:v>
                </c:pt>
                <c:pt idx="571">
                  <c:v>3.66</c:v>
                </c:pt>
                <c:pt idx="572">
                  <c:v>2.91</c:v>
                </c:pt>
                <c:pt idx="573">
                  <c:v>2.91</c:v>
                </c:pt>
                <c:pt idx="574">
                  <c:v>2.91</c:v>
                </c:pt>
                <c:pt idx="575">
                  <c:v>2.91</c:v>
                </c:pt>
                <c:pt idx="576">
                  <c:v>2.91</c:v>
                </c:pt>
                <c:pt idx="577">
                  <c:v>2.91</c:v>
                </c:pt>
                <c:pt idx="578">
                  <c:v>2.91</c:v>
                </c:pt>
                <c:pt idx="579">
                  <c:v>2.91</c:v>
                </c:pt>
                <c:pt idx="580">
                  <c:v>2.91</c:v>
                </c:pt>
                <c:pt idx="581">
                  <c:v>2.91</c:v>
                </c:pt>
                <c:pt idx="582">
                  <c:v>2.91</c:v>
                </c:pt>
                <c:pt idx="583">
                  <c:v>2.91</c:v>
                </c:pt>
                <c:pt idx="584">
                  <c:v>3.21</c:v>
                </c:pt>
                <c:pt idx="585">
                  <c:v>3.51</c:v>
                </c:pt>
                <c:pt idx="586">
                  <c:v>3.8099999999999996</c:v>
                </c:pt>
                <c:pt idx="587">
                  <c:v>4.1099999999999994</c:v>
                </c:pt>
                <c:pt idx="588">
                  <c:v>4.4099999999999993</c:v>
                </c:pt>
                <c:pt idx="589">
                  <c:v>4.7099999999999991</c:v>
                </c:pt>
                <c:pt idx="590">
                  <c:v>5.0099999999999989</c:v>
                </c:pt>
                <c:pt idx="591">
                  <c:v>5.3099999999999987</c:v>
                </c:pt>
                <c:pt idx="592">
                  <c:v>6.0599999999999987</c:v>
                </c:pt>
                <c:pt idx="593">
                  <c:v>6.8099999999999987</c:v>
                </c:pt>
                <c:pt idx="594">
                  <c:v>7.5599999999999987</c:v>
                </c:pt>
                <c:pt idx="595">
                  <c:v>8.3099999999999987</c:v>
                </c:pt>
                <c:pt idx="596">
                  <c:v>9.0599999999999987</c:v>
                </c:pt>
                <c:pt idx="597">
                  <c:v>9.8099999999999987</c:v>
                </c:pt>
                <c:pt idx="598">
                  <c:v>10.559999999999999</c:v>
                </c:pt>
                <c:pt idx="599">
                  <c:v>11.309999999999999</c:v>
                </c:pt>
                <c:pt idx="600">
                  <c:v>12.059999999999999</c:v>
                </c:pt>
                <c:pt idx="601">
                  <c:v>12.809999999999999</c:v>
                </c:pt>
                <c:pt idx="602">
                  <c:v>13.41</c:v>
                </c:pt>
                <c:pt idx="603">
                  <c:v>13.41</c:v>
                </c:pt>
                <c:pt idx="604">
                  <c:v>13.41</c:v>
                </c:pt>
                <c:pt idx="605">
                  <c:v>13.41</c:v>
                </c:pt>
                <c:pt idx="606">
                  <c:v>13.41</c:v>
                </c:pt>
                <c:pt idx="607">
                  <c:v>13.41</c:v>
                </c:pt>
                <c:pt idx="608">
                  <c:v>12.5</c:v>
                </c:pt>
                <c:pt idx="609">
                  <c:v>12</c:v>
                </c:pt>
                <c:pt idx="610">
                  <c:v>12</c:v>
                </c:pt>
                <c:pt idx="611">
                  <c:v>12.5</c:v>
                </c:pt>
                <c:pt idx="612">
                  <c:v>13</c:v>
                </c:pt>
                <c:pt idx="613">
                  <c:v>13.41</c:v>
                </c:pt>
                <c:pt idx="614">
                  <c:v>13.41</c:v>
                </c:pt>
                <c:pt idx="615">
                  <c:v>13.41</c:v>
                </c:pt>
                <c:pt idx="616">
                  <c:v>13.41</c:v>
                </c:pt>
                <c:pt idx="617">
                  <c:v>13.41</c:v>
                </c:pt>
                <c:pt idx="618">
                  <c:v>13.41</c:v>
                </c:pt>
                <c:pt idx="619">
                  <c:v>13.41</c:v>
                </c:pt>
                <c:pt idx="620">
                  <c:v>13.41</c:v>
                </c:pt>
                <c:pt idx="621">
                  <c:v>13.41</c:v>
                </c:pt>
                <c:pt idx="622">
                  <c:v>13.41</c:v>
                </c:pt>
                <c:pt idx="623">
                  <c:v>13.41</c:v>
                </c:pt>
                <c:pt idx="624">
                  <c:v>13.41</c:v>
                </c:pt>
                <c:pt idx="625">
                  <c:v>13.41</c:v>
                </c:pt>
                <c:pt idx="626">
                  <c:v>13.41</c:v>
                </c:pt>
                <c:pt idx="627">
                  <c:v>13.41</c:v>
                </c:pt>
                <c:pt idx="628">
                  <c:v>13.41</c:v>
                </c:pt>
                <c:pt idx="629">
                  <c:v>13.41</c:v>
                </c:pt>
                <c:pt idx="630">
                  <c:v>13.41</c:v>
                </c:pt>
                <c:pt idx="631">
                  <c:v>13.41</c:v>
                </c:pt>
                <c:pt idx="632">
                  <c:v>13.41</c:v>
                </c:pt>
                <c:pt idx="633">
                  <c:v>13.41</c:v>
                </c:pt>
                <c:pt idx="634">
                  <c:v>13.41</c:v>
                </c:pt>
                <c:pt idx="635">
                  <c:v>13.41</c:v>
                </c:pt>
                <c:pt idx="636">
                  <c:v>13.41</c:v>
                </c:pt>
                <c:pt idx="637">
                  <c:v>13.41</c:v>
                </c:pt>
                <c:pt idx="638">
                  <c:v>13.41</c:v>
                </c:pt>
                <c:pt idx="639">
                  <c:v>13.41</c:v>
                </c:pt>
                <c:pt idx="640">
                  <c:v>13.41</c:v>
                </c:pt>
                <c:pt idx="641">
                  <c:v>13.41</c:v>
                </c:pt>
                <c:pt idx="642">
                  <c:v>13.41</c:v>
                </c:pt>
                <c:pt idx="643">
                  <c:v>13.41</c:v>
                </c:pt>
                <c:pt idx="644">
                  <c:v>13.41</c:v>
                </c:pt>
                <c:pt idx="645">
                  <c:v>13.41</c:v>
                </c:pt>
                <c:pt idx="646">
                  <c:v>13.41</c:v>
                </c:pt>
                <c:pt idx="647">
                  <c:v>13.41</c:v>
                </c:pt>
                <c:pt idx="648">
                  <c:v>13.41</c:v>
                </c:pt>
                <c:pt idx="649">
                  <c:v>13.41</c:v>
                </c:pt>
                <c:pt idx="650">
                  <c:v>13.41</c:v>
                </c:pt>
                <c:pt idx="651">
                  <c:v>13.41</c:v>
                </c:pt>
                <c:pt idx="652">
                  <c:v>13.41</c:v>
                </c:pt>
                <c:pt idx="653">
                  <c:v>13.41</c:v>
                </c:pt>
                <c:pt idx="654">
                  <c:v>13.41</c:v>
                </c:pt>
                <c:pt idx="655">
                  <c:v>13.41</c:v>
                </c:pt>
                <c:pt idx="656">
                  <c:v>13.41</c:v>
                </c:pt>
                <c:pt idx="657">
                  <c:v>13.41</c:v>
                </c:pt>
                <c:pt idx="658">
                  <c:v>13.41</c:v>
                </c:pt>
                <c:pt idx="659">
                  <c:v>13.41</c:v>
                </c:pt>
                <c:pt idx="660">
                  <c:v>13.41</c:v>
                </c:pt>
                <c:pt idx="661">
                  <c:v>13.41</c:v>
                </c:pt>
                <c:pt idx="662">
                  <c:v>13.41</c:v>
                </c:pt>
                <c:pt idx="663">
                  <c:v>13.41</c:v>
                </c:pt>
                <c:pt idx="664">
                  <c:v>13.41</c:v>
                </c:pt>
                <c:pt idx="665">
                  <c:v>13.41</c:v>
                </c:pt>
                <c:pt idx="666">
                  <c:v>13.41</c:v>
                </c:pt>
                <c:pt idx="667">
                  <c:v>13.41</c:v>
                </c:pt>
                <c:pt idx="668">
                  <c:v>13.41</c:v>
                </c:pt>
                <c:pt idx="669">
                  <c:v>13.41</c:v>
                </c:pt>
                <c:pt idx="670">
                  <c:v>13.41</c:v>
                </c:pt>
                <c:pt idx="671">
                  <c:v>13.41</c:v>
                </c:pt>
                <c:pt idx="672">
                  <c:v>13.41</c:v>
                </c:pt>
                <c:pt idx="673">
                  <c:v>13.41</c:v>
                </c:pt>
                <c:pt idx="674">
                  <c:v>13.41</c:v>
                </c:pt>
                <c:pt idx="675">
                  <c:v>13.41</c:v>
                </c:pt>
                <c:pt idx="676">
                  <c:v>13.41</c:v>
                </c:pt>
                <c:pt idx="677">
                  <c:v>13.41</c:v>
                </c:pt>
                <c:pt idx="678">
                  <c:v>13.41</c:v>
                </c:pt>
                <c:pt idx="679">
                  <c:v>13.41</c:v>
                </c:pt>
                <c:pt idx="680">
                  <c:v>13.41</c:v>
                </c:pt>
                <c:pt idx="681">
                  <c:v>13.41</c:v>
                </c:pt>
                <c:pt idx="682">
                  <c:v>13.41</c:v>
                </c:pt>
                <c:pt idx="683">
                  <c:v>13.41</c:v>
                </c:pt>
                <c:pt idx="684">
                  <c:v>13.41</c:v>
                </c:pt>
                <c:pt idx="685">
                  <c:v>13.41</c:v>
                </c:pt>
                <c:pt idx="686">
                  <c:v>13.41</c:v>
                </c:pt>
                <c:pt idx="687">
                  <c:v>13.41</c:v>
                </c:pt>
                <c:pt idx="688">
                  <c:v>13.41</c:v>
                </c:pt>
                <c:pt idx="689">
                  <c:v>13.41</c:v>
                </c:pt>
                <c:pt idx="690">
                  <c:v>12.91</c:v>
                </c:pt>
                <c:pt idx="691">
                  <c:v>12.41</c:v>
                </c:pt>
                <c:pt idx="692">
                  <c:v>11.91</c:v>
                </c:pt>
                <c:pt idx="693">
                  <c:v>11.41</c:v>
                </c:pt>
                <c:pt idx="694">
                  <c:v>10.91</c:v>
                </c:pt>
                <c:pt idx="695">
                  <c:v>10.41</c:v>
                </c:pt>
                <c:pt idx="696">
                  <c:v>9.91</c:v>
                </c:pt>
                <c:pt idx="697">
                  <c:v>9.41</c:v>
                </c:pt>
                <c:pt idx="698">
                  <c:v>8.91</c:v>
                </c:pt>
                <c:pt idx="699">
                  <c:v>8.41</c:v>
                </c:pt>
                <c:pt idx="700">
                  <c:v>7.91</c:v>
                </c:pt>
                <c:pt idx="701">
                  <c:v>7.41</c:v>
                </c:pt>
                <c:pt idx="702">
                  <c:v>6.91</c:v>
                </c:pt>
                <c:pt idx="703">
                  <c:v>6.41</c:v>
                </c:pt>
                <c:pt idx="704">
                  <c:v>5.91</c:v>
                </c:pt>
                <c:pt idx="705">
                  <c:v>5.41</c:v>
                </c:pt>
                <c:pt idx="706">
                  <c:v>4.91</c:v>
                </c:pt>
                <c:pt idx="707">
                  <c:v>4.41</c:v>
                </c:pt>
                <c:pt idx="708">
                  <c:v>3.91</c:v>
                </c:pt>
                <c:pt idx="709">
                  <c:v>3.41</c:v>
                </c:pt>
                <c:pt idx="710">
                  <c:v>2.91</c:v>
                </c:pt>
                <c:pt idx="711">
                  <c:v>2.41</c:v>
                </c:pt>
                <c:pt idx="712">
                  <c:v>2.41</c:v>
                </c:pt>
                <c:pt idx="713">
                  <c:v>2.41</c:v>
                </c:pt>
                <c:pt idx="714">
                  <c:v>2.41</c:v>
                </c:pt>
                <c:pt idx="715">
                  <c:v>2.41</c:v>
                </c:pt>
                <c:pt idx="716">
                  <c:v>2.41</c:v>
                </c:pt>
                <c:pt idx="717">
                  <c:v>2.41</c:v>
                </c:pt>
                <c:pt idx="718">
                  <c:v>2.41</c:v>
                </c:pt>
                <c:pt idx="719">
                  <c:v>2.41</c:v>
                </c:pt>
                <c:pt idx="720">
                  <c:v>2.41</c:v>
                </c:pt>
                <c:pt idx="721">
                  <c:v>2.41</c:v>
                </c:pt>
                <c:pt idx="722">
                  <c:v>2.41</c:v>
                </c:pt>
                <c:pt idx="723">
                  <c:v>2.71</c:v>
                </c:pt>
                <c:pt idx="724">
                  <c:v>3.01</c:v>
                </c:pt>
                <c:pt idx="725">
                  <c:v>3.3099999999999996</c:v>
                </c:pt>
                <c:pt idx="726">
                  <c:v>3.6099999999999994</c:v>
                </c:pt>
                <c:pt idx="727">
                  <c:v>3.9099999999999993</c:v>
                </c:pt>
                <c:pt idx="728">
                  <c:v>4.2099999999999991</c:v>
                </c:pt>
                <c:pt idx="729">
                  <c:v>4.5099999999999989</c:v>
                </c:pt>
                <c:pt idx="730">
                  <c:v>4.8099999999999987</c:v>
                </c:pt>
                <c:pt idx="731">
                  <c:v>5.1099999999999985</c:v>
                </c:pt>
                <c:pt idx="732">
                  <c:v>5.4099999999999984</c:v>
                </c:pt>
                <c:pt idx="733">
                  <c:v>5.7099999999999982</c:v>
                </c:pt>
                <c:pt idx="734">
                  <c:v>6.009999999999998</c:v>
                </c:pt>
                <c:pt idx="735">
                  <c:v>6.759999999999998</c:v>
                </c:pt>
                <c:pt idx="736">
                  <c:v>7.509999999999998</c:v>
                </c:pt>
                <c:pt idx="737">
                  <c:v>8.259999999999998</c:v>
                </c:pt>
                <c:pt idx="738">
                  <c:v>9.009999999999998</c:v>
                </c:pt>
                <c:pt idx="739">
                  <c:v>9.759999999999998</c:v>
                </c:pt>
                <c:pt idx="740">
                  <c:v>10.509999999999998</c:v>
                </c:pt>
                <c:pt idx="741">
                  <c:v>11.259999999999998</c:v>
                </c:pt>
                <c:pt idx="742">
                  <c:v>12.259999999999998</c:v>
                </c:pt>
                <c:pt idx="743">
                  <c:v>13.259999999999998</c:v>
                </c:pt>
                <c:pt idx="744">
                  <c:v>13.41</c:v>
                </c:pt>
                <c:pt idx="745">
                  <c:v>13.41</c:v>
                </c:pt>
                <c:pt idx="746">
                  <c:v>13.41</c:v>
                </c:pt>
                <c:pt idx="747">
                  <c:v>13.41</c:v>
                </c:pt>
                <c:pt idx="748">
                  <c:v>13.41</c:v>
                </c:pt>
                <c:pt idx="749">
                  <c:v>13.41</c:v>
                </c:pt>
                <c:pt idx="750">
                  <c:v>13.41</c:v>
                </c:pt>
                <c:pt idx="751">
                  <c:v>13.41</c:v>
                </c:pt>
                <c:pt idx="752">
                  <c:v>13.41</c:v>
                </c:pt>
                <c:pt idx="753">
                  <c:v>13.41</c:v>
                </c:pt>
                <c:pt idx="754">
                  <c:v>13.41</c:v>
                </c:pt>
                <c:pt idx="755">
                  <c:v>12.91</c:v>
                </c:pt>
                <c:pt idx="756">
                  <c:v>12.41</c:v>
                </c:pt>
                <c:pt idx="757">
                  <c:v>11.91</c:v>
                </c:pt>
                <c:pt idx="758">
                  <c:v>11.41</c:v>
                </c:pt>
                <c:pt idx="759">
                  <c:v>10.91</c:v>
                </c:pt>
                <c:pt idx="760">
                  <c:v>10.41</c:v>
                </c:pt>
                <c:pt idx="761">
                  <c:v>9.91</c:v>
                </c:pt>
                <c:pt idx="762">
                  <c:v>9.41</c:v>
                </c:pt>
                <c:pt idx="763">
                  <c:v>8.91</c:v>
                </c:pt>
                <c:pt idx="764">
                  <c:v>8.41</c:v>
                </c:pt>
                <c:pt idx="765">
                  <c:v>7.91</c:v>
                </c:pt>
                <c:pt idx="766">
                  <c:v>7.41</c:v>
                </c:pt>
                <c:pt idx="767">
                  <c:v>6.91</c:v>
                </c:pt>
                <c:pt idx="768">
                  <c:v>6.41</c:v>
                </c:pt>
                <c:pt idx="769">
                  <c:v>5.91</c:v>
                </c:pt>
                <c:pt idx="770">
                  <c:v>5.41</c:v>
                </c:pt>
                <c:pt idx="771">
                  <c:v>4.91</c:v>
                </c:pt>
                <c:pt idx="772">
                  <c:v>4.41</c:v>
                </c:pt>
                <c:pt idx="773">
                  <c:v>4.41</c:v>
                </c:pt>
                <c:pt idx="774">
                  <c:v>4.41</c:v>
                </c:pt>
                <c:pt idx="775">
                  <c:v>4.41</c:v>
                </c:pt>
                <c:pt idx="776">
                  <c:v>4.41</c:v>
                </c:pt>
                <c:pt idx="777">
                  <c:v>4.41</c:v>
                </c:pt>
                <c:pt idx="778">
                  <c:v>4.41</c:v>
                </c:pt>
                <c:pt idx="779">
                  <c:v>4.41</c:v>
                </c:pt>
                <c:pt idx="780">
                  <c:v>4.41</c:v>
                </c:pt>
                <c:pt idx="781">
                  <c:v>4.41</c:v>
                </c:pt>
                <c:pt idx="782">
                  <c:v>4.41</c:v>
                </c:pt>
                <c:pt idx="783">
                  <c:v>4.71</c:v>
                </c:pt>
                <c:pt idx="784">
                  <c:v>5.01</c:v>
                </c:pt>
                <c:pt idx="785">
                  <c:v>5.31</c:v>
                </c:pt>
                <c:pt idx="786">
                  <c:v>5.6099999999999994</c:v>
                </c:pt>
                <c:pt idx="787">
                  <c:v>5.9099999999999993</c:v>
                </c:pt>
                <c:pt idx="788">
                  <c:v>6.7099999999999991</c:v>
                </c:pt>
                <c:pt idx="789">
                  <c:v>7.5099999999999989</c:v>
                </c:pt>
                <c:pt idx="790">
                  <c:v>8.3099999999999987</c:v>
                </c:pt>
                <c:pt idx="791">
                  <c:v>9.11</c:v>
                </c:pt>
                <c:pt idx="792">
                  <c:v>9.91</c:v>
                </c:pt>
                <c:pt idx="793">
                  <c:v>10.71</c:v>
                </c:pt>
                <c:pt idx="794">
                  <c:v>11.510000000000002</c:v>
                </c:pt>
                <c:pt idx="795">
                  <c:v>12.310000000000002</c:v>
                </c:pt>
                <c:pt idx="796">
                  <c:v>13.110000000000003</c:v>
                </c:pt>
                <c:pt idx="797">
                  <c:v>13.41</c:v>
                </c:pt>
                <c:pt idx="798">
                  <c:v>13.41</c:v>
                </c:pt>
                <c:pt idx="799">
                  <c:v>13.41</c:v>
                </c:pt>
                <c:pt idx="800">
                  <c:v>13.41</c:v>
                </c:pt>
                <c:pt idx="801">
                  <c:v>13.41</c:v>
                </c:pt>
                <c:pt idx="802">
                  <c:v>13.41</c:v>
                </c:pt>
                <c:pt idx="803">
                  <c:v>13.41</c:v>
                </c:pt>
                <c:pt idx="804">
                  <c:v>13.41</c:v>
                </c:pt>
                <c:pt idx="805">
                  <c:v>13.41</c:v>
                </c:pt>
                <c:pt idx="806">
                  <c:v>13.41</c:v>
                </c:pt>
                <c:pt idx="807">
                  <c:v>13.41</c:v>
                </c:pt>
                <c:pt idx="808">
                  <c:v>13.41</c:v>
                </c:pt>
                <c:pt idx="809">
                  <c:v>13.41</c:v>
                </c:pt>
                <c:pt idx="810">
                  <c:v>13.41</c:v>
                </c:pt>
                <c:pt idx="811">
                  <c:v>13.41</c:v>
                </c:pt>
                <c:pt idx="812">
                  <c:v>13.41</c:v>
                </c:pt>
                <c:pt idx="813">
                  <c:v>13.41</c:v>
                </c:pt>
                <c:pt idx="814">
                  <c:v>13.41</c:v>
                </c:pt>
                <c:pt idx="815">
                  <c:v>13.41</c:v>
                </c:pt>
                <c:pt idx="816">
                  <c:v>13.41</c:v>
                </c:pt>
                <c:pt idx="817">
                  <c:v>13.41</c:v>
                </c:pt>
                <c:pt idx="818">
                  <c:v>13.41</c:v>
                </c:pt>
                <c:pt idx="819">
                  <c:v>13.41</c:v>
                </c:pt>
                <c:pt idx="820">
                  <c:v>13.41</c:v>
                </c:pt>
                <c:pt idx="821">
                  <c:v>12.91</c:v>
                </c:pt>
                <c:pt idx="822">
                  <c:v>12.41</c:v>
                </c:pt>
                <c:pt idx="823">
                  <c:v>11.91</c:v>
                </c:pt>
                <c:pt idx="824">
                  <c:v>11.41</c:v>
                </c:pt>
                <c:pt idx="825">
                  <c:v>10.91</c:v>
                </c:pt>
                <c:pt idx="826">
                  <c:v>10.41</c:v>
                </c:pt>
                <c:pt idx="827">
                  <c:v>9.91</c:v>
                </c:pt>
                <c:pt idx="828">
                  <c:v>9.41</c:v>
                </c:pt>
                <c:pt idx="829">
                  <c:v>8.91</c:v>
                </c:pt>
                <c:pt idx="830">
                  <c:v>8.41</c:v>
                </c:pt>
                <c:pt idx="831">
                  <c:v>7.91</c:v>
                </c:pt>
                <c:pt idx="832">
                  <c:v>7.41</c:v>
                </c:pt>
                <c:pt idx="833">
                  <c:v>6.91</c:v>
                </c:pt>
                <c:pt idx="834">
                  <c:v>6.41</c:v>
                </c:pt>
                <c:pt idx="835">
                  <c:v>5.91</c:v>
                </c:pt>
                <c:pt idx="836">
                  <c:v>5.41</c:v>
                </c:pt>
                <c:pt idx="837">
                  <c:v>5.41</c:v>
                </c:pt>
                <c:pt idx="838">
                  <c:v>5.41</c:v>
                </c:pt>
                <c:pt idx="839">
                  <c:v>5.41</c:v>
                </c:pt>
                <c:pt idx="840">
                  <c:v>5.41</c:v>
                </c:pt>
                <c:pt idx="841">
                  <c:v>5.41</c:v>
                </c:pt>
                <c:pt idx="842">
                  <c:v>5.41</c:v>
                </c:pt>
                <c:pt idx="843">
                  <c:v>5.41</c:v>
                </c:pt>
                <c:pt idx="844">
                  <c:v>5.41</c:v>
                </c:pt>
                <c:pt idx="845">
                  <c:v>5.41</c:v>
                </c:pt>
                <c:pt idx="846">
                  <c:v>5.41</c:v>
                </c:pt>
                <c:pt idx="847">
                  <c:v>5.41</c:v>
                </c:pt>
                <c:pt idx="848">
                  <c:v>5.41</c:v>
                </c:pt>
                <c:pt idx="849">
                  <c:v>5.41</c:v>
                </c:pt>
                <c:pt idx="850">
                  <c:v>5.41</c:v>
                </c:pt>
                <c:pt idx="851">
                  <c:v>5.41</c:v>
                </c:pt>
                <c:pt idx="852">
                  <c:v>5.41</c:v>
                </c:pt>
                <c:pt idx="853">
                  <c:v>5.41</c:v>
                </c:pt>
                <c:pt idx="854">
                  <c:v>5.41</c:v>
                </c:pt>
                <c:pt idx="855">
                  <c:v>5.41</c:v>
                </c:pt>
                <c:pt idx="856">
                  <c:v>5.41</c:v>
                </c:pt>
                <c:pt idx="857">
                  <c:v>5.41</c:v>
                </c:pt>
                <c:pt idx="858">
                  <c:v>5.71</c:v>
                </c:pt>
                <c:pt idx="859">
                  <c:v>6.01</c:v>
                </c:pt>
                <c:pt idx="860">
                  <c:v>6.31</c:v>
                </c:pt>
                <c:pt idx="861">
                  <c:v>6.6099999999999994</c:v>
                </c:pt>
                <c:pt idx="862">
                  <c:v>6.9099999999999993</c:v>
                </c:pt>
                <c:pt idx="863">
                  <c:v>7.2099999999999991</c:v>
                </c:pt>
                <c:pt idx="864">
                  <c:v>7.5099999999999989</c:v>
                </c:pt>
                <c:pt idx="865">
                  <c:v>7.8099999999999987</c:v>
                </c:pt>
                <c:pt idx="866">
                  <c:v>8.11</c:v>
                </c:pt>
                <c:pt idx="867">
                  <c:v>8.41</c:v>
                </c:pt>
                <c:pt idx="868">
                  <c:v>8.7100000000000009</c:v>
                </c:pt>
                <c:pt idx="869">
                  <c:v>9.0100000000000016</c:v>
                </c:pt>
                <c:pt idx="870">
                  <c:v>9.3100000000000023</c:v>
                </c:pt>
                <c:pt idx="871">
                  <c:v>9.610000000000003</c:v>
                </c:pt>
                <c:pt idx="872">
                  <c:v>9.9100000000000037</c:v>
                </c:pt>
                <c:pt idx="873">
                  <c:v>10.210000000000004</c:v>
                </c:pt>
                <c:pt idx="874">
                  <c:v>10.210000000000001</c:v>
                </c:pt>
                <c:pt idx="875">
                  <c:v>10.210000000000001</c:v>
                </c:pt>
                <c:pt idx="876">
                  <c:v>10.210000000000001</c:v>
                </c:pt>
                <c:pt idx="877">
                  <c:v>10.210000000000001</c:v>
                </c:pt>
                <c:pt idx="878">
                  <c:v>10.210000000000001</c:v>
                </c:pt>
                <c:pt idx="879">
                  <c:v>10.210000000000001</c:v>
                </c:pt>
                <c:pt idx="880">
                  <c:v>10.210000000000001</c:v>
                </c:pt>
                <c:pt idx="881">
                  <c:v>10.210000000000001</c:v>
                </c:pt>
                <c:pt idx="882">
                  <c:v>10.210000000000001</c:v>
                </c:pt>
                <c:pt idx="883">
                  <c:v>10.210000000000001</c:v>
                </c:pt>
                <c:pt idx="884">
                  <c:v>10.210000000000001</c:v>
                </c:pt>
                <c:pt idx="885">
                  <c:v>10.210000000000001</c:v>
                </c:pt>
                <c:pt idx="886">
                  <c:v>10.210000000000001</c:v>
                </c:pt>
                <c:pt idx="887">
                  <c:v>10.210000000000001</c:v>
                </c:pt>
                <c:pt idx="888">
                  <c:v>10.210000000000001</c:v>
                </c:pt>
                <c:pt idx="889">
                  <c:v>10.210000000000001</c:v>
                </c:pt>
                <c:pt idx="890">
                  <c:v>10.210000000000001</c:v>
                </c:pt>
                <c:pt idx="891">
                  <c:v>10.210000000000001</c:v>
                </c:pt>
                <c:pt idx="892">
                  <c:v>10.210000000000001</c:v>
                </c:pt>
                <c:pt idx="893">
                  <c:v>10.210000000000001</c:v>
                </c:pt>
                <c:pt idx="894">
                  <c:v>10.210000000000001</c:v>
                </c:pt>
                <c:pt idx="895">
                  <c:v>10.210000000000001</c:v>
                </c:pt>
                <c:pt idx="896">
                  <c:v>10.210000000000001</c:v>
                </c:pt>
                <c:pt idx="897">
                  <c:v>10.210000000000001</c:v>
                </c:pt>
                <c:pt idx="898">
                  <c:v>10.210000000000001</c:v>
                </c:pt>
                <c:pt idx="899">
                  <c:v>10.210000000000001</c:v>
                </c:pt>
                <c:pt idx="900">
                  <c:v>10.210000000000001</c:v>
                </c:pt>
                <c:pt idx="901">
                  <c:v>10.210000000000001</c:v>
                </c:pt>
                <c:pt idx="902">
                  <c:v>10.210000000000001</c:v>
                </c:pt>
                <c:pt idx="903">
                  <c:v>10.210000000000001</c:v>
                </c:pt>
                <c:pt idx="904">
                  <c:v>10.210000000000001</c:v>
                </c:pt>
                <c:pt idx="905">
                  <c:v>10.210000000000001</c:v>
                </c:pt>
                <c:pt idx="906">
                  <c:v>10.210000000000001</c:v>
                </c:pt>
                <c:pt idx="907">
                  <c:v>10.210000000000001</c:v>
                </c:pt>
                <c:pt idx="908">
                  <c:v>10.210000000000001</c:v>
                </c:pt>
                <c:pt idx="909">
                  <c:v>10.210000000000001</c:v>
                </c:pt>
                <c:pt idx="910">
                  <c:v>10.210000000000001</c:v>
                </c:pt>
                <c:pt idx="911">
                  <c:v>10.210000000000001</c:v>
                </c:pt>
                <c:pt idx="912">
                  <c:v>10.210000000000001</c:v>
                </c:pt>
                <c:pt idx="913">
                  <c:v>10.210000000000001</c:v>
                </c:pt>
                <c:pt idx="914">
                  <c:v>10.210000000000001</c:v>
                </c:pt>
                <c:pt idx="915">
                  <c:v>10.210000000000001</c:v>
                </c:pt>
                <c:pt idx="916">
                  <c:v>10.210000000000001</c:v>
                </c:pt>
                <c:pt idx="917">
                  <c:v>10.210000000000001</c:v>
                </c:pt>
                <c:pt idx="918">
                  <c:v>10.210000000000001</c:v>
                </c:pt>
                <c:pt idx="919">
                  <c:v>10.210000000000001</c:v>
                </c:pt>
                <c:pt idx="920">
                  <c:v>10.210000000000001</c:v>
                </c:pt>
                <c:pt idx="921">
                  <c:v>10.210000000000001</c:v>
                </c:pt>
                <c:pt idx="922">
                  <c:v>10.210000000000001</c:v>
                </c:pt>
                <c:pt idx="923">
                  <c:v>10.210000000000001</c:v>
                </c:pt>
                <c:pt idx="924">
                  <c:v>10.210000000000001</c:v>
                </c:pt>
                <c:pt idx="925">
                  <c:v>10.210000000000001</c:v>
                </c:pt>
                <c:pt idx="926">
                  <c:v>10.210000000000001</c:v>
                </c:pt>
                <c:pt idx="927">
                  <c:v>10.210000000000001</c:v>
                </c:pt>
                <c:pt idx="928">
                  <c:v>10.210000000000001</c:v>
                </c:pt>
                <c:pt idx="929">
                  <c:v>10.210000000000001</c:v>
                </c:pt>
                <c:pt idx="930">
                  <c:v>10.210000000000001</c:v>
                </c:pt>
                <c:pt idx="931">
                  <c:v>10.210000000000001</c:v>
                </c:pt>
                <c:pt idx="932">
                  <c:v>10.210000000000001</c:v>
                </c:pt>
                <c:pt idx="933">
                  <c:v>10.210000000000001</c:v>
                </c:pt>
                <c:pt idx="934">
                  <c:v>10.210000000000001</c:v>
                </c:pt>
                <c:pt idx="935">
                  <c:v>10.71</c:v>
                </c:pt>
                <c:pt idx="936">
                  <c:v>11.21</c:v>
                </c:pt>
                <c:pt idx="937">
                  <c:v>11.71</c:v>
                </c:pt>
                <c:pt idx="938">
                  <c:v>12.21</c:v>
                </c:pt>
                <c:pt idx="939">
                  <c:v>12.71</c:v>
                </c:pt>
                <c:pt idx="940">
                  <c:v>13.21</c:v>
                </c:pt>
                <c:pt idx="941">
                  <c:v>13.41</c:v>
                </c:pt>
                <c:pt idx="942">
                  <c:v>13.41</c:v>
                </c:pt>
                <c:pt idx="943">
                  <c:v>13.41</c:v>
                </c:pt>
                <c:pt idx="944">
                  <c:v>13.41</c:v>
                </c:pt>
                <c:pt idx="945">
                  <c:v>13.41</c:v>
                </c:pt>
                <c:pt idx="946">
                  <c:v>13.41</c:v>
                </c:pt>
                <c:pt idx="947">
                  <c:v>13.41</c:v>
                </c:pt>
                <c:pt idx="948">
                  <c:v>13.41</c:v>
                </c:pt>
                <c:pt idx="949">
                  <c:v>13.41</c:v>
                </c:pt>
                <c:pt idx="950">
                  <c:v>13.41</c:v>
                </c:pt>
                <c:pt idx="951">
                  <c:v>13.41</c:v>
                </c:pt>
                <c:pt idx="952">
                  <c:v>13.41</c:v>
                </c:pt>
                <c:pt idx="953">
                  <c:v>13.41</c:v>
                </c:pt>
                <c:pt idx="954">
                  <c:v>13.41</c:v>
                </c:pt>
                <c:pt idx="955">
                  <c:v>13.41</c:v>
                </c:pt>
                <c:pt idx="956">
                  <c:v>13.41</c:v>
                </c:pt>
                <c:pt idx="957">
                  <c:v>13.41</c:v>
                </c:pt>
                <c:pt idx="958">
                  <c:v>13.41</c:v>
                </c:pt>
                <c:pt idx="959">
                  <c:v>13.41</c:v>
                </c:pt>
                <c:pt idx="960">
                  <c:v>13.41</c:v>
                </c:pt>
                <c:pt idx="961">
                  <c:v>13.41</c:v>
                </c:pt>
                <c:pt idx="962">
                  <c:v>13.41</c:v>
                </c:pt>
                <c:pt idx="963">
                  <c:v>13.41</c:v>
                </c:pt>
                <c:pt idx="964">
                  <c:v>13.41</c:v>
                </c:pt>
                <c:pt idx="965">
                  <c:v>13.41</c:v>
                </c:pt>
                <c:pt idx="966">
                  <c:v>13.41</c:v>
                </c:pt>
                <c:pt idx="967">
                  <c:v>13.41</c:v>
                </c:pt>
                <c:pt idx="968">
                  <c:v>13.41</c:v>
                </c:pt>
                <c:pt idx="969">
                  <c:v>13.41</c:v>
                </c:pt>
                <c:pt idx="970">
                  <c:v>12.66</c:v>
                </c:pt>
                <c:pt idx="971">
                  <c:v>11.91</c:v>
                </c:pt>
                <c:pt idx="972">
                  <c:v>11.16</c:v>
                </c:pt>
                <c:pt idx="973">
                  <c:v>10.41</c:v>
                </c:pt>
                <c:pt idx="974">
                  <c:v>9.66</c:v>
                </c:pt>
                <c:pt idx="975">
                  <c:v>8.91</c:v>
                </c:pt>
                <c:pt idx="976">
                  <c:v>8.16</c:v>
                </c:pt>
                <c:pt idx="977">
                  <c:v>7.41</c:v>
                </c:pt>
                <c:pt idx="978">
                  <c:v>6.66</c:v>
                </c:pt>
                <c:pt idx="979">
                  <c:v>5.91</c:v>
                </c:pt>
                <c:pt idx="980">
                  <c:v>5.91</c:v>
                </c:pt>
                <c:pt idx="981">
                  <c:v>5.91</c:v>
                </c:pt>
                <c:pt idx="982">
                  <c:v>5.91</c:v>
                </c:pt>
                <c:pt idx="983">
                  <c:v>5.91</c:v>
                </c:pt>
                <c:pt idx="984">
                  <c:v>5.91</c:v>
                </c:pt>
                <c:pt idx="985">
                  <c:v>5.91</c:v>
                </c:pt>
                <c:pt idx="986">
                  <c:v>5.91</c:v>
                </c:pt>
                <c:pt idx="987">
                  <c:v>5.91</c:v>
                </c:pt>
                <c:pt idx="988">
                  <c:v>5.91</c:v>
                </c:pt>
                <c:pt idx="989">
                  <c:v>5.91</c:v>
                </c:pt>
                <c:pt idx="990">
                  <c:v>5.91</c:v>
                </c:pt>
                <c:pt idx="991">
                  <c:v>5.91</c:v>
                </c:pt>
                <c:pt idx="992">
                  <c:v>6.66</c:v>
                </c:pt>
                <c:pt idx="993">
                  <c:v>7.41</c:v>
                </c:pt>
                <c:pt idx="994">
                  <c:v>8.16</c:v>
                </c:pt>
                <c:pt idx="995">
                  <c:v>8.91</c:v>
                </c:pt>
                <c:pt idx="996">
                  <c:v>9.66</c:v>
                </c:pt>
                <c:pt idx="997">
                  <c:v>10.41</c:v>
                </c:pt>
                <c:pt idx="998">
                  <c:v>11.16</c:v>
                </c:pt>
                <c:pt idx="999">
                  <c:v>11.91</c:v>
                </c:pt>
                <c:pt idx="1000">
                  <c:v>12.66</c:v>
                </c:pt>
                <c:pt idx="1001">
                  <c:v>11.91</c:v>
                </c:pt>
                <c:pt idx="1002">
                  <c:v>11.16</c:v>
                </c:pt>
                <c:pt idx="1003">
                  <c:v>10.41</c:v>
                </c:pt>
                <c:pt idx="1004">
                  <c:v>9.66</c:v>
                </c:pt>
                <c:pt idx="1005">
                  <c:v>8.91</c:v>
                </c:pt>
                <c:pt idx="1006">
                  <c:v>8.16</c:v>
                </c:pt>
                <c:pt idx="1007">
                  <c:v>7.41</c:v>
                </c:pt>
                <c:pt idx="1008">
                  <c:v>6.66</c:v>
                </c:pt>
                <c:pt idx="1009">
                  <c:v>5.91</c:v>
                </c:pt>
                <c:pt idx="1010">
                  <c:v>5.16</c:v>
                </c:pt>
                <c:pt idx="1011">
                  <c:v>4.41</c:v>
                </c:pt>
                <c:pt idx="1012">
                  <c:v>3.66</c:v>
                </c:pt>
                <c:pt idx="1013">
                  <c:v>2.91</c:v>
                </c:pt>
                <c:pt idx="1014">
                  <c:v>2.91</c:v>
                </c:pt>
                <c:pt idx="1015">
                  <c:v>2.91</c:v>
                </c:pt>
                <c:pt idx="1016">
                  <c:v>2.91</c:v>
                </c:pt>
                <c:pt idx="1017">
                  <c:v>2.91</c:v>
                </c:pt>
                <c:pt idx="1018">
                  <c:v>2.91</c:v>
                </c:pt>
                <c:pt idx="1019">
                  <c:v>2.91</c:v>
                </c:pt>
                <c:pt idx="1020">
                  <c:v>3.66</c:v>
                </c:pt>
                <c:pt idx="1021">
                  <c:v>4.41</c:v>
                </c:pt>
                <c:pt idx="1022">
                  <c:v>5.16</c:v>
                </c:pt>
                <c:pt idx="1023">
                  <c:v>5.91</c:v>
                </c:pt>
                <c:pt idx="1024">
                  <c:v>6.66</c:v>
                </c:pt>
                <c:pt idx="1025">
                  <c:v>7.41</c:v>
                </c:pt>
                <c:pt idx="1026">
                  <c:v>8.16</c:v>
                </c:pt>
                <c:pt idx="1027">
                  <c:v>8.91</c:v>
                </c:pt>
                <c:pt idx="1028">
                  <c:v>9.66</c:v>
                </c:pt>
                <c:pt idx="1029">
                  <c:v>10.41</c:v>
                </c:pt>
                <c:pt idx="1030">
                  <c:v>11.16</c:v>
                </c:pt>
                <c:pt idx="1031">
                  <c:v>11.91</c:v>
                </c:pt>
                <c:pt idx="1032">
                  <c:v>12.66</c:v>
                </c:pt>
                <c:pt idx="1033">
                  <c:v>13.41</c:v>
                </c:pt>
                <c:pt idx="1034">
                  <c:v>13.41</c:v>
                </c:pt>
                <c:pt idx="1035">
                  <c:v>13.41</c:v>
                </c:pt>
                <c:pt idx="1036">
                  <c:v>13.41</c:v>
                </c:pt>
                <c:pt idx="1037">
                  <c:v>12.66</c:v>
                </c:pt>
                <c:pt idx="1038">
                  <c:v>11.91</c:v>
                </c:pt>
                <c:pt idx="1039">
                  <c:v>11.16</c:v>
                </c:pt>
                <c:pt idx="1040">
                  <c:v>10.41</c:v>
                </c:pt>
                <c:pt idx="1041">
                  <c:v>9.66</c:v>
                </c:pt>
                <c:pt idx="1042">
                  <c:v>8.91</c:v>
                </c:pt>
                <c:pt idx="1043">
                  <c:v>8.16</c:v>
                </c:pt>
                <c:pt idx="1044">
                  <c:v>7.41</c:v>
                </c:pt>
                <c:pt idx="1045">
                  <c:v>6.66</c:v>
                </c:pt>
                <c:pt idx="1046">
                  <c:v>5.91</c:v>
                </c:pt>
                <c:pt idx="1047">
                  <c:v>5.16</c:v>
                </c:pt>
                <c:pt idx="1048">
                  <c:v>4.41</c:v>
                </c:pt>
                <c:pt idx="1049">
                  <c:v>3.66</c:v>
                </c:pt>
                <c:pt idx="1050">
                  <c:v>2.91</c:v>
                </c:pt>
                <c:pt idx="1051">
                  <c:v>2.91</c:v>
                </c:pt>
                <c:pt idx="1052">
                  <c:v>2.91</c:v>
                </c:pt>
                <c:pt idx="1053">
                  <c:v>2.91</c:v>
                </c:pt>
                <c:pt idx="1054">
                  <c:v>2.91</c:v>
                </c:pt>
                <c:pt idx="1055">
                  <c:v>2.91</c:v>
                </c:pt>
                <c:pt idx="1056">
                  <c:v>2.91</c:v>
                </c:pt>
                <c:pt idx="1057">
                  <c:v>2.91</c:v>
                </c:pt>
                <c:pt idx="1058">
                  <c:v>2.91</c:v>
                </c:pt>
                <c:pt idx="1059">
                  <c:v>3.71</c:v>
                </c:pt>
                <c:pt idx="1060">
                  <c:v>4.51</c:v>
                </c:pt>
                <c:pt idx="1061">
                  <c:v>5.31</c:v>
                </c:pt>
                <c:pt idx="1062">
                  <c:v>6.1099999999999994</c:v>
                </c:pt>
                <c:pt idx="1063">
                  <c:v>6.9099999999999993</c:v>
                </c:pt>
                <c:pt idx="1064">
                  <c:v>7.7099999999999991</c:v>
                </c:pt>
                <c:pt idx="1065">
                  <c:v>8.51</c:v>
                </c:pt>
                <c:pt idx="1066">
                  <c:v>9.31</c:v>
                </c:pt>
                <c:pt idx="1067">
                  <c:v>10.110000000000001</c:v>
                </c:pt>
                <c:pt idx="1068">
                  <c:v>10.910000000000002</c:v>
                </c:pt>
                <c:pt idx="1069">
                  <c:v>11.710000000000003</c:v>
                </c:pt>
                <c:pt idx="1070">
                  <c:v>12.510000000000003</c:v>
                </c:pt>
                <c:pt idx="1071">
                  <c:v>13.310000000000004</c:v>
                </c:pt>
                <c:pt idx="1072">
                  <c:v>13.41</c:v>
                </c:pt>
                <c:pt idx="1073">
                  <c:v>13.41</c:v>
                </c:pt>
                <c:pt idx="1074">
                  <c:v>13.41</c:v>
                </c:pt>
                <c:pt idx="1075">
                  <c:v>13.41</c:v>
                </c:pt>
                <c:pt idx="1076">
                  <c:v>13.41</c:v>
                </c:pt>
                <c:pt idx="1077">
                  <c:v>13.41</c:v>
                </c:pt>
                <c:pt idx="1078">
                  <c:v>13.41</c:v>
                </c:pt>
                <c:pt idx="1079">
                  <c:v>13.41</c:v>
                </c:pt>
                <c:pt idx="1080">
                  <c:v>13.41</c:v>
                </c:pt>
                <c:pt idx="1081">
                  <c:v>13.41</c:v>
                </c:pt>
                <c:pt idx="1082">
                  <c:v>13.41</c:v>
                </c:pt>
                <c:pt idx="1083">
                  <c:v>12.66</c:v>
                </c:pt>
                <c:pt idx="1084">
                  <c:v>11.91</c:v>
                </c:pt>
                <c:pt idx="1085">
                  <c:v>11.16</c:v>
                </c:pt>
                <c:pt idx="1086">
                  <c:v>10.41</c:v>
                </c:pt>
                <c:pt idx="1087">
                  <c:v>9.66</c:v>
                </c:pt>
                <c:pt idx="1088">
                  <c:v>8.91</c:v>
                </c:pt>
                <c:pt idx="1089">
                  <c:v>8.16</c:v>
                </c:pt>
                <c:pt idx="1090">
                  <c:v>7.41</c:v>
                </c:pt>
                <c:pt idx="1091">
                  <c:v>6.66</c:v>
                </c:pt>
                <c:pt idx="1092">
                  <c:v>5.91</c:v>
                </c:pt>
                <c:pt idx="1093">
                  <c:v>5.91</c:v>
                </c:pt>
                <c:pt idx="1094">
                  <c:v>5.91</c:v>
                </c:pt>
                <c:pt idx="1095">
                  <c:v>5.91</c:v>
                </c:pt>
                <c:pt idx="1096">
                  <c:v>5.91</c:v>
                </c:pt>
                <c:pt idx="1097">
                  <c:v>5.91</c:v>
                </c:pt>
                <c:pt idx="1098">
                  <c:v>5.91</c:v>
                </c:pt>
                <c:pt idx="1099">
                  <c:v>5.91</c:v>
                </c:pt>
                <c:pt idx="1100">
                  <c:v>5.91</c:v>
                </c:pt>
                <c:pt idx="1101">
                  <c:v>5.91</c:v>
                </c:pt>
                <c:pt idx="1102">
                  <c:v>5.91</c:v>
                </c:pt>
                <c:pt idx="1103">
                  <c:v>5.91</c:v>
                </c:pt>
                <c:pt idx="1104">
                  <c:v>6.91</c:v>
                </c:pt>
                <c:pt idx="1105">
                  <c:v>7.91</c:v>
                </c:pt>
                <c:pt idx="1106">
                  <c:v>8.91</c:v>
                </c:pt>
                <c:pt idx="1107">
                  <c:v>9.91</c:v>
                </c:pt>
                <c:pt idx="1108">
                  <c:v>10.91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17-45EB-86A8-ECB67379AB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95752"/>
        <c:axId val="1496696736"/>
      </c:scatterChart>
      <c:valAx>
        <c:axId val="1496695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96736"/>
        <c:crosses val="autoZero"/>
        <c:crossBetween val="midCat"/>
      </c:valAx>
      <c:valAx>
        <c:axId val="149669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95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Demand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Cycle'!$T$3:$T$1111</c:f>
              <c:numCache>
                <c:formatCode>General</c:formatCode>
                <c:ptCount val="1109"/>
                <c:pt idx="0">
                  <c:v>0</c:v>
                </c:pt>
                <c:pt idx="1">
                  <c:v>8.4105294004096063</c:v>
                </c:pt>
                <c:pt idx="2">
                  <c:v>4.2222548869939818</c:v>
                </c:pt>
                <c:pt idx="3">
                  <c:v>2.8337145766506295</c:v>
                </c:pt>
                <c:pt idx="4">
                  <c:v>2.1451078170753464</c:v>
                </c:pt>
                <c:pt idx="5">
                  <c:v>1.7364744778072909</c:v>
                </c:pt>
                <c:pt idx="6">
                  <c:v>1.4678278486928489</c:v>
                </c:pt>
                <c:pt idx="7">
                  <c:v>1.2752234016972332</c:v>
                </c:pt>
                <c:pt idx="8">
                  <c:v>1.1370582099715514</c:v>
                </c:pt>
                <c:pt idx="9">
                  <c:v>1.0321134588944181</c:v>
                </c:pt>
                <c:pt idx="10">
                  <c:v>1.0183103745763591</c:v>
                </c:pt>
                <c:pt idx="11">
                  <c:v>0.24713673828508664</c:v>
                </c:pt>
                <c:pt idx="12">
                  <c:v>0.27504918801016476</c:v>
                </c:pt>
                <c:pt idx="13">
                  <c:v>0.3053888072765541</c:v>
                </c:pt>
                <c:pt idx="14">
                  <c:v>0.31759034207768627</c:v>
                </c:pt>
                <c:pt idx="15">
                  <c:v>0.31693762037236189</c:v>
                </c:pt>
                <c:pt idx="16">
                  <c:v>0.31693762037236189</c:v>
                </c:pt>
                <c:pt idx="17">
                  <c:v>0.31693762037236189</c:v>
                </c:pt>
                <c:pt idx="18">
                  <c:v>0.31693762037236189</c:v>
                </c:pt>
                <c:pt idx="19">
                  <c:v>0.31693762037236189</c:v>
                </c:pt>
                <c:pt idx="20">
                  <c:v>0.31693762037236189</c:v>
                </c:pt>
                <c:pt idx="21">
                  <c:v>0.31693762037236189</c:v>
                </c:pt>
                <c:pt idx="22">
                  <c:v>0.31693762037236189</c:v>
                </c:pt>
                <c:pt idx="23">
                  <c:v>0.31693762037236189</c:v>
                </c:pt>
                <c:pt idx="24">
                  <c:v>0.31693762037236189</c:v>
                </c:pt>
                <c:pt idx="25">
                  <c:v>0.31693762037236189</c:v>
                </c:pt>
                <c:pt idx="26">
                  <c:v>0.31693762037236189</c:v>
                </c:pt>
                <c:pt idx="27">
                  <c:v>0.31693762037236189</c:v>
                </c:pt>
                <c:pt idx="28">
                  <c:v>0.31693762037236189</c:v>
                </c:pt>
                <c:pt idx="29">
                  <c:v>0.31693762037236189</c:v>
                </c:pt>
                <c:pt idx="30">
                  <c:v>0.31693762037236189</c:v>
                </c:pt>
                <c:pt idx="31">
                  <c:v>0.31693762037236189</c:v>
                </c:pt>
                <c:pt idx="32">
                  <c:v>0.31693762037236189</c:v>
                </c:pt>
                <c:pt idx="33">
                  <c:v>0.31693762037236189</c:v>
                </c:pt>
                <c:pt idx="34">
                  <c:v>0.31693762037236189</c:v>
                </c:pt>
                <c:pt idx="35">
                  <c:v>0.31693762037236189</c:v>
                </c:pt>
                <c:pt idx="36">
                  <c:v>0.31693762037236189</c:v>
                </c:pt>
                <c:pt idx="37">
                  <c:v>0.31693762037236189</c:v>
                </c:pt>
                <c:pt idx="38">
                  <c:v>0.31693762037236189</c:v>
                </c:pt>
                <c:pt idx="39">
                  <c:v>0.31693762037236189</c:v>
                </c:pt>
                <c:pt idx="40">
                  <c:v>0.31693762037236189</c:v>
                </c:pt>
                <c:pt idx="41">
                  <c:v>0.31693762037236189</c:v>
                </c:pt>
                <c:pt idx="42">
                  <c:v>0.31693762037236189</c:v>
                </c:pt>
                <c:pt idx="43">
                  <c:v>0.31693762037236189</c:v>
                </c:pt>
                <c:pt idx="44">
                  <c:v>0.31693762037236189</c:v>
                </c:pt>
                <c:pt idx="45">
                  <c:v>0.31693762037236189</c:v>
                </c:pt>
                <c:pt idx="46">
                  <c:v>0.31693762037236189</c:v>
                </c:pt>
                <c:pt idx="47">
                  <c:v>0.31693762037236189</c:v>
                </c:pt>
                <c:pt idx="48">
                  <c:v>0.31693762037236189</c:v>
                </c:pt>
                <c:pt idx="49">
                  <c:v>0.31693762037236189</c:v>
                </c:pt>
                <c:pt idx="50">
                  <c:v>0.31693762037236189</c:v>
                </c:pt>
                <c:pt idx="51">
                  <c:v>0.31693762037236189</c:v>
                </c:pt>
                <c:pt idx="52">
                  <c:v>0.31693762037236189</c:v>
                </c:pt>
                <c:pt idx="53">
                  <c:v>0.31693762037236189</c:v>
                </c:pt>
                <c:pt idx="54">
                  <c:v>0.31693762037236189</c:v>
                </c:pt>
                <c:pt idx="55">
                  <c:v>0.31693762037236189</c:v>
                </c:pt>
                <c:pt idx="56">
                  <c:v>0.31693762037236189</c:v>
                </c:pt>
                <c:pt idx="57">
                  <c:v>0.31693762037236189</c:v>
                </c:pt>
                <c:pt idx="58">
                  <c:v>0.31693762037236189</c:v>
                </c:pt>
                <c:pt idx="59">
                  <c:v>0.31693762037236189</c:v>
                </c:pt>
                <c:pt idx="60">
                  <c:v>0.31693762037236189</c:v>
                </c:pt>
                <c:pt idx="61">
                  <c:v>0.31693762037236189</c:v>
                </c:pt>
                <c:pt idx="62">
                  <c:v>0.31693762037236189</c:v>
                </c:pt>
                <c:pt idx="63">
                  <c:v>0.31693762037236189</c:v>
                </c:pt>
                <c:pt idx="64">
                  <c:v>0.31693762037236189</c:v>
                </c:pt>
                <c:pt idx="65">
                  <c:v>0.31693762037236189</c:v>
                </c:pt>
                <c:pt idx="66">
                  <c:v>0.31693762037236189</c:v>
                </c:pt>
                <c:pt idx="67">
                  <c:v>0.31693762037236189</c:v>
                </c:pt>
                <c:pt idx="68">
                  <c:v>0.31693762037236189</c:v>
                </c:pt>
                <c:pt idx="69">
                  <c:v>0.31693762037236189</c:v>
                </c:pt>
                <c:pt idx="70">
                  <c:v>0.31693762037236189</c:v>
                </c:pt>
                <c:pt idx="71">
                  <c:v>0.31693762037236189</c:v>
                </c:pt>
                <c:pt idx="72">
                  <c:v>0.31693762037236189</c:v>
                </c:pt>
                <c:pt idx="73">
                  <c:v>0.31693762037236189</c:v>
                </c:pt>
                <c:pt idx="74">
                  <c:v>0.31693762037236189</c:v>
                </c:pt>
                <c:pt idx="75">
                  <c:v>0.31693762037236189</c:v>
                </c:pt>
                <c:pt idx="76">
                  <c:v>0.31693762037236189</c:v>
                </c:pt>
                <c:pt idx="77">
                  <c:v>0.31693762037236189</c:v>
                </c:pt>
                <c:pt idx="78">
                  <c:v>0.31693762037236189</c:v>
                </c:pt>
                <c:pt idx="79">
                  <c:v>0.31693762037236189</c:v>
                </c:pt>
                <c:pt idx="80">
                  <c:v>0.31693762037236189</c:v>
                </c:pt>
                <c:pt idx="81">
                  <c:v>0.31693762037236189</c:v>
                </c:pt>
                <c:pt idx="82">
                  <c:v>0.31693762037236189</c:v>
                </c:pt>
                <c:pt idx="83">
                  <c:v>0.31693762037236189</c:v>
                </c:pt>
                <c:pt idx="84">
                  <c:v>0.31693762037236189</c:v>
                </c:pt>
                <c:pt idx="85">
                  <c:v>0.31693762037236189</c:v>
                </c:pt>
                <c:pt idx="86">
                  <c:v>0.31693762037236189</c:v>
                </c:pt>
                <c:pt idx="87">
                  <c:v>0.31693762037236189</c:v>
                </c:pt>
                <c:pt idx="88">
                  <c:v>0.31693762037236189</c:v>
                </c:pt>
                <c:pt idx="89">
                  <c:v>0.31693762037236189</c:v>
                </c:pt>
                <c:pt idx="90">
                  <c:v>0.31693762037236189</c:v>
                </c:pt>
                <c:pt idx="91">
                  <c:v>0.31693762037236189</c:v>
                </c:pt>
                <c:pt idx="92">
                  <c:v>0.31693762037236189</c:v>
                </c:pt>
                <c:pt idx="93">
                  <c:v>0.25829978231438322</c:v>
                </c:pt>
                <c:pt idx="94">
                  <c:v>0.17795634404380509</c:v>
                </c:pt>
                <c:pt idx="95">
                  <c:v>0.17521330366893006</c:v>
                </c:pt>
                <c:pt idx="96">
                  <c:v>0.16454396624622752</c:v>
                </c:pt>
                <c:pt idx="97">
                  <c:v>0.146340194686394</c:v>
                </c:pt>
                <c:pt idx="98">
                  <c:v>0.67850747510930554</c:v>
                </c:pt>
                <c:pt idx="99">
                  <c:v>0.67850747510930554</c:v>
                </c:pt>
                <c:pt idx="100">
                  <c:v>0.67850747510930554</c:v>
                </c:pt>
                <c:pt idx="101">
                  <c:v>0.67850747510930554</c:v>
                </c:pt>
                <c:pt idx="102">
                  <c:v>0.67850747510930554</c:v>
                </c:pt>
                <c:pt idx="103">
                  <c:v>0.67850747510930554</c:v>
                </c:pt>
                <c:pt idx="104">
                  <c:v>0.67850747510930554</c:v>
                </c:pt>
                <c:pt idx="105">
                  <c:v>0.67850747510930554</c:v>
                </c:pt>
                <c:pt idx="106">
                  <c:v>0.67850747510930554</c:v>
                </c:pt>
                <c:pt idx="107">
                  <c:v>0.67850747510930554</c:v>
                </c:pt>
                <c:pt idx="108">
                  <c:v>0.67850747510930554</c:v>
                </c:pt>
                <c:pt idx="109">
                  <c:v>0.6476662262407008</c:v>
                </c:pt>
                <c:pt idx="110">
                  <c:v>0.3208907193451922</c:v>
                </c:pt>
                <c:pt idx="111">
                  <c:v>0.32888025399013515</c:v>
                </c:pt>
                <c:pt idx="112">
                  <c:v>0.34202036839135441</c:v>
                </c:pt>
                <c:pt idx="113">
                  <c:v>0.34131743732408198</c:v>
                </c:pt>
                <c:pt idx="114">
                  <c:v>0.34131743732408198</c:v>
                </c:pt>
                <c:pt idx="115">
                  <c:v>0.34131743732408198</c:v>
                </c:pt>
                <c:pt idx="116">
                  <c:v>0.23114077512473666</c:v>
                </c:pt>
                <c:pt idx="117">
                  <c:v>0.23698710424522193</c:v>
                </c:pt>
                <c:pt idx="118">
                  <c:v>0.25124044606863494</c:v>
                </c:pt>
                <c:pt idx="119">
                  <c:v>0.25038321305976613</c:v>
                </c:pt>
                <c:pt idx="120">
                  <c:v>0.28085030287457419</c:v>
                </c:pt>
                <c:pt idx="121">
                  <c:v>0.10273100680875849</c:v>
                </c:pt>
                <c:pt idx="122">
                  <c:v>0.13339180664669426</c:v>
                </c:pt>
                <c:pt idx="123">
                  <c:v>0.13183164257055302</c:v>
                </c:pt>
                <c:pt idx="124">
                  <c:v>0.13183164257055302</c:v>
                </c:pt>
                <c:pt idx="125">
                  <c:v>0.13183164257055302</c:v>
                </c:pt>
                <c:pt idx="126">
                  <c:v>0.13183164257055302</c:v>
                </c:pt>
                <c:pt idx="127">
                  <c:v>0.13183164257055302</c:v>
                </c:pt>
                <c:pt idx="128">
                  <c:v>0.13183164257055302</c:v>
                </c:pt>
                <c:pt idx="129">
                  <c:v>0.13183164257055302</c:v>
                </c:pt>
                <c:pt idx="130">
                  <c:v>0.13183164257055302</c:v>
                </c:pt>
                <c:pt idx="131">
                  <c:v>0.13183164257055302</c:v>
                </c:pt>
                <c:pt idx="132">
                  <c:v>0.13183164257055302</c:v>
                </c:pt>
                <c:pt idx="133">
                  <c:v>0.1318316425705528</c:v>
                </c:pt>
                <c:pt idx="134">
                  <c:v>0.1318316425705528</c:v>
                </c:pt>
                <c:pt idx="135">
                  <c:v>0.1318316425705528</c:v>
                </c:pt>
                <c:pt idx="136">
                  <c:v>0.1318316425705528</c:v>
                </c:pt>
                <c:pt idx="137">
                  <c:v>0.1318316425705528</c:v>
                </c:pt>
                <c:pt idx="138">
                  <c:v>0.1318316425705528</c:v>
                </c:pt>
                <c:pt idx="139">
                  <c:v>0.1318316425705528</c:v>
                </c:pt>
                <c:pt idx="140">
                  <c:v>0.1318316425705528</c:v>
                </c:pt>
                <c:pt idx="141">
                  <c:v>0.1318316425705528</c:v>
                </c:pt>
                <c:pt idx="142">
                  <c:v>0.13183164257055285</c:v>
                </c:pt>
                <c:pt idx="143">
                  <c:v>0.13183164257055285</c:v>
                </c:pt>
                <c:pt idx="144">
                  <c:v>0.13183164257055285</c:v>
                </c:pt>
                <c:pt idx="145">
                  <c:v>0.27821893918471186</c:v>
                </c:pt>
                <c:pt idx="146">
                  <c:v>0.34131743732408198</c:v>
                </c:pt>
                <c:pt idx="147">
                  <c:v>0.34131743732408198</c:v>
                </c:pt>
                <c:pt idx="148">
                  <c:v>0.34131743732408198</c:v>
                </c:pt>
                <c:pt idx="149">
                  <c:v>0.34131743732408198</c:v>
                </c:pt>
                <c:pt idx="150">
                  <c:v>0.34131743732408198</c:v>
                </c:pt>
                <c:pt idx="151">
                  <c:v>0.34131743732408198</c:v>
                </c:pt>
                <c:pt idx="152">
                  <c:v>0.34131743732408198</c:v>
                </c:pt>
                <c:pt idx="153">
                  <c:v>0.34131743732408198</c:v>
                </c:pt>
                <c:pt idx="154">
                  <c:v>0.34131743732408198</c:v>
                </c:pt>
                <c:pt idx="155">
                  <c:v>0.34131743732408198</c:v>
                </c:pt>
                <c:pt idx="156">
                  <c:v>0.34131743732408198</c:v>
                </c:pt>
                <c:pt idx="157">
                  <c:v>0.30585784646814623</c:v>
                </c:pt>
                <c:pt idx="158">
                  <c:v>0.27472659652059078</c:v>
                </c:pt>
                <c:pt idx="159">
                  <c:v>0.66270874596856133</c:v>
                </c:pt>
                <c:pt idx="160">
                  <c:v>0.75356822307129501</c:v>
                </c:pt>
                <c:pt idx="161">
                  <c:v>0.8592015582367396</c:v>
                </c:pt>
                <c:pt idx="162">
                  <c:v>0.98453337081913228</c:v>
                </c:pt>
                <c:pt idx="163">
                  <c:v>1.1369505898498291</c:v>
                </c:pt>
                <c:pt idx="164">
                  <c:v>1.3280612466638166</c:v>
                </c:pt>
                <c:pt idx="165">
                  <c:v>1.5772120601527406</c:v>
                </c:pt>
                <c:pt idx="166">
                  <c:v>1.9192271243215635</c:v>
                </c:pt>
                <c:pt idx="167">
                  <c:v>0.315875453454665</c:v>
                </c:pt>
                <c:pt idx="168">
                  <c:v>0.315875453454665</c:v>
                </c:pt>
                <c:pt idx="169">
                  <c:v>0.315875453454665</c:v>
                </c:pt>
                <c:pt idx="170">
                  <c:v>0.315875453454665</c:v>
                </c:pt>
                <c:pt idx="171">
                  <c:v>0.315875453454665</c:v>
                </c:pt>
                <c:pt idx="172">
                  <c:v>0.315875453454665</c:v>
                </c:pt>
                <c:pt idx="173">
                  <c:v>0.315875453454665</c:v>
                </c:pt>
                <c:pt idx="174">
                  <c:v>0.315875453454665</c:v>
                </c:pt>
                <c:pt idx="175">
                  <c:v>0.315875453454665</c:v>
                </c:pt>
                <c:pt idx="176">
                  <c:v>0.315875453454665</c:v>
                </c:pt>
                <c:pt idx="177">
                  <c:v>0.315875453454665</c:v>
                </c:pt>
                <c:pt idx="178">
                  <c:v>2.5858461531039687</c:v>
                </c:pt>
                <c:pt idx="179">
                  <c:v>2.6192148799579145</c:v>
                </c:pt>
                <c:pt idx="180">
                  <c:v>2.6593796815275317</c:v>
                </c:pt>
                <c:pt idx="181">
                  <c:v>1.9271750629128703</c:v>
                </c:pt>
                <c:pt idx="182">
                  <c:v>1.5287789105994318</c:v>
                </c:pt>
                <c:pt idx="183">
                  <c:v>1.2783432112707309</c:v>
                </c:pt>
                <c:pt idx="184">
                  <c:v>1.1075785250876573</c:v>
                </c:pt>
                <c:pt idx="185">
                  <c:v>1.1360959001445701</c:v>
                </c:pt>
                <c:pt idx="186">
                  <c:v>1.1672271500921254</c:v>
                </c:pt>
                <c:pt idx="187">
                  <c:v>1.2009722749303235</c:v>
                </c:pt>
                <c:pt idx="188">
                  <c:v>0.34131743732408198</c:v>
                </c:pt>
                <c:pt idx="189">
                  <c:v>0.34131743732408198</c:v>
                </c:pt>
                <c:pt idx="190">
                  <c:v>0.34131743732408198</c:v>
                </c:pt>
                <c:pt idx="191">
                  <c:v>0.34131743732408198</c:v>
                </c:pt>
                <c:pt idx="192">
                  <c:v>0.34131743732408198</c:v>
                </c:pt>
                <c:pt idx="193">
                  <c:v>0.34131743732408198</c:v>
                </c:pt>
                <c:pt idx="194">
                  <c:v>0.34131743732408198</c:v>
                </c:pt>
                <c:pt idx="195">
                  <c:v>0.34131743732408198</c:v>
                </c:pt>
                <c:pt idx="196">
                  <c:v>0.34131743732408198</c:v>
                </c:pt>
                <c:pt idx="197">
                  <c:v>0.34131743732408198</c:v>
                </c:pt>
                <c:pt idx="198">
                  <c:v>0.34131743732408198</c:v>
                </c:pt>
                <c:pt idx="199">
                  <c:v>0.34131743732408198</c:v>
                </c:pt>
                <c:pt idx="200">
                  <c:v>0.34131743732408198</c:v>
                </c:pt>
                <c:pt idx="201">
                  <c:v>0.34131743732408198</c:v>
                </c:pt>
                <c:pt idx="202">
                  <c:v>0.34131743732408198</c:v>
                </c:pt>
                <c:pt idx="203">
                  <c:v>0.34131743732408198</c:v>
                </c:pt>
                <c:pt idx="204">
                  <c:v>0.34131743732408198</c:v>
                </c:pt>
                <c:pt idx="205">
                  <c:v>0.34131743732408198</c:v>
                </c:pt>
                <c:pt idx="206">
                  <c:v>0.34131743732408198</c:v>
                </c:pt>
                <c:pt idx="207">
                  <c:v>0.34131743732408198</c:v>
                </c:pt>
                <c:pt idx="208">
                  <c:v>0.34131743732408198</c:v>
                </c:pt>
                <c:pt idx="209">
                  <c:v>0.34131743732408198</c:v>
                </c:pt>
                <c:pt idx="210">
                  <c:v>0.34131743732408198</c:v>
                </c:pt>
                <c:pt idx="211">
                  <c:v>0.34131743732408198</c:v>
                </c:pt>
                <c:pt idx="212">
                  <c:v>0.34131743732408198</c:v>
                </c:pt>
                <c:pt idx="213">
                  <c:v>0.34131743732408198</c:v>
                </c:pt>
                <c:pt idx="214">
                  <c:v>0.30585784646814623</c:v>
                </c:pt>
                <c:pt idx="215">
                  <c:v>0.27472659652059078</c:v>
                </c:pt>
                <c:pt idx="216">
                  <c:v>0.24620922146367819</c:v>
                </c:pt>
                <c:pt idx="217">
                  <c:v>0.72080438728558638</c:v>
                </c:pt>
                <c:pt idx="218">
                  <c:v>0.8592015582367396</c:v>
                </c:pt>
                <c:pt idx="219">
                  <c:v>1.0424470985143754</c:v>
                </c:pt>
                <c:pt idx="220">
                  <c:v>1.2993721026855189</c:v>
                </c:pt>
                <c:pt idx="221">
                  <c:v>1.697801104603768</c:v>
                </c:pt>
                <c:pt idx="222">
                  <c:v>2.3761874273976127</c:v>
                </c:pt>
                <c:pt idx="223">
                  <c:v>3.8550451881127294</c:v>
                </c:pt>
                <c:pt idx="224">
                  <c:v>0.63175090690933</c:v>
                </c:pt>
                <c:pt idx="225">
                  <c:v>0.63175090690933</c:v>
                </c:pt>
                <c:pt idx="226">
                  <c:v>0.63175090690933</c:v>
                </c:pt>
                <c:pt idx="227">
                  <c:v>0.63175090690933</c:v>
                </c:pt>
                <c:pt idx="228">
                  <c:v>0.63175090690933</c:v>
                </c:pt>
                <c:pt idx="229">
                  <c:v>0.63175090690933</c:v>
                </c:pt>
                <c:pt idx="230">
                  <c:v>0.63175090690933</c:v>
                </c:pt>
                <c:pt idx="231">
                  <c:v>0.63175090690933</c:v>
                </c:pt>
                <c:pt idx="232">
                  <c:v>0.63175090690933</c:v>
                </c:pt>
                <c:pt idx="233">
                  <c:v>0.63175090690933</c:v>
                </c:pt>
                <c:pt idx="234">
                  <c:v>0.63175090690933</c:v>
                </c:pt>
                <c:pt idx="235">
                  <c:v>0.63175090690933</c:v>
                </c:pt>
                <c:pt idx="236">
                  <c:v>1.8125141174248227</c:v>
                </c:pt>
                <c:pt idx="237">
                  <c:v>1.6268301437205044</c:v>
                </c:pt>
                <c:pt idx="238">
                  <c:v>1.479981983435968</c:v>
                </c:pt>
                <c:pt idx="239">
                  <c:v>1.3613780510930911</c:v>
                </c:pt>
                <c:pt idx="240">
                  <c:v>1.2605008439836238</c:v>
                </c:pt>
                <c:pt idx="241">
                  <c:v>1.1796407099266275</c:v>
                </c:pt>
                <c:pt idx="242">
                  <c:v>1.1115456083627153</c:v>
                </c:pt>
                <c:pt idx="243">
                  <c:v>1.0536625327932692</c:v>
                </c:pt>
                <c:pt idx="244">
                  <c:v>1.0040767283443279</c:v>
                </c:pt>
                <c:pt idx="245">
                  <c:v>0.96132397070050779</c:v>
                </c:pt>
                <c:pt idx="246">
                  <c:v>0.92426541872762191</c:v>
                </c:pt>
                <c:pt idx="247">
                  <c:v>0.89200198731973346</c:v>
                </c:pt>
                <c:pt idx="248">
                  <c:v>0.86381440839209278</c:v>
                </c:pt>
                <c:pt idx="249">
                  <c:v>0.83912041730466458</c:v>
                </c:pt>
                <c:pt idx="250">
                  <c:v>0.81744361571560142</c:v>
                </c:pt>
                <c:pt idx="251">
                  <c:v>0.31346763844465764</c:v>
                </c:pt>
                <c:pt idx="252">
                  <c:v>0.33506067671225659</c:v>
                </c:pt>
                <c:pt idx="253">
                  <c:v>0.3185296245316897</c:v>
                </c:pt>
                <c:pt idx="254">
                  <c:v>0.31693762037236189</c:v>
                </c:pt>
                <c:pt idx="255">
                  <c:v>0.31693762037236189</c:v>
                </c:pt>
                <c:pt idx="256">
                  <c:v>0.31693762037236189</c:v>
                </c:pt>
                <c:pt idx="257">
                  <c:v>0.31693762037236189</c:v>
                </c:pt>
                <c:pt idx="258">
                  <c:v>0.31693762037236189</c:v>
                </c:pt>
                <c:pt idx="259">
                  <c:v>0.31693762037236189</c:v>
                </c:pt>
                <c:pt idx="260">
                  <c:v>0.31693762037236189</c:v>
                </c:pt>
                <c:pt idx="261">
                  <c:v>0.31693762037236189</c:v>
                </c:pt>
                <c:pt idx="262">
                  <c:v>0.31693762037236189</c:v>
                </c:pt>
                <c:pt idx="263">
                  <c:v>0.31693762037236189</c:v>
                </c:pt>
                <c:pt idx="264">
                  <c:v>0.31693762037236189</c:v>
                </c:pt>
                <c:pt idx="265">
                  <c:v>0.32867605075652345</c:v>
                </c:pt>
                <c:pt idx="266">
                  <c:v>0.34131743732408198</c:v>
                </c:pt>
                <c:pt idx="267">
                  <c:v>0.27278968280054505</c:v>
                </c:pt>
                <c:pt idx="268">
                  <c:v>8.0329955105585438E-2</c:v>
                </c:pt>
                <c:pt idx="269">
                  <c:v>6.6463023173407187E-2</c:v>
                </c:pt>
                <c:pt idx="270">
                  <c:v>5.2107742283266548E-2</c:v>
                </c:pt>
                <c:pt idx="271">
                  <c:v>0.56008560086877301</c:v>
                </c:pt>
                <c:pt idx="272">
                  <c:v>0.56008560086877301</c:v>
                </c:pt>
                <c:pt idx="273">
                  <c:v>0.56008560086877301</c:v>
                </c:pt>
                <c:pt idx="274">
                  <c:v>0.56008560086877301</c:v>
                </c:pt>
                <c:pt idx="275">
                  <c:v>0.56008560086877301</c:v>
                </c:pt>
                <c:pt idx="276">
                  <c:v>0.56008560086877301</c:v>
                </c:pt>
                <c:pt idx="277">
                  <c:v>0.56008560086877301</c:v>
                </c:pt>
                <c:pt idx="278">
                  <c:v>0.5600856008687729</c:v>
                </c:pt>
                <c:pt idx="279">
                  <c:v>0.5600856008687729</c:v>
                </c:pt>
                <c:pt idx="280">
                  <c:v>0.5600856008687729</c:v>
                </c:pt>
                <c:pt idx="281">
                  <c:v>0.5600856008687729</c:v>
                </c:pt>
                <c:pt idx="282">
                  <c:v>0.5600856008687729</c:v>
                </c:pt>
                <c:pt idx="283">
                  <c:v>0.5600856008687729</c:v>
                </c:pt>
                <c:pt idx="284">
                  <c:v>0.5600856008687729</c:v>
                </c:pt>
                <c:pt idx="285">
                  <c:v>1.4452729854104875</c:v>
                </c:pt>
                <c:pt idx="286">
                  <c:v>0.33730619926620353</c:v>
                </c:pt>
                <c:pt idx="287">
                  <c:v>0.32802302098126629</c:v>
                </c:pt>
                <c:pt idx="288">
                  <c:v>0.31759034207768627</c:v>
                </c:pt>
                <c:pt idx="289">
                  <c:v>0.31693762037236189</c:v>
                </c:pt>
                <c:pt idx="290">
                  <c:v>0.31693762037236189</c:v>
                </c:pt>
                <c:pt idx="291">
                  <c:v>0.31693762037236189</c:v>
                </c:pt>
                <c:pt idx="292">
                  <c:v>0.31693762037236189</c:v>
                </c:pt>
                <c:pt idx="293">
                  <c:v>0.31693762037236189</c:v>
                </c:pt>
                <c:pt idx="294">
                  <c:v>0.31693762037236189</c:v>
                </c:pt>
                <c:pt idx="295">
                  <c:v>0.31693762037236189</c:v>
                </c:pt>
                <c:pt idx="296">
                  <c:v>0.55208252512035783</c:v>
                </c:pt>
                <c:pt idx="297">
                  <c:v>0.63181492299023934</c:v>
                </c:pt>
                <c:pt idx="298">
                  <c:v>0.72295499560206711</c:v>
                </c:pt>
                <c:pt idx="299">
                  <c:v>0.82892504537842437</c:v>
                </c:pt>
                <c:pt idx="300">
                  <c:v>0.95466839804082171</c:v>
                </c:pt>
                <c:pt idx="301">
                  <c:v>1.107600042171524</c:v>
                </c:pt>
                <c:pt idx="302">
                  <c:v>1.2993721026855189</c:v>
                </c:pt>
                <c:pt idx="303">
                  <c:v>1.5563176792201203</c:v>
                </c:pt>
                <c:pt idx="304">
                  <c:v>1.5841249515984084</c:v>
                </c:pt>
                <c:pt idx="305">
                  <c:v>0.28537342132744947</c:v>
                </c:pt>
                <c:pt idx="306">
                  <c:v>0.28537342132744947</c:v>
                </c:pt>
                <c:pt idx="307">
                  <c:v>0.28537342132744947</c:v>
                </c:pt>
                <c:pt idx="308">
                  <c:v>0.28537342132744947</c:v>
                </c:pt>
                <c:pt idx="309">
                  <c:v>0.28537342132744947</c:v>
                </c:pt>
                <c:pt idx="310">
                  <c:v>0.28537342132744947</c:v>
                </c:pt>
                <c:pt idx="311">
                  <c:v>0.28537342132744947</c:v>
                </c:pt>
                <c:pt idx="312">
                  <c:v>0.28537342132744947</c:v>
                </c:pt>
                <c:pt idx="313">
                  <c:v>1.0571299881685485</c:v>
                </c:pt>
                <c:pt idx="314">
                  <c:v>0.93594741012649996</c:v>
                </c:pt>
                <c:pt idx="315">
                  <c:v>0.84033389598908248</c:v>
                </c:pt>
                <c:pt idx="316">
                  <c:v>0.76676646145230798</c:v>
                </c:pt>
                <c:pt idx="317">
                  <c:v>0.7073472053217279</c:v>
                </c:pt>
                <c:pt idx="318">
                  <c:v>0.65853908299579322</c:v>
                </c:pt>
                <c:pt idx="319">
                  <c:v>0.61789337128881716</c:v>
                </c:pt>
                <c:pt idx="320">
                  <c:v>0.58366098221102258</c:v>
                </c:pt>
                <c:pt idx="321">
                  <c:v>0.59417062632489992</c:v>
                </c:pt>
                <c:pt idx="322">
                  <c:v>0.60528706282410494</c:v>
                </c:pt>
                <c:pt idx="323">
                  <c:v>3.1529015385577813E-2</c:v>
                </c:pt>
                <c:pt idx="324">
                  <c:v>5.04859568987327E-3</c:v>
                </c:pt>
                <c:pt idx="325">
                  <c:v>2.38589935471425E-2</c:v>
                </c:pt>
                <c:pt idx="326">
                  <c:v>5.5193752325469372E-2</c:v>
                </c:pt>
                <c:pt idx="327">
                  <c:v>5.3601748166141584E-2</c:v>
                </c:pt>
                <c:pt idx="328">
                  <c:v>0.8356750028809028</c:v>
                </c:pt>
                <c:pt idx="329">
                  <c:v>0.93904010723082965</c:v>
                </c:pt>
                <c:pt idx="330">
                  <c:v>1.0581097420463474</c:v>
                </c:pt>
                <c:pt idx="331">
                  <c:v>1.1975952664671328</c:v>
                </c:pt>
                <c:pt idx="332">
                  <c:v>1.3643019770282754</c:v>
                </c:pt>
                <c:pt idx="333">
                  <c:v>1.5684378185324095</c:v>
                </c:pt>
                <c:pt idx="334">
                  <c:v>1.8260438470979596</c:v>
                </c:pt>
                <c:pt idx="335">
                  <c:v>1.5083794380249524</c:v>
                </c:pt>
                <c:pt idx="336">
                  <c:v>1.106083610306472</c:v>
                </c:pt>
                <c:pt idx="337">
                  <c:v>1.4158203280559332</c:v>
                </c:pt>
                <c:pt idx="338">
                  <c:v>1.4405410498341871</c:v>
                </c:pt>
                <c:pt idx="339">
                  <c:v>1.3533371723860985</c:v>
                </c:pt>
                <c:pt idx="340">
                  <c:v>1.3533371723860985</c:v>
                </c:pt>
                <c:pt idx="341">
                  <c:v>1.3533371723860985</c:v>
                </c:pt>
                <c:pt idx="342">
                  <c:v>1.3533371723860985</c:v>
                </c:pt>
                <c:pt idx="343">
                  <c:v>2.761574757711045</c:v>
                </c:pt>
                <c:pt idx="344">
                  <c:v>2.4666640046884396</c:v>
                </c:pt>
                <c:pt idx="345">
                  <c:v>2.2324344209492746</c:v>
                </c:pt>
                <c:pt idx="346">
                  <c:v>2.0423365966889735</c:v>
                </c:pt>
                <c:pt idx="347">
                  <c:v>1.8853375920378204</c:v>
                </c:pt>
                <c:pt idx="348">
                  <c:v>1.7537992178552431</c:v>
                </c:pt>
                <c:pt idx="349">
                  <c:v>1.6422656247551184</c:v>
                </c:pt>
                <c:pt idx="350">
                  <c:v>0.80318753447758506</c:v>
                </c:pt>
                <c:pt idx="351">
                  <c:v>0.76713264407472692</c:v>
                </c:pt>
                <c:pt idx="352">
                  <c:v>0.73631892823627398</c:v>
                </c:pt>
                <c:pt idx="353">
                  <c:v>0.70987285786815912</c:v>
                </c:pt>
                <c:pt idx="354">
                  <c:v>0.68710480473822366</c:v>
                </c:pt>
                <c:pt idx="355">
                  <c:v>0.67569558459851653</c:v>
                </c:pt>
                <c:pt idx="356">
                  <c:v>0.66666266595594137</c:v>
                </c:pt>
                <c:pt idx="357">
                  <c:v>0.66018855447522073</c:v>
                </c:pt>
                <c:pt idx="358">
                  <c:v>0.65593949270046048</c:v>
                </c:pt>
                <c:pt idx="359">
                  <c:v>0.66279853582759696</c:v>
                </c:pt>
                <c:pt idx="360">
                  <c:v>0.59944778948769573</c:v>
                </c:pt>
                <c:pt idx="361">
                  <c:v>0.59785578532836803</c:v>
                </c:pt>
                <c:pt idx="362">
                  <c:v>0.59785578532836803</c:v>
                </c:pt>
                <c:pt idx="363">
                  <c:v>0.59785578532836803</c:v>
                </c:pt>
                <c:pt idx="364">
                  <c:v>0.59785578532836803</c:v>
                </c:pt>
                <c:pt idx="365">
                  <c:v>0.59785578532836803</c:v>
                </c:pt>
                <c:pt idx="366">
                  <c:v>0.59785578532836803</c:v>
                </c:pt>
                <c:pt idx="367">
                  <c:v>2.645033071223913E-2</c:v>
                </c:pt>
                <c:pt idx="368">
                  <c:v>5.4745080526390516E-2</c:v>
                </c:pt>
                <c:pt idx="369">
                  <c:v>8.6446697566949032E-2</c:v>
                </c:pt>
                <c:pt idx="370">
                  <c:v>0.12257724200183655</c:v>
                </c:pt>
                <c:pt idx="371">
                  <c:v>0.16461302296249647</c:v>
                </c:pt>
                <c:pt idx="372">
                  <c:v>0.21476850414609305</c:v>
                </c:pt>
                <c:pt idx="373">
                  <c:v>0.27652355707674231</c:v>
                </c:pt>
                <c:pt idx="374">
                  <c:v>0.35567796762797049</c:v>
                </c:pt>
                <c:pt idx="375">
                  <c:v>0.46267135037212465</c:v>
                </c:pt>
                <c:pt idx="376">
                  <c:v>0.6183829344538998</c:v>
                </c:pt>
                <c:pt idx="377">
                  <c:v>0.87153092121091635</c:v>
                </c:pt>
                <c:pt idx="378">
                  <c:v>1.3838239204087892</c:v>
                </c:pt>
                <c:pt idx="379">
                  <c:v>1.4352404731795392</c:v>
                </c:pt>
                <c:pt idx="380">
                  <c:v>1.4771000458813763</c:v>
                </c:pt>
                <c:pt idx="381">
                  <c:v>2.7292712932018039</c:v>
                </c:pt>
                <c:pt idx="382">
                  <c:v>2.7292712932018039</c:v>
                </c:pt>
                <c:pt idx="383">
                  <c:v>2.7292712932018039</c:v>
                </c:pt>
                <c:pt idx="384">
                  <c:v>2.7292712932018039</c:v>
                </c:pt>
                <c:pt idx="385">
                  <c:v>2.7292712932018039</c:v>
                </c:pt>
                <c:pt idx="386">
                  <c:v>2.7292712932018039</c:v>
                </c:pt>
                <c:pt idx="387">
                  <c:v>2.7292712932018039</c:v>
                </c:pt>
                <c:pt idx="388">
                  <c:v>2.7292712932018039</c:v>
                </c:pt>
                <c:pt idx="389">
                  <c:v>2.7292712932018039</c:v>
                </c:pt>
                <c:pt idx="390">
                  <c:v>2.7292712932018039</c:v>
                </c:pt>
                <c:pt idx="391">
                  <c:v>4.6516681366578805</c:v>
                </c:pt>
                <c:pt idx="392">
                  <c:v>3.5144593788787857</c:v>
                </c:pt>
                <c:pt idx="393">
                  <c:v>2.8359569162388936</c:v>
                </c:pt>
                <c:pt idx="394">
                  <c:v>2.386807601168603</c:v>
                </c:pt>
                <c:pt idx="395">
                  <c:v>2.0642732259230132</c:v>
                </c:pt>
                <c:pt idx="396">
                  <c:v>2.1858862848128005</c:v>
                </c:pt>
                <c:pt idx="397">
                  <c:v>1.776437012690179</c:v>
                </c:pt>
                <c:pt idx="398">
                  <c:v>1.5063025290732941</c:v>
                </c:pt>
                <c:pt idx="399">
                  <c:v>1.3157764960311162</c:v>
                </c:pt>
                <c:pt idx="400">
                  <c:v>1.3428637081121486</c:v>
                </c:pt>
                <c:pt idx="401">
                  <c:v>1.3723780897344924</c:v>
                </c:pt>
                <c:pt idx="402">
                  <c:v>1.2408604193524451</c:v>
                </c:pt>
                <c:pt idx="403">
                  <c:v>2.645033071223913E-2</c:v>
                </c:pt>
                <c:pt idx="404">
                  <c:v>5.2555277305334901E-2</c:v>
                </c:pt>
                <c:pt idx="405">
                  <c:v>7.9242806103036592E-2</c:v>
                </c:pt>
                <c:pt idx="406">
                  <c:v>0.10658890608855351</c:v>
                </c:pt>
                <c:pt idx="407">
                  <c:v>0.13468338242386077</c:v>
                </c:pt>
                <c:pt idx="408">
                  <c:v>0.1636331460160709</c:v>
                </c:pt>
                <c:pt idx="409">
                  <c:v>0.19356648995371958</c:v>
                </c:pt>
                <c:pt idx="410">
                  <c:v>0.22463871639661295</c:v>
                </c:pt>
                <c:pt idx="411">
                  <c:v>0.6941740956547815</c:v>
                </c:pt>
                <c:pt idx="412">
                  <c:v>0.6941740956547815</c:v>
                </c:pt>
                <c:pt idx="413">
                  <c:v>0.6941740956547815</c:v>
                </c:pt>
                <c:pt idx="414">
                  <c:v>0.6941740956547815</c:v>
                </c:pt>
                <c:pt idx="415">
                  <c:v>0.6941740956547815</c:v>
                </c:pt>
                <c:pt idx="416">
                  <c:v>0.6941740956547815</c:v>
                </c:pt>
                <c:pt idx="417">
                  <c:v>1.6475116037538353</c:v>
                </c:pt>
                <c:pt idx="418">
                  <c:v>1.5045121300152968</c:v>
                </c:pt>
                <c:pt idx="419">
                  <c:v>1.3892501933326589</c:v>
                </c:pt>
                <c:pt idx="420">
                  <c:v>0.59771485752628606</c:v>
                </c:pt>
                <c:pt idx="421">
                  <c:v>0.57287977208441221</c:v>
                </c:pt>
                <c:pt idx="422">
                  <c:v>0.55295783885836525</c:v>
                </c:pt>
                <c:pt idx="423">
                  <c:v>0.57532117221962076</c:v>
                </c:pt>
                <c:pt idx="424">
                  <c:v>0.59904978844786383</c:v>
                </c:pt>
                <c:pt idx="425">
                  <c:v>0.59785578532836803</c:v>
                </c:pt>
                <c:pt idx="426">
                  <c:v>0.59785578532836803</c:v>
                </c:pt>
                <c:pt idx="427">
                  <c:v>0.59785578532836803</c:v>
                </c:pt>
                <c:pt idx="428">
                  <c:v>0.59785578532836803</c:v>
                </c:pt>
                <c:pt idx="429">
                  <c:v>0.59785578532836803</c:v>
                </c:pt>
                <c:pt idx="430">
                  <c:v>0.59785578532836803</c:v>
                </c:pt>
                <c:pt idx="431">
                  <c:v>0.59785578532836803</c:v>
                </c:pt>
                <c:pt idx="432">
                  <c:v>0.59785578532836803</c:v>
                </c:pt>
                <c:pt idx="433">
                  <c:v>0.59785578532836803</c:v>
                </c:pt>
                <c:pt idx="434">
                  <c:v>0.59785578532836803</c:v>
                </c:pt>
                <c:pt idx="435">
                  <c:v>0.59785578532836803</c:v>
                </c:pt>
                <c:pt idx="436">
                  <c:v>0.59785578532836803</c:v>
                </c:pt>
                <c:pt idx="437">
                  <c:v>0.59785578532836803</c:v>
                </c:pt>
                <c:pt idx="438">
                  <c:v>0.59785578532836803</c:v>
                </c:pt>
                <c:pt idx="439">
                  <c:v>0.59785578532836803</c:v>
                </c:pt>
                <c:pt idx="440">
                  <c:v>0.59785578532836803</c:v>
                </c:pt>
                <c:pt idx="441">
                  <c:v>0.59785578532836803</c:v>
                </c:pt>
                <c:pt idx="442">
                  <c:v>0.59785578532836803</c:v>
                </c:pt>
                <c:pt idx="443">
                  <c:v>0.59785578532836803</c:v>
                </c:pt>
                <c:pt idx="444">
                  <c:v>0.59785578532836803</c:v>
                </c:pt>
                <c:pt idx="445">
                  <c:v>0.59785578532836803</c:v>
                </c:pt>
                <c:pt idx="446">
                  <c:v>0.59785578532836803</c:v>
                </c:pt>
                <c:pt idx="447">
                  <c:v>0.59785578532836803</c:v>
                </c:pt>
                <c:pt idx="448">
                  <c:v>0.59785578532836803</c:v>
                </c:pt>
                <c:pt idx="449">
                  <c:v>0.59785578532836803</c:v>
                </c:pt>
                <c:pt idx="450">
                  <c:v>0.59785578532836803</c:v>
                </c:pt>
                <c:pt idx="451">
                  <c:v>0.59785578532836803</c:v>
                </c:pt>
                <c:pt idx="452">
                  <c:v>0.59785578532836803</c:v>
                </c:pt>
                <c:pt idx="453">
                  <c:v>0.59785578532836803</c:v>
                </c:pt>
                <c:pt idx="454">
                  <c:v>0.59785578532836803</c:v>
                </c:pt>
                <c:pt idx="455">
                  <c:v>0.59785578532836803</c:v>
                </c:pt>
                <c:pt idx="456">
                  <c:v>0.59785578532836803</c:v>
                </c:pt>
                <c:pt idx="457">
                  <c:v>0.59785578532836803</c:v>
                </c:pt>
                <c:pt idx="458">
                  <c:v>0.59785578532836803</c:v>
                </c:pt>
                <c:pt idx="459">
                  <c:v>0.59785578532836803</c:v>
                </c:pt>
                <c:pt idx="460">
                  <c:v>0.59785578532836803</c:v>
                </c:pt>
                <c:pt idx="461">
                  <c:v>0.59785578532836803</c:v>
                </c:pt>
                <c:pt idx="462">
                  <c:v>0.59785578532836803</c:v>
                </c:pt>
                <c:pt idx="463">
                  <c:v>0.59785578532836803</c:v>
                </c:pt>
                <c:pt idx="464">
                  <c:v>0.59785578532836803</c:v>
                </c:pt>
                <c:pt idx="465">
                  <c:v>0.59785578532836803</c:v>
                </c:pt>
                <c:pt idx="466">
                  <c:v>0.59785578532836803</c:v>
                </c:pt>
                <c:pt idx="467">
                  <c:v>0.59785578532836803</c:v>
                </c:pt>
                <c:pt idx="468">
                  <c:v>0.59785578532836803</c:v>
                </c:pt>
                <c:pt idx="469">
                  <c:v>0.59785578532836803</c:v>
                </c:pt>
                <c:pt idx="470">
                  <c:v>0.59785578532836803</c:v>
                </c:pt>
                <c:pt idx="471">
                  <c:v>0.59785578532836803</c:v>
                </c:pt>
                <c:pt idx="472">
                  <c:v>0.59785578532836803</c:v>
                </c:pt>
                <c:pt idx="473">
                  <c:v>2.645033071223913E-2</c:v>
                </c:pt>
                <c:pt idx="474">
                  <c:v>5.4745080526390516E-2</c:v>
                </c:pt>
                <c:pt idx="475">
                  <c:v>8.6446697566949032E-2</c:v>
                </c:pt>
                <c:pt idx="476">
                  <c:v>0.12257724200183655</c:v>
                </c:pt>
                <c:pt idx="477">
                  <c:v>0.16461302296249647</c:v>
                </c:pt>
                <c:pt idx="478">
                  <c:v>0.21476850414609305</c:v>
                </c:pt>
                <c:pt idx="479">
                  <c:v>0.27652355707674231</c:v>
                </c:pt>
                <c:pt idx="480">
                  <c:v>0.35567796762797049</c:v>
                </c:pt>
                <c:pt idx="481">
                  <c:v>0.46889295267322539</c:v>
                </c:pt>
                <c:pt idx="482">
                  <c:v>0.62615993733027564</c:v>
                </c:pt>
                <c:pt idx="483">
                  <c:v>0.88190025837941755</c:v>
                </c:pt>
                <c:pt idx="484">
                  <c:v>1.3838239204087892</c:v>
                </c:pt>
                <c:pt idx="485">
                  <c:v>1.4352404731795392</c:v>
                </c:pt>
                <c:pt idx="486">
                  <c:v>2.7711308659036411</c:v>
                </c:pt>
                <c:pt idx="487">
                  <c:v>2.7711308659036411</c:v>
                </c:pt>
                <c:pt idx="488">
                  <c:v>2.7711308659036411</c:v>
                </c:pt>
                <c:pt idx="489">
                  <c:v>2.7711308659036411</c:v>
                </c:pt>
                <c:pt idx="490">
                  <c:v>2.7711308659036411</c:v>
                </c:pt>
                <c:pt idx="491">
                  <c:v>2.7711308659036411</c:v>
                </c:pt>
                <c:pt idx="492">
                  <c:v>2.7711308659036411</c:v>
                </c:pt>
                <c:pt idx="493">
                  <c:v>4.685945838505047</c:v>
                </c:pt>
                <c:pt idx="494">
                  <c:v>3.5371691424222411</c:v>
                </c:pt>
                <c:pt idx="495">
                  <c:v>2.8579475191012231</c:v>
                </c:pt>
                <c:pt idx="496">
                  <c:v>2.4083187635768484</c:v>
                </c:pt>
                <c:pt idx="497">
                  <c:v>2.0898859325076988</c:v>
                </c:pt>
                <c:pt idx="498">
                  <c:v>1.8534505542230648</c:v>
                </c:pt>
                <c:pt idx="499">
                  <c:v>1.6716801444614406</c:v>
                </c:pt>
                <c:pt idx="500">
                  <c:v>1.5281752126659245</c:v>
                </c:pt>
                <c:pt idx="501">
                  <c:v>0.65205257184685761</c:v>
                </c:pt>
                <c:pt idx="502">
                  <c:v>0.62907301505107849</c:v>
                </c:pt>
                <c:pt idx="503">
                  <c:v>0.61181403307162796</c:v>
                </c:pt>
                <c:pt idx="504">
                  <c:v>0.59944778948769573</c:v>
                </c:pt>
                <c:pt idx="505">
                  <c:v>0.59785578532836803</c:v>
                </c:pt>
                <c:pt idx="506">
                  <c:v>0.59785578532836803</c:v>
                </c:pt>
                <c:pt idx="507">
                  <c:v>0.59785578532836803</c:v>
                </c:pt>
                <c:pt idx="508">
                  <c:v>0.59785578532836803</c:v>
                </c:pt>
                <c:pt idx="509">
                  <c:v>0.59785578532836803</c:v>
                </c:pt>
                <c:pt idx="510">
                  <c:v>0.59785578532836803</c:v>
                </c:pt>
                <c:pt idx="511">
                  <c:v>0.59785578532836803</c:v>
                </c:pt>
                <c:pt idx="512">
                  <c:v>0.59785578532836803</c:v>
                </c:pt>
                <c:pt idx="513">
                  <c:v>0.59785578532836803</c:v>
                </c:pt>
                <c:pt idx="514">
                  <c:v>0.59785578532836803</c:v>
                </c:pt>
                <c:pt idx="515">
                  <c:v>0.59785578532836803</c:v>
                </c:pt>
                <c:pt idx="516">
                  <c:v>0.59785578532836803</c:v>
                </c:pt>
                <c:pt idx="517">
                  <c:v>0.59785578532836803</c:v>
                </c:pt>
                <c:pt idx="518">
                  <c:v>0.59785578532836803</c:v>
                </c:pt>
                <c:pt idx="519">
                  <c:v>0.59785578532836803</c:v>
                </c:pt>
                <c:pt idx="520">
                  <c:v>0.59785578532836803</c:v>
                </c:pt>
                <c:pt idx="521">
                  <c:v>0.59785578532836803</c:v>
                </c:pt>
                <c:pt idx="522">
                  <c:v>0.59785578532836803</c:v>
                </c:pt>
                <c:pt idx="523">
                  <c:v>0.59785578532836803</c:v>
                </c:pt>
                <c:pt idx="524">
                  <c:v>0.59785578532836803</c:v>
                </c:pt>
                <c:pt idx="525">
                  <c:v>0.59785578532836803</c:v>
                </c:pt>
                <c:pt idx="526">
                  <c:v>0.59785578532836803</c:v>
                </c:pt>
                <c:pt idx="527">
                  <c:v>0.61700494797913896</c:v>
                </c:pt>
                <c:pt idx="528">
                  <c:v>0.64233147138926905</c:v>
                </c:pt>
                <c:pt idx="529">
                  <c:v>0.67400044997740705</c:v>
                </c:pt>
                <c:pt idx="530">
                  <c:v>0.12257724200183655</c:v>
                </c:pt>
                <c:pt idx="531">
                  <c:v>0.16461302296249647</c:v>
                </c:pt>
                <c:pt idx="532">
                  <c:v>0.21476850414609305</c:v>
                </c:pt>
                <c:pt idx="533">
                  <c:v>0.27652355707674231</c:v>
                </c:pt>
                <c:pt idx="534">
                  <c:v>0.35567796762797049</c:v>
                </c:pt>
                <c:pt idx="535">
                  <c:v>0.46267135037212465</c:v>
                </c:pt>
                <c:pt idx="536">
                  <c:v>0.49470634756311982</c:v>
                </c:pt>
                <c:pt idx="537">
                  <c:v>1.1816205857690516</c:v>
                </c:pt>
                <c:pt idx="538">
                  <c:v>1.1816205857690516</c:v>
                </c:pt>
                <c:pt idx="539">
                  <c:v>1.1816205857690516</c:v>
                </c:pt>
                <c:pt idx="540">
                  <c:v>1.1816205857690516</c:v>
                </c:pt>
                <c:pt idx="541">
                  <c:v>1.1816205857690516</c:v>
                </c:pt>
                <c:pt idx="542">
                  <c:v>1.1816205857690516</c:v>
                </c:pt>
                <c:pt idx="543">
                  <c:v>1.1816205857690516</c:v>
                </c:pt>
                <c:pt idx="544">
                  <c:v>2.4083187635768484</c:v>
                </c:pt>
                <c:pt idx="545">
                  <c:v>2.0898859325076988</c:v>
                </c:pt>
                <c:pt idx="546">
                  <c:v>1.8534505542230648</c:v>
                </c:pt>
                <c:pt idx="547">
                  <c:v>1.6716801444614406</c:v>
                </c:pt>
                <c:pt idx="548">
                  <c:v>0.69168335036713302</c:v>
                </c:pt>
                <c:pt idx="549">
                  <c:v>0.65205257184685761</c:v>
                </c:pt>
                <c:pt idx="550">
                  <c:v>0.62907301505107849</c:v>
                </c:pt>
                <c:pt idx="551">
                  <c:v>0.61181403307162796</c:v>
                </c:pt>
                <c:pt idx="552">
                  <c:v>0.59944778948769573</c:v>
                </c:pt>
                <c:pt idx="553">
                  <c:v>0.59785578532836803</c:v>
                </c:pt>
                <c:pt idx="554">
                  <c:v>0.59785578532836803</c:v>
                </c:pt>
                <c:pt idx="555">
                  <c:v>0.59785578532836803</c:v>
                </c:pt>
                <c:pt idx="556">
                  <c:v>0.59785578532836803</c:v>
                </c:pt>
                <c:pt idx="557">
                  <c:v>0.59785578532836803</c:v>
                </c:pt>
                <c:pt idx="558">
                  <c:v>0.59785578532836803</c:v>
                </c:pt>
                <c:pt idx="559">
                  <c:v>0.57293316598062904</c:v>
                </c:pt>
                <c:pt idx="560">
                  <c:v>5.0533920485898942E-2</c:v>
                </c:pt>
                <c:pt idx="561">
                  <c:v>7.9242806103036592E-2</c:v>
                </c:pt>
                <c:pt idx="562">
                  <c:v>0.11143385636530598</c:v>
                </c:pt>
                <c:pt idx="563">
                  <c:v>0.14815172066624682</c:v>
                </c:pt>
                <c:pt idx="564">
                  <c:v>0.19090533701874937</c:v>
                </c:pt>
                <c:pt idx="565">
                  <c:v>0.24195811244214951</c:v>
                </c:pt>
                <c:pt idx="566">
                  <c:v>0.30486682939540333</c:v>
                </c:pt>
                <c:pt idx="567">
                  <c:v>0.38555945864343721</c:v>
                </c:pt>
                <c:pt idx="568">
                  <c:v>0.49470634756311982</c:v>
                </c:pt>
                <c:pt idx="569">
                  <c:v>0.65364819090818727</c:v>
                </c:pt>
                <c:pt idx="570">
                  <c:v>0.91217994310402484</c:v>
                </c:pt>
                <c:pt idx="571">
                  <c:v>1.4196864674267873</c:v>
                </c:pt>
                <c:pt idx="572">
                  <c:v>1.4615460401286244</c:v>
                </c:pt>
                <c:pt idx="573">
                  <c:v>2.7292712932018039</c:v>
                </c:pt>
                <c:pt idx="574">
                  <c:v>2.7292712932018039</c:v>
                </c:pt>
                <c:pt idx="575">
                  <c:v>2.7292712932018039</c:v>
                </c:pt>
                <c:pt idx="576">
                  <c:v>2.7292712932018039</c:v>
                </c:pt>
                <c:pt idx="577">
                  <c:v>2.7292712932018039</c:v>
                </c:pt>
                <c:pt idx="578">
                  <c:v>2.7292712932018039</c:v>
                </c:pt>
                <c:pt idx="579">
                  <c:v>2.7292712932018039</c:v>
                </c:pt>
                <c:pt idx="580">
                  <c:v>2.7292712932018039</c:v>
                </c:pt>
                <c:pt idx="581">
                  <c:v>2.7292712932018039</c:v>
                </c:pt>
                <c:pt idx="582">
                  <c:v>2.7292712932018039</c:v>
                </c:pt>
                <c:pt idx="583">
                  <c:v>2.7292712932018039</c:v>
                </c:pt>
                <c:pt idx="584">
                  <c:v>3.5369561744051512</c:v>
                </c:pt>
                <c:pt idx="585">
                  <c:v>2.9588808841932872</c:v>
                </c:pt>
                <c:pt idx="586">
                  <c:v>2.5468437436482567</c:v>
                </c:pt>
                <c:pt idx="587">
                  <c:v>2.2385804466449959</c:v>
                </c:pt>
                <c:pt idx="588">
                  <c:v>1.9994997120029159</c:v>
                </c:pt>
                <c:pt idx="589">
                  <c:v>2.871780368144496</c:v>
                </c:pt>
                <c:pt idx="590">
                  <c:v>2.6197173137090415</c:v>
                </c:pt>
                <c:pt idx="591">
                  <c:v>2.4101744739498363</c:v>
                </c:pt>
                <c:pt idx="592">
                  <c:v>3.0207556094677313</c:v>
                </c:pt>
                <c:pt idx="593">
                  <c:v>2.8284156056461134</c:v>
                </c:pt>
                <c:pt idx="594">
                  <c:v>2.6642694636857547</c:v>
                </c:pt>
                <c:pt idx="595">
                  <c:v>2.5230308344876691</c:v>
                </c:pt>
                <c:pt idx="596">
                  <c:v>1.4165491425069945</c:v>
                </c:pt>
                <c:pt idx="597">
                  <c:v>1.3645690366492549</c:v>
                </c:pt>
                <c:pt idx="598">
                  <c:v>1.3200725166857854</c:v>
                </c:pt>
                <c:pt idx="599">
                  <c:v>1.2819370447324454</c:v>
                </c:pt>
                <c:pt idx="600">
                  <c:v>1.2492538996449307</c:v>
                </c:pt>
                <c:pt idx="601">
                  <c:v>1.2212795823051743</c:v>
                </c:pt>
                <c:pt idx="602">
                  <c:v>0.9784301296564053</c:v>
                </c:pt>
                <c:pt idx="603">
                  <c:v>0.97747492716080864</c:v>
                </c:pt>
                <c:pt idx="604">
                  <c:v>0.97747492716080864</c:v>
                </c:pt>
                <c:pt idx="605">
                  <c:v>0.97747492716080864</c:v>
                </c:pt>
                <c:pt idx="606">
                  <c:v>0.97747492716080864</c:v>
                </c:pt>
                <c:pt idx="607">
                  <c:v>0.97747492716080864</c:v>
                </c:pt>
                <c:pt idx="608">
                  <c:v>1.30388251807805</c:v>
                </c:pt>
                <c:pt idx="609">
                  <c:v>1.3959567542268134</c:v>
                </c:pt>
                <c:pt idx="610">
                  <c:v>1.3968854233197545</c:v>
                </c:pt>
                <c:pt idx="611">
                  <c:v>1.3062999151630599</c:v>
                </c:pt>
                <c:pt idx="612">
                  <c:v>1.2284659841915573</c:v>
                </c:pt>
                <c:pt idx="613">
                  <c:v>1.2414635210723535</c:v>
                </c:pt>
                <c:pt idx="614">
                  <c:v>1.240810799367029</c:v>
                </c:pt>
                <c:pt idx="615">
                  <c:v>0.97747492716080864</c:v>
                </c:pt>
                <c:pt idx="616">
                  <c:v>0.97747492716080864</c:v>
                </c:pt>
                <c:pt idx="617">
                  <c:v>0.97747492716080864</c:v>
                </c:pt>
                <c:pt idx="618">
                  <c:v>0.97747492716080864</c:v>
                </c:pt>
                <c:pt idx="619">
                  <c:v>0.97747492716080864</c:v>
                </c:pt>
                <c:pt idx="620">
                  <c:v>0.97747492716080864</c:v>
                </c:pt>
                <c:pt idx="621">
                  <c:v>0.97747492716080864</c:v>
                </c:pt>
                <c:pt idx="622">
                  <c:v>0.97747492716080864</c:v>
                </c:pt>
                <c:pt idx="623">
                  <c:v>0.97747492716080864</c:v>
                </c:pt>
                <c:pt idx="624">
                  <c:v>0.97747492716080864</c:v>
                </c:pt>
                <c:pt idx="625">
                  <c:v>0.97747492716080864</c:v>
                </c:pt>
                <c:pt idx="626">
                  <c:v>0.97747492716080864</c:v>
                </c:pt>
                <c:pt idx="627">
                  <c:v>0.78295240346110295</c:v>
                </c:pt>
                <c:pt idx="628">
                  <c:v>0.78295240346110295</c:v>
                </c:pt>
                <c:pt idx="629">
                  <c:v>0.78295240346110295</c:v>
                </c:pt>
                <c:pt idx="630">
                  <c:v>0.78295240346110295</c:v>
                </c:pt>
                <c:pt idx="631">
                  <c:v>0.78295240346110295</c:v>
                </c:pt>
                <c:pt idx="632">
                  <c:v>0.78295240346110295</c:v>
                </c:pt>
                <c:pt idx="633">
                  <c:v>0.78295240346110295</c:v>
                </c:pt>
                <c:pt idx="634">
                  <c:v>0.78295240346110295</c:v>
                </c:pt>
                <c:pt idx="635">
                  <c:v>0.78295240346110295</c:v>
                </c:pt>
                <c:pt idx="636">
                  <c:v>0.78295240346110329</c:v>
                </c:pt>
                <c:pt idx="637">
                  <c:v>0.97747492716080864</c:v>
                </c:pt>
                <c:pt idx="638">
                  <c:v>0.97747492716080864</c:v>
                </c:pt>
                <c:pt idx="639">
                  <c:v>0.97747492716080864</c:v>
                </c:pt>
                <c:pt idx="640">
                  <c:v>0.97747492716080864</c:v>
                </c:pt>
                <c:pt idx="641">
                  <c:v>0.97747492716080864</c:v>
                </c:pt>
                <c:pt idx="642">
                  <c:v>0.97747492716080864</c:v>
                </c:pt>
                <c:pt idx="643">
                  <c:v>0.97747492716080864</c:v>
                </c:pt>
                <c:pt idx="644">
                  <c:v>0.97747492716080864</c:v>
                </c:pt>
                <c:pt idx="645">
                  <c:v>0.97747492716080864</c:v>
                </c:pt>
                <c:pt idx="646">
                  <c:v>0.97747492716080864</c:v>
                </c:pt>
                <c:pt idx="647">
                  <c:v>0.97747492716080864</c:v>
                </c:pt>
                <c:pt idx="648">
                  <c:v>0.97747492716080864</c:v>
                </c:pt>
                <c:pt idx="649">
                  <c:v>0.97747492716080864</c:v>
                </c:pt>
                <c:pt idx="650">
                  <c:v>0.97747492716080864</c:v>
                </c:pt>
                <c:pt idx="651">
                  <c:v>0.97747492716080864</c:v>
                </c:pt>
                <c:pt idx="652">
                  <c:v>0.97747492716080864</c:v>
                </c:pt>
                <c:pt idx="653">
                  <c:v>0.97747492716080864</c:v>
                </c:pt>
                <c:pt idx="654">
                  <c:v>0.97747492716080864</c:v>
                </c:pt>
                <c:pt idx="655">
                  <c:v>0.97747492716080864</c:v>
                </c:pt>
                <c:pt idx="656">
                  <c:v>0.97747492716080864</c:v>
                </c:pt>
                <c:pt idx="657">
                  <c:v>0.97747492716080864</c:v>
                </c:pt>
                <c:pt idx="658">
                  <c:v>0.97747492716080864</c:v>
                </c:pt>
                <c:pt idx="659">
                  <c:v>0.97747492716080864</c:v>
                </c:pt>
                <c:pt idx="660">
                  <c:v>0.97747492716080864</c:v>
                </c:pt>
                <c:pt idx="661">
                  <c:v>0.97747492716080864</c:v>
                </c:pt>
                <c:pt idx="662">
                  <c:v>0.97747492716080864</c:v>
                </c:pt>
                <c:pt idx="663">
                  <c:v>0.97747492716080864</c:v>
                </c:pt>
                <c:pt idx="664">
                  <c:v>0.97747492716080864</c:v>
                </c:pt>
                <c:pt idx="665">
                  <c:v>0.97747492716080864</c:v>
                </c:pt>
                <c:pt idx="666">
                  <c:v>0.97747492716080864</c:v>
                </c:pt>
                <c:pt idx="667">
                  <c:v>0.97747492716080864</c:v>
                </c:pt>
                <c:pt idx="668">
                  <c:v>0.97747492716080864</c:v>
                </c:pt>
                <c:pt idx="669">
                  <c:v>0.97747492716080864</c:v>
                </c:pt>
                <c:pt idx="670">
                  <c:v>0.97747492716080864</c:v>
                </c:pt>
                <c:pt idx="671">
                  <c:v>0.97747492716080864</c:v>
                </c:pt>
                <c:pt idx="672">
                  <c:v>0.97747492716080864</c:v>
                </c:pt>
                <c:pt idx="673">
                  <c:v>0.97747492716080864</c:v>
                </c:pt>
                <c:pt idx="674">
                  <c:v>0.97747492716080864</c:v>
                </c:pt>
                <c:pt idx="675">
                  <c:v>0.97747492716080864</c:v>
                </c:pt>
                <c:pt idx="676">
                  <c:v>0.97747492716080864</c:v>
                </c:pt>
                <c:pt idx="677">
                  <c:v>0.97747492716080864</c:v>
                </c:pt>
                <c:pt idx="678">
                  <c:v>0.97747492716080864</c:v>
                </c:pt>
                <c:pt idx="679">
                  <c:v>0.97747492716080864</c:v>
                </c:pt>
                <c:pt idx="680">
                  <c:v>0.97747492716080864</c:v>
                </c:pt>
                <c:pt idx="681">
                  <c:v>0.97747492716080864</c:v>
                </c:pt>
                <c:pt idx="682">
                  <c:v>0.97747492716080864</c:v>
                </c:pt>
                <c:pt idx="683">
                  <c:v>0.97747492716080864</c:v>
                </c:pt>
                <c:pt idx="684">
                  <c:v>0.97747492716080864</c:v>
                </c:pt>
                <c:pt idx="685">
                  <c:v>0.97747492716080864</c:v>
                </c:pt>
                <c:pt idx="686">
                  <c:v>0.97747492716080864</c:v>
                </c:pt>
                <c:pt idx="687">
                  <c:v>0.97747492716080864</c:v>
                </c:pt>
                <c:pt idx="688">
                  <c:v>0.97747492716080864</c:v>
                </c:pt>
                <c:pt idx="689">
                  <c:v>0.97747492716080864</c:v>
                </c:pt>
                <c:pt idx="690">
                  <c:v>0.99628993281410705</c:v>
                </c:pt>
                <c:pt idx="691">
                  <c:v>1.0180629483261117</c:v>
                </c:pt>
                <c:pt idx="692">
                  <c:v>1.0422574125506436</c:v>
                </c:pt>
                <c:pt idx="693">
                  <c:v>0.60445830529966271</c:v>
                </c:pt>
                <c:pt idx="694">
                  <c:v>0.61425123295901951</c:v>
                </c:pt>
                <c:pt idx="695">
                  <c:v>0.62570670798691719</c:v>
                </c:pt>
                <c:pt idx="696">
                  <c:v>0.63906223715028965</c:v>
                </c:pt>
                <c:pt idx="697">
                  <c:v>0.65460282856945795</c:v>
                </c:pt>
                <c:pt idx="698">
                  <c:v>0.67267349207428528</c:v>
                </c:pt>
                <c:pt idx="699">
                  <c:v>0.69369590634571421</c:v>
                </c:pt>
                <c:pt idx="700">
                  <c:v>0.71819096857785136</c:v>
                </c:pt>
                <c:pt idx="701">
                  <c:v>0.74680980026332922</c:v>
                </c:pt>
                <c:pt idx="702">
                  <c:v>0.78037715529281559</c:v>
                </c:pt>
                <c:pt idx="703">
                  <c:v>0.81995343152574196</c:v>
                </c:pt>
                <c:pt idx="704">
                  <c:v>0.86692530308597782</c:v>
                </c:pt>
                <c:pt idx="705">
                  <c:v>0.92314166880535131</c:v>
                </c:pt>
                <c:pt idx="706">
                  <c:v>0.98735308630235419</c:v>
                </c:pt>
                <c:pt idx="707">
                  <c:v>1.0702535408450753</c:v>
                </c:pt>
                <c:pt idx="708">
                  <c:v>1.1734641171516436</c:v>
                </c:pt>
                <c:pt idx="709">
                  <c:v>1.3046011108835012</c:v>
                </c:pt>
                <c:pt idx="710">
                  <c:v>1.4756329866514863</c:v>
                </c:pt>
                <c:pt idx="711">
                  <c:v>1.462720444691711</c:v>
                </c:pt>
                <c:pt idx="712">
                  <c:v>3.0651476214853037</c:v>
                </c:pt>
                <c:pt idx="713">
                  <c:v>3.0651476214853037</c:v>
                </c:pt>
                <c:pt idx="714">
                  <c:v>3.0651476214853037</c:v>
                </c:pt>
                <c:pt idx="715">
                  <c:v>3.0651476214853037</c:v>
                </c:pt>
                <c:pt idx="716">
                  <c:v>3.0651476214853037</c:v>
                </c:pt>
                <c:pt idx="717">
                  <c:v>3.0651476214853037</c:v>
                </c:pt>
                <c:pt idx="718">
                  <c:v>3.0651476214853037</c:v>
                </c:pt>
                <c:pt idx="719">
                  <c:v>3.0651476214853037</c:v>
                </c:pt>
                <c:pt idx="720">
                  <c:v>3.0651476214853037</c:v>
                </c:pt>
                <c:pt idx="721">
                  <c:v>3.0651476214853037</c:v>
                </c:pt>
                <c:pt idx="722">
                  <c:v>3.0651476214853037</c:v>
                </c:pt>
                <c:pt idx="723">
                  <c:v>4.0340601923923671</c:v>
                </c:pt>
                <c:pt idx="724">
                  <c:v>3.5370914584758784</c:v>
                </c:pt>
                <c:pt idx="725">
                  <c:v>3.1512398284568426</c:v>
                </c:pt>
                <c:pt idx="726">
                  <c:v>2.8431701711660256</c:v>
                </c:pt>
                <c:pt idx="727">
                  <c:v>2.5916692213139121</c:v>
                </c:pt>
                <c:pt idx="728">
                  <c:v>2.3805209346071248</c:v>
                </c:pt>
                <c:pt idx="729">
                  <c:v>2.204241836351267</c:v>
                </c:pt>
                <c:pt idx="730">
                  <c:v>2.0535823569351113</c:v>
                </c:pt>
                <c:pt idx="731">
                  <c:v>1.9234185725907162</c:v>
                </c:pt>
                <c:pt idx="732">
                  <c:v>1.8099075404921274</c:v>
                </c:pt>
                <c:pt idx="733">
                  <c:v>1.7101105396547902</c:v>
                </c:pt>
                <c:pt idx="734">
                  <c:v>1.6217418982018295</c:v>
                </c:pt>
                <c:pt idx="735">
                  <c:v>2.0828822523985617</c:v>
                </c:pt>
                <c:pt idx="736">
                  <c:v>1.9969218871897514</c:v>
                </c:pt>
                <c:pt idx="737">
                  <c:v>2.2720830968603432</c:v>
                </c:pt>
                <c:pt idx="738">
                  <c:v>1.4283653898575015</c:v>
                </c:pt>
                <c:pt idx="739">
                  <c:v>1.3870607515614926</c:v>
                </c:pt>
                <c:pt idx="740">
                  <c:v>1.3507909964683038</c:v>
                </c:pt>
                <c:pt idx="741">
                  <c:v>1.3189519385935962</c:v>
                </c:pt>
                <c:pt idx="742">
                  <c:v>1.0157983253363061</c:v>
                </c:pt>
                <c:pt idx="743">
                  <c:v>1.0102939108319855</c:v>
                </c:pt>
                <c:pt idx="744">
                  <c:v>0.97771372778470789</c:v>
                </c:pt>
                <c:pt idx="745">
                  <c:v>0.97747492716080864</c:v>
                </c:pt>
                <c:pt idx="746">
                  <c:v>0.97747492716080864</c:v>
                </c:pt>
                <c:pt idx="747">
                  <c:v>0.97747492716080864</c:v>
                </c:pt>
                <c:pt idx="748">
                  <c:v>0.97747492716080864</c:v>
                </c:pt>
                <c:pt idx="749">
                  <c:v>0.97747492716080864</c:v>
                </c:pt>
                <c:pt idx="750">
                  <c:v>0.97747492716080864</c:v>
                </c:pt>
                <c:pt idx="751">
                  <c:v>0.97747492716080864</c:v>
                </c:pt>
                <c:pt idx="752">
                  <c:v>0.97747492716080864</c:v>
                </c:pt>
                <c:pt idx="753">
                  <c:v>0.97747492716080864</c:v>
                </c:pt>
                <c:pt idx="754">
                  <c:v>0.97747492716080864</c:v>
                </c:pt>
                <c:pt idx="755">
                  <c:v>1.0346087763838803</c:v>
                </c:pt>
                <c:pt idx="756">
                  <c:v>1.1029015273532876</c:v>
                </c:pt>
                <c:pt idx="757">
                  <c:v>0.67741865832343362</c:v>
                </c:pt>
                <c:pt idx="758">
                  <c:v>0.72534996635959526</c:v>
                </c:pt>
                <c:pt idx="759">
                  <c:v>0.78487657544763612</c:v>
                </c:pt>
                <c:pt idx="760">
                  <c:v>0.86034672348201113</c:v>
                </c:pt>
                <c:pt idx="761">
                  <c:v>0.95859335572543447</c:v>
                </c:pt>
                <c:pt idx="762">
                  <c:v>1.09100471428243</c:v>
                </c:pt>
                <c:pt idx="763">
                  <c:v>1.2780796349411421</c:v>
                </c:pt>
                <c:pt idx="764">
                  <c:v>1.5608157892778571</c:v>
                </c:pt>
                <c:pt idx="765">
                  <c:v>1.5261558082279341</c:v>
                </c:pt>
                <c:pt idx="766">
                  <c:v>1.4936196005266584</c:v>
                </c:pt>
                <c:pt idx="767">
                  <c:v>1.4632071661740294</c:v>
                </c:pt>
                <c:pt idx="768">
                  <c:v>1.4349185051700484</c:v>
                </c:pt>
                <c:pt idx="769">
                  <c:v>1.408753617514714</c:v>
                </c:pt>
                <c:pt idx="770">
                  <c:v>1.3847125032080272</c:v>
                </c:pt>
                <c:pt idx="771">
                  <c:v>1.3627951622499876</c:v>
                </c:pt>
                <c:pt idx="772">
                  <c:v>1.3430015946405949</c:v>
                </c:pt>
                <c:pt idx="773">
                  <c:v>2.7399407057507377</c:v>
                </c:pt>
                <c:pt idx="774">
                  <c:v>2.7399407057507377</c:v>
                </c:pt>
                <c:pt idx="775">
                  <c:v>2.7399407057507377</c:v>
                </c:pt>
                <c:pt idx="776">
                  <c:v>2.7399407057507377</c:v>
                </c:pt>
                <c:pt idx="777">
                  <c:v>2.7399407057507377</c:v>
                </c:pt>
                <c:pt idx="778">
                  <c:v>2.7399407057507377</c:v>
                </c:pt>
                <c:pt idx="779">
                  <c:v>2.7399407057507377</c:v>
                </c:pt>
                <c:pt idx="780">
                  <c:v>2.7399407057507377</c:v>
                </c:pt>
                <c:pt idx="781">
                  <c:v>2.7399407057507377</c:v>
                </c:pt>
                <c:pt idx="782">
                  <c:v>2.7399407057507377</c:v>
                </c:pt>
                <c:pt idx="783">
                  <c:v>3.1908670757161066</c:v>
                </c:pt>
                <c:pt idx="784">
                  <c:v>2.8816890450799448</c:v>
                </c:pt>
                <c:pt idx="785">
                  <c:v>2.6292812443089133</c:v>
                </c:pt>
                <c:pt idx="786">
                  <c:v>2.4194511159367278</c:v>
                </c:pt>
                <c:pt idx="787">
                  <c:v>2.2423730432559639</c:v>
                </c:pt>
                <c:pt idx="788">
                  <c:v>2.9049591644896973</c:v>
                </c:pt>
                <c:pt idx="789">
                  <c:v>2.7370659355122089</c:v>
                </c:pt>
                <c:pt idx="790">
                  <c:v>2.5928777900431759</c:v>
                </c:pt>
                <c:pt idx="791">
                  <c:v>1.4184961998728174</c:v>
                </c:pt>
                <c:pt idx="792">
                  <c:v>1.3684155979003423</c:v>
                </c:pt>
                <c:pt idx="793">
                  <c:v>1.3258958423555118</c:v>
                </c:pt>
                <c:pt idx="794">
                  <c:v>1.2898028062741791</c:v>
                </c:pt>
                <c:pt idx="795">
                  <c:v>1.2592183868758446</c:v>
                </c:pt>
                <c:pt idx="796">
                  <c:v>1.018044629236208</c:v>
                </c:pt>
                <c:pt idx="797">
                  <c:v>0.98456702770240756</c:v>
                </c:pt>
                <c:pt idx="798">
                  <c:v>0.94298620009237588</c:v>
                </c:pt>
                <c:pt idx="799">
                  <c:v>0.90526675208868101</c:v>
                </c:pt>
                <c:pt idx="800">
                  <c:v>0.87044880008527004</c:v>
                </c:pt>
                <c:pt idx="801">
                  <c:v>0.83820995563766754</c:v>
                </c:pt>
                <c:pt idx="802">
                  <c:v>0.80827388579346537</c:v>
                </c:pt>
                <c:pt idx="803">
                  <c:v>0.80827388579346537</c:v>
                </c:pt>
                <c:pt idx="804">
                  <c:v>0.91888346460282411</c:v>
                </c:pt>
                <c:pt idx="805">
                  <c:v>0.97747492716080864</c:v>
                </c:pt>
                <c:pt idx="806">
                  <c:v>0.97747492716080864</c:v>
                </c:pt>
                <c:pt idx="807">
                  <c:v>0.97747492716080864</c:v>
                </c:pt>
                <c:pt idx="808">
                  <c:v>0.97747492716080864</c:v>
                </c:pt>
                <c:pt idx="809">
                  <c:v>0.97747492716080864</c:v>
                </c:pt>
                <c:pt idx="810">
                  <c:v>0.97747492716080864</c:v>
                </c:pt>
                <c:pt idx="811">
                  <c:v>0.97747492716080864</c:v>
                </c:pt>
                <c:pt idx="812">
                  <c:v>0.97747492716080864</c:v>
                </c:pt>
                <c:pt idx="813">
                  <c:v>0.97747492716080864</c:v>
                </c:pt>
                <c:pt idx="814">
                  <c:v>0.97747492716080864</c:v>
                </c:pt>
                <c:pt idx="815">
                  <c:v>0.97747492716080864</c:v>
                </c:pt>
                <c:pt idx="816">
                  <c:v>0.97747492716080864</c:v>
                </c:pt>
                <c:pt idx="817">
                  <c:v>0.97747492716080864</c:v>
                </c:pt>
                <c:pt idx="818">
                  <c:v>0.97747492716080864</c:v>
                </c:pt>
                <c:pt idx="819">
                  <c:v>0.97747492716080864</c:v>
                </c:pt>
                <c:pt idx="820">
                  <c:v>0.97747492716080864</c:v>
                </c:pt>
                <c:pt idx="821">
                  <c:v>0.99628993281410705</c:v>
                </c:pt>
                <c:pt idx="822">
                  <c:v>1.0180629483261117</c:v>
                </c:pt>
                <c:pt idx="823">
                  <c:v>0.59612841932462146</c:v>
                </c:pt>
                <c:pt idx="824">
                  <c:v>0.60445830529966271</c:v>
                </c:pt>
                <c:pt idx="825">
                  <c:v>0.61425123295901951</c:v>
                </c:pt>
                <c:pt idx="826">
                  <c:v>0.62570670798691719</c:v>
                </c:pt>
                <c:pt idx="827">
                  <c:v>0.63906223715028965</c:v>
                </c:pt>
                <c:pt idx="828">
                  <c:v>0.65460282856945795</c:v>
                </c:pt>
                <c:pt idx="829">
                  <c:v>0.67267349207428528</c:v>
                </c:pt>
                <c:pt idx="830">
                  <c:v>0.69369590634571421</c:v>
                </c:pt>
                <c:pt idx="831">
                  <c:v>0.71819096857785136</c:v>
                </c:pt>
                <c:pt idx="832">
                  <c:v>0.74680980026332922</c:v>
                </c:pt>
                <c:pt idx="833">
                  <c:v>0.78037715529281559</c:v>
                </c:pt>
                <c:pt idx="834">
                  <c:v>0.81995343152574196</c:v>
                </c:pt>
                <c:pt idx="835">
                  <c:v>0.86373473780336196</c:v>
                </c:pt>
                <c:pt idx="836">
                  <c:v>0.91968522308251754</c:v>
                </c:pt>
                <c:pt idx="837">
                  <c:v>0.43718961337100143</c:v>
                </c:pt>
                <c:pt idx="838">
                  <c:v>0.43718961337100143</c:v>
                </c:pt>
                <c:pt idx="839">
                  <c:v>0.43718961337100143</c:v>
                </c:pt>
                <c:pt idx="840">
                  <c:v>0.43718961337100143</c:v>
                </c:pt>
                <c:pt idx="841">
                  <c:v>0.43718961337100143</c:v>
                </c:pt>
                <c:pt idx="842">
                  <c:v>0.43718961337100143</c:v>
                </c:pt>
                <c:pt idx="843">
                  <c:v>0.43718961337100143</c:v>
                </c:pt>
                <c:pt idx="844">
                  <c:v>0.43718961337100143</c:v>
                </c:pt>
                <c:pt idx="845">
                  <c:v>0.43718961337100143</c:v>
                </c:pt>
                <c:pt idx="846">
                  <c:v>0.43718961337100143</c:v>
                </c:pt>
                <c:pt idx="847">
                  <c:v>0.43718961337100143</c:v>
                </c:pt>
                <c:pt idx="848">
                  <c:v>0.43718961337100143</c:v>
                </c:pt>
                <c:pt idx="849">
                  <c:v>0.43718961337100143</c:v>
                </c:pt>
                <c:pt idx="850">
                  <c:v>0.43718961337100143</c:v>
                </c:pt>
                <c:pt idx="851">
                  <c:v>0.43718961337100143</c:v>
                </c:pt>
                <c:pt idx="852">
                  <c:v>0.43718961337100143</c:v>
                </c:pt>
                <c:pt idx="853">
                  <c:v>0.43718961337100143</c:v>
                </c:pt>
                <c:pt idx="854">
                  <c:v>0.43718961337100143</c:v>
                </c:pt>
                <c:pt idx="855">
                  <c:v>0.43718961337100143</c:v>
                </c:pt>
                <c:pt idx="856">
                  <c:v>0.43718961337100143</c:v>
                </c:pt>
                <c:pt idx="857">
                  <c:v>0.43718961337100143</c:v>
                </c:pt>
                <c:pt idx="858">
                  <c:v>0.92998677148019193</c:v>
                </c:pt>
                <c:pt idx="859">
                  <c:v>0.87209307305314276</c:v>
                </c:pt>
                <c:pt idx="860">
                  <c:v>0.82232629889930664</c:v>
                </c:pt>
                <c:pt idx="861">
                  <c:v>0.77916265071745683</c:v>
                </c:pt>
                <c:pt idx="862">
                  <c:v>0.73997296455933625</c:v>
                </c:pt>
                <c:pt idx="863">
                  <c:v>0.70686006999925743</c:v>
                </c:pt>
                <c:pt idx="864">
                  <c:v>0.67755466261624497</c:v>
                </c:pt>
                <c:pt idx="865">
                  <c:v>0.65148561933373894</c:v>
                </c:pt>
                <c:pt idx="866">
                  <c:v>0.62819060242309654</c:v>
                </c:pt>
                <c:pt idx="867">
                  <c:v>0.60729133556088</c:v>
                </c:pt>
                <c:pt idx="868">
                  <c:v>0.58847532961033888</c:v>
                </c:pt>
                <c:pt idx="869">
                  <c:v>0.57148217695751402</c:v>
                </c:pt>
                <c:pt idx="870">
                  <c:v>0.55609313520667936</c:v>
                </c:pt>
                <c:pt idx="871">
                  <c:v>0.28474100316182244</c:v>
                </c:pt>
                <c:pt idx="872">
                  <c:v>0.28156500555119401</c:v>
                </c:pt>
                <c:pt idx="873">
                  <c:v>0.27883431017147126</c:v>
                </c:pt>
                <c:pt idx="874">
                  <c:v>0.27835670892367281</c:v>
                </c:pt>
                <c:pt idx="875">
                  <c:v>0.27835670892367281</c:v>
                </c:pt>
                <c:pt idx="876">
                  <c:v>0.27835670892367281</c:v>
                </c:pt>
                <c:pt idx="877">
                  <c:v>0.27835670892367281</c:v>
                </c:pt>
                <c:pt idx="878">
                  <c:v>0.27835670892367281</c:v>
                </c:pt>
                <c:pt idx="879">
                  <c:v>0.27835670892367281</c:v>
                </c:pt>
                <c:pt idx="880">
                  <c:v>0.27835670892367281</c:v>
                </c:pt>
                <c:pt idx="881">
                  <c:v>0.27835670892367281</c:v>
                </c:pt>
                <c:pt idx="882">
                  <c:v>0.27835670892367281</c:v>
                </c:pt>
                <c:pt idx="883">
                  <c:v>0.27835670892367281</c:v>
                </c:pt>
                <c:pt idx="884">
                  <c:v>0.27835670892367281</c:v>
                </c:pt>
                <c:pt idx="885">
                  <c:v>0.27835670892367281</c:v>
                </c:pt>
                <c:pt idx="886">
                  <c:v>0.27835670892367281</c:v>
                </c:pt>
                <c:pt idx="887">
                  <c:v>0.27835670892367281</c:v>
                </c:pt>
                <c:pt idx="888">
                  <c:v>0.27835670892367281</c:v>
                </c:pt>
                <c:pt idx="889">
                  <c:v>0.27835670892367281</c:v>
                </c:pt>
                <c:pt idx="890">
                  <c:v>0.27835670892367281</c:v>
                </c:pt>
                <c:pt idx="891">
                  <c:v>0.27835670892367281</c:v>
                </c:pt>
                <c:pt idx="892">
                  <c:v>0.27835670892367281</c:v>
                </c:pt>
                <c:pt idx="893">
                  <c:v>0.27835670892367281</c:v>
                </c:pt>
                <c:pt idx="894">
                  <c:v>0.27835670892367281</c:v>
                </c:pt>
                <c:pt idx="895">
                  <c:v>0.27835670892367281</c:v>
                </c:pt>
                <c:pt idx="896">
                  <c:v>0.27835670892367281</c:v>
                </c:pt>
                <c:pt idx="897">
                  <c:v>0.27835670892367281</c:v>
                </c:pt>
                <c:pt idx="898">
                  <c:v>0.27835670892367281</c:v>
                </c:pt>
                <c:pt idx="899">
                  <c:v>0.27835670892367281</c:v>
                </c:pt>
                <c:pt idx="900">
                  <c:v>0.27835670892367281</c:v>
                </c:pt>
                <c:pt idx="901">
                  <c:v>0.27835670892367281</c:v>
                </c:pt>
                <c:pt idx="902">
                  <c:v>0.27835670892367281</c:v>
                </c:pt>
                <c:pt idx="903">
                  <c:v>0.27835670892367281</c:v>
                </c:pt>
                <c:pt idx="904">
                  <c:v>0.27835670892367281</c:v>
                </c:pt>
                <c:pt idx="905">
                  <c:v>0.27835670892367281</c:v>
                </c:pt>
                <c:pt idx="906">
                  <c:v>0.27835670892367281</c:v>
                </c:pt>
                <c:pt idx="907">
                  <c:v>0.27835670892367281</c:v>
                </c:pt>
                <c:pt idx="908">
                  <c:v>0.27835670892367281</c:v>
                </c:pt>
                <c:pt idx="909">
                  <c:v>0.27835670892367281</c:v>
                </c:pt>
                <c:pt idx="910">
                  <c:v>0.27835670892367281</c:v>
                </c:pt>
                <c:pt idx="911">
                  <c:v>0.27835670892367281</c:v>
                </c:pt>
                <c:pt idx="912">
                  <c:v>0.27835670892367281</c:v>
                </c:pt>
                <c:pt idx="913">
                  <c:v>0.27835670892367281</c:v>
                </c:pt>
                <c:pt idx="914">
                  <c:v>0.27835670892367281</c:v>
                </c:pt>
                <c:pt idx="915">
                  <c:v>0.27835670892367281</c:v>
                </c:pt>
                <c:pt idx="916">
                  <c:v>0.27835670892367281</c:v>
                </c:pt>
                <c:pt idx="917">
                  <c:v>0.27835670892367281</c:v>
                </c:pt>
                <c:pt idx="918">
                  <c:v>0.27835670892367281</c:v>
                </c:pt>
                <c:pt idx="919">
                  <c:v>0.27835670892367281</c:v>
                </c:pt>
                <c:pt idx="920">
                  <c:v>0.27835670892367281</c:v>
                </c:pt>
                <c:pt idx="921">
                  <c:v>0.27835670892367281</c:v>
                </c:pt>
                <c:pt idx="922">
                  <c:v>0.27835670892367281</c:v>
                </c:pt>
                <c:pt idx="923">
                  <c:v>0.27835670892367281</c:v>
                </c:pt>
                <c:pt idx="924">
                  <c:v>0.27835670892367281</c:v>
                </c:pt>
                <c:pt idx="925">
                  <c:v>0.27835670892367281</c:v>
                </c:pt>
                <c:pt idx="926">
                  <c:v>0.27835670892367281</c:v>
                </c:pt>
                <c:pt idx="927">
                  <c:v>0.27835670892367281</c:v>
                </c:pt>
                <c:pt idx="928">
                  <c:v>0.27835670892367281</c:v>
                </c:pt>
                <c:pt idx="929">
                  <c:v>0.27835670892367281</c:v>
                </c:pt>
                <c:pt idx="930">
                  <c:v>0.27835670892367281</c:v>
                </c:pt>
                <c:pt idx="931">
                  <c:v>0.27835670892367281</c:v>
                </c:pt>
                <c:pt idx="932">
                  <c:v>0.27835670892367281</c:v>
                </c:pt>
                <c:pt idx="933">
                  <c:v>0.27835670892367281</c:v>
                </c:pt>
                <c:pt idx="934">
                  <c:v>0.27835670892367281</c:v>
                </c:pt>
                <c:pt idx="935">
                  <c:v>0.29184680770439403</c:v>
                </c:pt>
                <c:pt idx="936">
                  <c:v>0.30514769679077908</c:v>
                </c:pt>
                <c:pt idx="937">
                  <c:v>0.31905537826249192</c:v>
                </c:pt>
                <c:pt idx="938">
                  <c:v>0.33356985211953261</c:v>
                </c:pt>
                <c:pt idx="939">
                  <c:v>0.34869111836190103</c:v>
                </c:pt>
                <c:pt idx="940">
                  <c:v>0.3644191769895973</c:v>
                </c:pt>
                <c:pt idx="941">
                  <c:v>0.37040270106076922</c:v>
                </c:pt>
                <c:pt idx="942">
                  <c:v>0.3700843002289036</c:v>
                </c:pt>
                <c:pt idx="943">
                  <c:v>0.3700843002289036</c:v>
                </c:pt>
                <c:pt idx="944">
                  <c:v>0.3700843002289036</c:v>
                </c:pt>
                <c:pt idx="945">
                  <c:v>0.3700843002289036</c:v>
                </c:pt>
                <c:pt idx="946">
                  <c:v>0.3700843002289036</c:v>
                </c:pt>
                <c:pt idx="947">
                  <c:v>0.3700843002289036</c:v>
                </c:pt>
                <c:pt idx="948">
                  <c:v>0.3700843002289036</c:v>
                </c:pt>
                <c:pt idx="949">
                  <c:v>0.3700843002289036</c:v>
                </c:pt>
                <c:pt idx="950">
                  <c:v>0.3700843002289036</c:v>
                </c:pt>
                <c:pt idx="951">
                  <c:v>0.3700843002289036</c:v>
                </c:pt>
                <c:pt idx="952">
                  <c:v>0.3700843002289036</c:v>
                </c:pt>
                <c:pt idx="953">
                  <c:v>0.3700843002289036</c:v>
                </c:pt>
                <c:pt idx="954">
                  <c:v>0.3700843002289036</c:v>
                </c:pt>
                <c:pt idx="955">
                  <c:v>0.3700843002289036</c:v>
                </c:pt>
                <c:pt idx="956">
                  <c:v>0.3700843002289036</c:v>
                </c:pt>
                <c:pt idx="957">
                  <c:v>0.3700843002289036</c:v>
                </c:pt>
                <c:pt idx="958">
                  <c:v>0.3700843002289036</c:v>
                </c:pt>
                <c:pt idx="959">
                  <c:v>0.3700843002289036</c:v>
                </c:pt>
                <c:pt idx="960">
                  <c:v>0.3700843002289036</c:v>
                </c:pt>
                <c:pt idx="961">
                  <c:v>0.3700843002289036</c:v>
                </c:pt>
                <c:pt idx="962">
                  <c:v>0.3700843002289036</c:v>
                </c:pt>
                <c:pt idx="963">
                  <c:v>0.3700843002289036</c:v>
                </c:pt>
                <c:pt idx="964">
                  <c:v>0.3700843002289036</c:v>
                </c:pt>
                <c:pt idx="965">
                  <c:v>0.3700843002289036</c:v>
                </c:pt>
                <c:pt idx="966">
                  <c:v>0.3700843002289036</c:v>
                </c:pt>
                <c:pt idx="967">
                  <c:v>0.3700843002289036</c:v>
                </c:pt>
                <c:pt idx="968">
                  <c:v>0.3700843002289036</c:v>
                </c:pt>
                <c:pt idx="969">
                  <c:v>0.3700843002289036</c:v>
                </c:pt>
                <c:pt idx="970">
                  <c:v>0.37171257941048502</c:v>
                </c:pt>
                <c:pt idx="971">
                  <c:v>0.37659807210656066</c:v>
                </c:pt>
                <c:pt idx="972">
                  <c:v>0.37633767860263101</c:v>
                </c:pt>
                <c:pt idx="973">
                  <c:v>0.44145732114108677</c:v>
                </c:pt>
                <c:pt idx="974">
                  <c:v>0.51892422200610766</c:v>
                </c:pt>
                <c:pt idx="975">
                  <c:v>0.61336860307015573</c:v>
                </c:pt>
                <c:pt idx="976">
                  <c:v>0.73651052891931446</c:v>
                </c:pt>
                <c:pt idx="977">
                  <c:v>0.89232943477763793</c:v>
                </c:pt>
                <c:pt idx="978">
                  <c:v>1.1066531109517257</c:v>
                </c:pt>
                <c:pt idx="979">
                  <c:v>1.4233601351784009</c:v>
                </c:pt>
                <c:pt idx="980">
                  <c:v>0.67982553436318904</c:v>
                </c:pt>
                <c:pt idx="981">
                  <c:v>0.67982553436318904</c:v>
                </c:pt>
                <c:pt idx="982">
                  <c:v>0.67982553436318904</c:v>
                </c:pt>
                <c:pt idx="983">
                  <c:v>0.67982553436318904</c:v>
                </c:pt>
                <c:pt idx="984">
                  <c:v>0.67982553436318904</c:v>
                </c:pt>
                <c:pt idx="985">
                  <c:v>0.67982553436318904</c:v>
                </c:pt>
                <c:pt idx="986">
                  <c:v>0.67982553436318904</c:v>
                </c:pt>
                <c:pt idx="987">
                  <c:v>0.67982553436318904</c:v>
                </c:pt>
                <c:pt idx="988">
                  <c:v>0.67982553436318904</c:v>
                </c:pt>
                <c:pt idx="989">
                  <c:v>0.67982553436318904</c:v>
                </c:pt>
                <c:pt idx="990">
                  <c:v>0.67982553436318904</c:v>
                </c:pt>
                <c:pt idx="991">
                  <c:v>0.67982553436318904</c:v>
                </c:pt>
                <c:pt idx="992">
                  <c:v>2.2584439603148185</c:v>
                </c:pt>
                <c:pt idx="993">
                  <c:v>1.9119181246111485</c:v>
                </c:pt>
                <c:pt idx="994">
                  <c:v>1.6671302362710745</c:v>
                </c:pt>
                <c:pt idx="995">
                  <c:v>1.4859285650332466</c:v>
                </c:pt>
                <c:pt idx="996">
                  <c:v>1.3471177051969163</c:v>
                </c:pt>
                <c:pt idx="997">
                  <c:v>1.2348696121910845</c:v>
                </c:pt>
                <c:pt idx="998">
                  <c:v>1.1475958971538889</c:v>
                </c:pt>
                <c:pt idx="999">
                  <c:v>1.0764606313010439</c:v>
                </c:pt>
                <c:pt idx="1000">
                  <c:v>1.0177395571284695</c:v>
                </c:pt>
                <c:pt idx="1001">
                  <c:v>0.27469583983637053</c:v>
                </c:pt>
                <c:pt idx="1002">
                  <c:v>0.29569389033063859</c:v>
                </c:pt>
                <c:pt idx="1003">
                  <c:v>0.33958255472391286</c:v>
                </c:pt>
                <c:pt idx="1004">
                  <c:v>0.38919316650458075</c:v>
                </c:pt>
                <c:pt idx="1005">
                  <c:v>0.44608625677829511</c:v>
                </c:pt>
                <c:pt idx="1006">
                  <c:v>0.51244656909296971</c:v>
                </c:pt>
                <c:pt idx="1007">
                  <c:v>0.59142984412892485</c:v>
                </c:pt>
                <c:pt idx="1008">
                  <c:v>0.6877696929066407</c:v>
                </c:pt>
                <c:pt idx="1009">
                  <c:v>0.80890464702972864</c:v>
                </c:pt>
                <c:pt idx="1010">
                  <c:v>0.96723225917087519</c:v>
                </c:pt>
                <c:pt idx="1011">
                  <c:v>1.1850681241409153</c:v>
                </c:pt>
                <c:pt idx="1012">
                  <c:v>1.5070434315615189</c:v>
                </c:pt>
                <c:pt idx="1013">
                  <c:v>2.0372976238832501</c:v>
                </c:pt>
                <c:pt idx="1014">
                  <c:v>0.75658059833703528</c:v>
                </c:pt>
                <c:pt idx="1015">
                  <c:v>0.75658059833703528</c:v>
                </c:pt>
                <c:pt idx="1016">
                  <c:v>0.75658059833703528</c:v>
                </c:pt>
                <c:pt idx="1017">
                  <c:v>0.75658059833703528</c:v>
                </c:pt>
                <c:pt idx="1018">
                  <c:v>0.75658059833703528</c:v>
                </c:pt>
                <c:pt idx="1019">
                  <c:v>0.75658059833703528</c:v>
                </c:pt>
                <c:pt idx="1020">
                  <c:v>2.6837739017689093</c:v>
                </c:pt>
                <c:pt idx="1021">
                  <c:v>2.1675857425234275</c:v>
                </c:pt>
                <c:pt idx="1022">
                  <c:v>1.8266459630494103</c:v>
                </c:pt>
                <c:pt idx="1023">
                  <c:v>1.5858481148733734</c:v>
                </c:pt>
                <c:pt idx="1024">
                  <c:v>1.4076389737585735</c:v>
                </c:pt>
                <c:pt idx="1025">
                  <c:v>1.2711556373512654</c:v>
                </c:pt>
                <c:pt idx="1026">
                  <c:v>1.1638803642392017</c:v>
                </c:pt>
                <c:pt idx="1027">
                  <c:v>1.0778473189782245</c:v>
                </c:pt>
                <c:pt idx="1028">
                  <c:v>0.3106693926899024</c:v>
                </c:pt>
                <c:pt idx="1029">
                  <c:v>0.3064444229940716</c:v>
                </c:pt>
                <c:pt idx="1030">
                  <c:v>0.30418830326463275</c:v>
                </c:pt>
                <c:pt idx="1031">
                  <c:v>0.32518635375890081</c:v>
                </c:pt>
                <c:pt idx="1032">
                  <c:v>0.34754968712015638</c:v>
                </c:pt>
                <c:pt idx="1033">
                  <c:v>0.37127830334839945</c:v>
                </c:pt>
                <c:pt idx="1034">
                  <c:v>0.3700843002289036</c:v>
                </c:pt>
                <c:pt idx="1035">
                  <c:v>0.3700843002289036</c:v>
                </c:pt>
                <c:pt idx="1036">
                  <c:v>0.3700843002289036</c:v>
                </c:pt>
                <c:pt idx="1037">
                  <c:v>0.37171257941048502</c:v>
                </c:pt>
                <c:pt idx="1038">
                  <c:v>0.37659807210656066</c:v>
                </c:pt>
                <c:pt idx="1039">
                  <c:v>0.38410946894172504</c:v>
                </c:pt>
                <c:pt idx="1040">
                  <c:v>0.44145732114108677</c:v>
                </c:pt>
                <c:pt idx="1041">
                  <c:v>0.51892422200610766</c:v>
                </c:pt>
                <c:pt idx="1042">
                  <c:v>0.61336860307015573</c:v>
                </c:pt>
                <c:pt idx="1043">
                  <c:v>0.73206652727567101</c:v>
                </c:pt>
                <c:pt idx="1044">
                  <c:v>0.88714476619338734</c:v>
                </c:pt>
                <c:pt idx="1045">
                  <c:v>1.1004315086506251</c:v>
                </c:pt>
                <c:pt idx="1046">
                  <c:v>1.4155831323020251</c:v>
                </c:pt>
                <c:pt idx="1047">
                  <c:v>1.9344645183417504</c:v>
                </c:pt>
                <c:pt idx="1048">
                  <c:v>1.9751135402348587</c:v>
                </c:pt>
                <c:pt idx="1049">
                  <c:v>3.0296408688757896</c:v>
                </c:pt>
                <c:pt idx="1050">
                  <c:v>6.1430008831552545</c:v>
                </c:pt>
                <c:pt idx="1051">
                  <c:v>2.2697417950111061</c:v>
                </c:pt>
                <c:pt idx="1052">
                  <c:v>2.2697417950111061</c:v>
                </c:pt>
                <c:pt idx="1053">
                  <c:v>2.2697417950111061</c:v>
                </c:pt>
                <c:pt idx="1054">
                  <c:v>2.2697417950111061</c:v>
                </c:pt>
                <c:pt idx="1055">
                  <c:v>2.2697417950111061</c:v>
                </c:pt>
                <c:pt idx="1056">
                  <c:v>2.2697417950111061</c:v>
                </c:pt>
                <c:pt idx="1057">
                  <c:v>2.2697417950111061</c:v>
                </c:pt>
                <c:pt idx="1058">
                  <c:v>2.2697417950111061</c:v>
                </c:pt>
                <c:pt idx="1059">
                  <c:v>5.6500660676757519</c:v>
                </c:pt>
                <c:pt idx="1060">
                  <c:v>3.8039532012257125</c:v>
                </c:pt>
                <c:pt idx="1061">
                  <c:v>2.8863336277732303</c:v>
                </c:pt>
                <c:pt idx="1062">
                  <c:v>2.3401113715197699</c:v>
                </c:pt>
                <c:pt idx="1063">
                  <c:v>1.9795877738658212</c:v>
                </c:pt>
                <c:pt idx="1064">
                  <c:v>1.7251776954115936</c:v>
                </c:pt>
                <c:pt idx="1065">
                  <c:v>0.42176608339213623</c:v>
                </c:pt>
                <c:pt idx="1066">
                  <c:v>0.40181564111151236</c:v>
                </c:pt>
                <c:pt idx="1067">
                  <c:v>0.38803003119602808</c:v>
                </c:pt>
                <c:pt idx="1068">
                  <c:v>0.37872793572791819</c:v>
                </c:pt>
                <c:pt idx="1069">
                  <c:v>0.37278847609533872</c:v>
                </c:pt>
                <c:pt idx="1070">
                  <c:v>0.36943565941316758</c:v>
                </c:pt>
                <c:pt idx="1071">
                  <c:v>0.36811520504917428</c:v>
                </c:pt>
                <c:pt idx="1072">
                  <c:v>0.37024350064483635</c:v>
                </c:pt>
                <c:pt idx="1073">
                  <c:v>0.3700843002289036</c:v>
                </c:pt>
                <c:pt idx="1074">
                  <c:v>0.3700843002289036</c:v>
                </c:pt>
                <c:pt idx="1075">
                  <c:v>0.3700843002289036</c:v>
                </c:pt>
                <c:pt idx="1076">
                  <c:v>0.3700843002289036</c:v>
                </c:pt>
                <c:pt idx="1077">
                  <c:v>0.3700843002289036</c:v>
                </c:pt>
                <c:pt idx="1078">
                  <c:v>0.3700843002289036</c:v>
                </c:pt>
                <c:pt idx="1079">
                  <c:v>0.3700843002289036</c:v>
                </c:pt>
                <c:pt idx="1080">
                  <c:v>0.3700843002289036</c:v>
                </c:pt>
                <c:pt idx="1081">
                  <c:v>0.3700843002289036</c:v>
                </c:pt>
                <c:pt idx="1082">
                  <c:v>0.3700843002289036</c:v>
                </c:pt>
                <c:pt idx="1083">
                  <c:v>0.27174269928089306</c:v>
                </c:pt>
                <c:pt idx="1084">
                  <c:v>0.32047847980909894</c:v>
                </c:pt>
                <c:pt idx="1085">
                  <c:v>0.37633767860263101</c:v>
                </c:pt>
                <c:pt idx="1086">
                  <c:v>0.44145732114108677</c:v>
                </c:pt>
                <c:pt idx="1087">
                  <c:v>0.51892422200610766</c:v>
                </c:pt>
                <c:pt idx="1088">
                  <c:v>0.61336860307015573</c:v>
                </c:pt>
                <c:pt idx="1089">
                  <c:v>0.73651052891931446</c:v>
                </c:pt>
                <c:pt idx="1090">
                  <c:v>0.89232943477763793</c:v>
                </c:pt>
                <c:pt idx="1091">
                  <c:v>1.1066531109517257</c:v>
                </c:pt>
                <c:pt idx="1092">
                  <c:v>1.4233601351784009</c:v>
                </c:pt>
                <c:pt idx="1093">
                  <c:v>0.49381215486529312</c:v>
                </c:pt>
                <c:pt idx="1094">
                  <c:v>0.49381215486529312</c:v>
                </c:pt>
                <c:pt idx="1095">
                  <c:v>0.49381215486529312</c:v>
                </c:pt>
                <c:pt idx="1096">
                  <c:v>0.49381215486529312</c:v>
                </c:pt>
                <c:pt idx="1097">
                  <c:v>0.49381215486529312</c:v>
                </c:pt>
                <c:pt idx="1098">
                  <c:v>0.49381215486529312</c:v>
                </c:pt>
                <c:pt idx="1099">
                  <c:v>0.49381215486529312</c:v>
                </c:pt>
                <c:pt idx="1100">
                  <c:v>0.49381215486529312</c:v>
                </c:pt>
                <c:pt idx="1101">
                  <c:v>0.49381215486529312</c:v>
                </c:pt>
                <c:pt idx="1102">
                  <c:v>0.49381215486529312</c:v>
                </c:pt>
                <c:pt idx="1103">
                  <c:v>0.49381215486529312</c:v>
                </c:pt>
                <c:pt idx="1104">
                  <c:v>2.2350088419422636</c:v>
                </c:pt>
                <c:pt idx="1105">
                  <c:v>1.7025462838993994</c:v>
                </c:pt>
                <c:pt idx="1106">
                  <c:v>1.3906145212989169</c:v>
                </c:pt>
                <c:pt idx="1107">
                  <c:v>0.25605630814257885</c:v>
                </c:pt>
                <c:pt idx="1108">
                  <c:v>0.24474367047583093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60-4590-8DB5-AC47788E03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04936"/>
        <c:axId val="1496703952"/>
      </c:scatterChart>
      <c:valAx>
        <c:axId val="1496704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03952"/>
        <c:crosses val="autoZero"/>
        <c:crossBetween val="midCat"/>
      </c:valAx>
      <c:valAx>
        <c:axId val="149670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Demand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04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BSFC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Cycle'!$V$3:$V$1111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750.31367136000006</c:v>
                </c:pt>
                <c:pt idx="3">
                  <c:v>921.58629024000027</c:v>
                </c:pt>
                <c:pt idx="4">
                  <c:v>875.83654128000001</c:v>
                </c:pt>
                <c:pt idx="5">
                  <c:v>928.43257663999975</c:v>
                </c:pt>
                <c:pt idx="6">
                  <c:v>900.04656767999984</c:v>
                </c:pt>
                <c:pt idx="7">
                  <c:v>873.71643872000004</c:v>
                </c:pt>
                <c:pt idx="8">
                  <c:v>881.66816232000019</c:v>
                </c:pt>
                <c:pt idx="9">
                  <c:v>914.12972883999998</c:v>
                </c:pt>
                <c:pt idx="10">
                  <c:v>911.73559271999989</c:v>
                </c:pt>
                <c:pt idx="11">
                  <c:v>920.25590927999997</c:v>
                </c:pt>
                <c:pt idx="12">
                  <c:v>920.25590927999997</c:v>
                </c:pt>
                <c:pt idx="13">
                  <c:v>920.25590927999997</c:v>
                </c:pt>
                <c:pt idx="14">
                  <c:v>920.25590927999997</c:v>
                </c:pt>
                <c:pt idx="15">
                  <c:v>920.25590927999997</c:v>
                </c:pt>
                <c:pt idx="16">
                  <c:v>920.25590927999997</c:v>
                </c:pt>
                <c:pt idx="17">
                  <c:v>920.25590927999997</c:v>
                </c:pt>
                <c:pt idx="18">
                  <c:v>920.25590927999997</c:v>
                </c:pt>
                <c:pt idx="19">
                  <c:v>920.25590927999997</c:v>
                </c:pt>
                <c:pt idx="20">
                  <c:v>920.25590927999997</c:v>
                </c:pt>
                <c:pt idx="21">
                  <c:v>920.25590927999997</c:v>
                </c:pt>
                <c:pt idx="22">
                  <c:v>920.25590927999997</c:v>
                </c:pt>
                <c:pt idx="23">
                  <c:v>920.25590927999997</c:v>
                </c:pt>
                <c:pt idx="24">
                  <c:v>920.25590927999997</c:v>
                </c:pt>
                <c:pt idx="25">
                  <c:v>920.25590927999997</c:v>
                </c:pt>
                <c:pt idx="26">
                  <c:v>920.25590927999997</c:v>
                </c:pt>
                <c:pt idx="27">
                  <c:v>920.25590927999997</c:v>
                </c:pt>
                <c:pt idx="28">
                  <c:v>920.25590927999997</c:v>
                </c:pt>
                <c:pt idx="29">
                  <c:v>920.25590927999997</c:v>
                </c:pt>
                <c:pt idx="30">
                  <c:v>920.25590927999997</c:v>
                </c:pt>
                <c:pt idx="31">
                  <c:v>920.25590927999997</c:v>
                </c:pt>
                <c:pt idx="32">
                  <c:v>920.25590927999997</c:v>
                </c:pt>
                <c:pt idx="33">
                  <c:v>920.25590927999997</c:v>
                </c:pt>
                <c:pt idx="34">
                  <c:v>920.25590927999997</c:v>
                </c:pt>
                <c:pt idx="35">
                  <c:v>920.25590927999997</c:v>
                </c:pt>
                <c:pt idx="36">
                  <c:v>920.25590927999997</c:v>
                </c:pt>
                <c:pt idx="37">
                  <c:v>920.25590927999997</c:v>
                </c:pt>
                <c:pt idx="38">
                  <c:v>920.25590927999997</c:v>
                </c:pt>
                <c:pt idx="39">
                  <c:v>920.25590927999997</c:v>
                </c:pt>
                <c:pt idx="40">
                  <c:v>920.25590927999997</c:v>
                </c:pt>
                <c:pt idx="41">
                  <c:v>920.25590927999997</c:v>
                </c:pt>
                <c:pt idx="42">
                  <c:v>920.25590927999997</c:v>
                </c:pt>
                <c:pt idx="43">
                  <c:v>920.25590927999997</c:v>
                </c:pt>
                <c:pt idx="44">
                  <c:v>920.25590927999997</c:v>
                </c:pt>
                <c:pt idx="45">
                  <c:v>920.25590927999997</c:v>
                </c:pt>
                <c:pt idx="46">
                  <c:v>920.25590927999997</c:v>
                </c:pt>
                <c:pt idx="47">
                  <c:v>920.25590927999997</c:v>
                </c:pt>
                <c:pt idx="48">
                  <c:v>920.25590927999997</c:v>
                </c:pt>
                <c:pt idx="49">
                  <c:v>920.25590927999997</c:v>
                </c:pt>
                <c:pt idx="50">
                  <c:v>920.25590927999997</c:v>
                </c:pt>
                <c:pt idx="51">
                  <c:v>920.25590927999997</c:v>
                </c:pt>
                <c:pt idx="52">
                  <c:v>920.25590927999997</c:v>
                </c:pt>
                <c:pt idx="53">
                  <c:v>920.25590927999997</c:v>
                </c:pt>
                <c:pt idx="54">
                  <c:v>920.25590927999997</c:v>
                </c:pt>
                <c:pt idx="55">
                  <c:v>920.25590927999997</c:v>
                </c:pt>
                <c:pt idx="56">
                  <c:v>920.25590927999997</c:v>
                </c:pt>
                <c:pt idx="57">
                  <c:v>920.25590927999997</c:v>
                </c:pt>
                <c:pt idx="58">
                  <c:v>920.25590927999997</c:v>
                </c:pt>
                <c:pt idx="59">
                  <c:v>920.25590927999997</c:v>
                </c:pt>
                <c:pt idx="60">
                  <c:v>920.25590927999997</c:v>
                </c:pt>
                <c:pt idx="61">
                  <c:v>920.25590927999997</c:v>
                </c:pt>
                <c:pt idx="62">
                  <c:v>920.25590927999997</c:v>
                </c:pt>
                <c:pt idx="63">
                  <c:v>920.25590927999997</c:v>
                </c:pt>
                <c:pt idx="64">
                  <c:v>920.25590927999997</c:v>
                </c:pt>
                <c:pt idx="65">
                  <c:v>920.25590927999997</c:v>
                </c:pt>
                <c:pt idx="66">
                  <c:v>920.25590927999997</c:v>
                </c:pt>
                <c:pt idx="67">
                  <c:v>920.25590927999997</c:v>
                </c:pt>
                <c:pt idx="68">
                  <c:v>920.25590927999997</c:v>
                </c:pt>
                <c:pt idx="69">
                  <c:v>920.25590927999997</c:v>
                </c:pt>
                <c:pt idx="70">
                  <c:v>920.25590927999997</c:v>
                </c:pt>
                <c:pt idx="71">
                  <c:v>920.25590927999997</c:v>
                </c:pt>
                <c:pt idx="72">
                  <c:v>920.25590927999997</c:v>
                </c:pt>
                <c:pt idx="73">
                  <c:v>920.25590927999997</c:v>
                </c:pt>
                <c:pt idx="74">
                  <c:v>920.25590927999997</c:v>
                </c:pt>
                <c:pt idx="75">
                  <c:v>920.25590927999997</c:v>
                </c:pt>
                <c:pt idx="76">
                  <c:v>920.25590927999997</c:v>
                </c:pt>
                <c:pt idx="77">
                  <c:v>920.25590927999997</c:v>
                </c:pt>
                <c:pt idx="78">
                  <c:v>920.25590927999997</c:v>
                </c:pt>
                <c:pt idx="79">
                  <c:v>920.25590927999997</c:v>
                </c:pt>
                <c:pt idx="80">
                  <c:v>920.25590927999997</c:v>
                </c:pt>
                <c:pt idx="81">
                  <c:v>920.25590927999997</c:v>
                </c:pt>
                <c:pt idx="82">
                  <c:v>920.25590927999997</c:v>
                </c:pt>
                <c:pt idx="83">
                  <c:v>920.25590927999997</c:v>
                </c:pt>
                <c:pt idx="84">
                  <c:v>920.25590927999997</c:v>
                </c:pt>
                <c:pt idx="85">
                  <c:v>920.25590927999997</c:v>
                </c:pt>
                <c:pt idx="86">
                  <c:v>920.25590927999997</c:v>
                </c:pt>
                <c:pt idx="87">
                  <c:v>920.25590927999997</c:v>
                </c:pt>
                <c:pt idx="88">
                  <c:v>920.25590927999997</c:v>
                </c:pt>
                <c:pt idx="89">
                  <c:v>920.25590927999997</c:v>
                </c:pt>
                <c:pt idx="90">
                  <c:v>920.25590927999997</c:v>
                </c:pt>
                <c:pt idx="91">
                  <c:v>920.25590927999997</c:v>
                </c:pt>
                <c:pt idx="92">
                  <c:v>920.25590927999997</c:v>
                </c:pt>
                <c:pt idx="93">
                  <c:v>925.65735288000019</c:v>
                </c:pt>
                <c:pt idx="94">
                  <c:v>933.91499472000044</c:v>
                </c:pt>
                <c:pt idx="95">
                  <c:v>937.88833920000002</c:v>
                </c:pt>
                <c:pt idx="96">
                  <c:v>959.82391135999978</c:v>
                </c:pt>
                <c:pt idx="97">
                  <c:v>959.82391135999978</c:v>
                </c:pt>
                <c:pt idx="98">
                  <c:v>959.82391135999978</c:v>
                </c:pt>
                <c:pt idx="99">
                  <c:v>959.82391135999978</c:v>
                </c:pt>
                <c:pt idx="100">
                  <c:v>959.82391135999978</c:v>
                </c:pt>
                <c:pt idx="101">
                  <c:v>959.82391135999978</c:v>
                </c:pt>
                <c:pt idx="102">
                  <c:v>959.82391135999978</c:v>
                </c:pt>
                <c:pt idx="103">
                  <c:v>959.82391135999978</c:v>
                </c:pt>
                <c:pt idx="104">
                  <c:v>959.82391135999978</c:v>
                </c:pt>
                <c:pt idx="105">
                  <c:v>959.82391135999978</c:v>
                </c:pt>
                <c:pt idx="106">
                  <c:v>959.82391135999978</c:v>
                </c:pt>
                <c:pt idx="107">
                  <c:v>959.82391135999978</c:v>
                </c:pt>
                <c:pt idx="108">
                  <c:v>959.82391135999978</c:v>
                </c:pt>
                <c:pt idx="109">
                  <c:v>937.88833920000002</c:v>
                </c:pt>
                <c:pt idx="110">
                  <c:v>933.91499472000044</c:v>
                </c:pt>
                <c:pt idx="111">
                  <c:v>925.65735288000019</c:v>
                </c:pt>
                <c:pt idx="112">
                  <c:v>925.65735288000019</c:v>
                </c:pt>
                <c:pt idx="113">
                  <c:v>925.65735288000019</c:v>
                </c:pt>
                <c:pt idx="114">
                  <c:v>925.65735288000019</c:v>
                </c:pt>
                <c:pt idx="115">
                  <c:v>925.65735288000019</c:v>
                </c:pt>
                <c:pt idx="116">
                  <c:v>925.65735288000019</c:v>
                </c:pt>
                <c:pt idx="117">
                  <c:v>925.65735288000019</c:v>
                </c:pt>
                <c:pt idx="118">
                  <c:v>925.65735288000019</c:v>
                </c:pt>
                <c:pt idx="119">
                  <c:v>925.65735288000019</c:v>
                </c:pt>
                <c:pt idx="120">
                  <c:v>925.65735288000019</c:v>
                </c:pt>
                <c:pt idx="121">
                  <c:v>925.65735288000019</c:v>
                </c:pt>
                <c:pt idx="122">
                  <c:v>925.65735288000019</c:v>
                </c:pt>
                <c:pt idx="123">
                  <c:v>925.65735288000019</c:v>
                </c:pt>
                <c:pt idx="124">
                  <c:v>925.65735288000019</c:v>
                </c:pt>
                <c:pt idx="125">
                  <c:v>925.65735288000019</c:v>
                </c:pt>
                <c:pt idx="126">
                  <c:v>925.65735288000019</c:v>
                </c:pt>
                <c:pt idx="127">
                  <c:v>925.65735288000019</c:v>
                </c:pt>
                <c:pt idx="128">
                  <c:v>925.65735288000019</c:v>
                </c:pt>
                <c:pt idx="129">
                  <c:v>925.65735288000019</c:v>
                </c:pt>
                <c:pt idx="130">
                  <c:v>925.65735288000019</c:v>
                </c:pt>
                <c:pt idx="131">
                  <c:v>925.65735288000019</c:v>
                </c:pt>
                <c:pt idx="132">
                  <c:v>925.65735288000019</c:v>
                </c:pt>
                <c:pt idx="133">
                  <c:v>925.65735288000019</c:v>
                </c:pt>
                <c:pt idx="134">
                  <c:v>925.65735288000019</c:v>
                </c:pt>
                <c:pt idx="135">
                  <c:v>925.65735288000019</c:v>
                </c:pt>
                <c:pt idx="136">
                  <c:v>925.65735288000019</c:v>
                </c:pt>
                <c:pt idx="137">
                  <c:v>925.65735288000019</c:v>
                </c:pt>
                <c:pt idx="138">
                  <c:v>925.65735288000019</c:v>
                </c:pt>
                <c:pt idx="139">
                  <c:v>925.65735288000019</c:v>
                </c:pt>
                <c:pt idx="140">
                  <c:v>925.65735288000019</c:v>
                </c:pt>
                <c:pt idx="141">
                  <c:v>925.65735288000019</c:v>
                </c:pt>
                <c:pt idx="142">
                  <c:v>925.65735288000019</c:v>
                </c:pt>
                <c:pt idx="143">
                  <c:v>925.65735288000019</c:v>
                </c:pt>
                <c:pt idx="144">
                  <c:v>925.65735288000019</c:v>
                </c:pt>
                <c:pt idx="145">
                  <c:v>925.65735288000019</c:v>
                </c:pt>
                <c:pt idx="146">
                  <c:v>925.65735288000019</c:v>
                </c:pt>
                <c:pt idx="147">
                  <c:v>925.65735288000019</c:v>
                </c:pt>
                <c:pt idx="148">
                  <c:v>925.65735288000019</c:v>
                </c:pt>
                <c:pt idx="149">
                  <c:v>925.65735288000019</c:v>
                </c:pt>
                <c:pt idx="150">
                  <c:v>925.65735288000019</c:v>
                </c:pt>
                <c:pt idx="151">
                  <c:v>925.65735288000019</c:v>
                </c:pt>
                <c:pt idx="152">
                  <c:v>925.65735288000019</c:v>
                </c:pt>
                <c:pt idx="153">
                  <c:v>925.65735288000019</c:v>
                </c:pt>
                <c:pt idx="154">
                  <c:v>925.65735288000019</c:v>
                </c:pt>
                <c:pt idx="155">
                  <c:v>925.65735288000019</c:v>
                </c:pt>
                <c:pt idx="156">
                  <c:v>925.65735288000019</c:v>
                </c:pt>
                <c:pt idx="157">
                  <c:v>925.65735288000019</c:v>
                </c:pt>
                <c:pt idx="158">
                  <c:v>925.65735288000019</c:v>
                </c:pt>
                <c:pt idx="159">
                  <c:v>933.91499472000044</c:v>
                </c:pt>
                <c:pt idx="160">
                  <c:v>937.88833920000002</c:v>
                </c:pt>
                <c:pt idx="161">
                  <c:v>967.30583135999973</c:v>
                </c:pt>
                <c:pt idx="162">
                  <c:v>996.72332351999967</c:v>
                </c:pt>
                <c:pt idx="163">
                  <c:v>918.89477663999969</c:v>
                </c:pt>
                <c:pt idx="164">
                  <c:v>905.74442879999992</c:v>
                </c:pt>
                <c:pt idx="165">
                  <c:v>929.28963552000016</c:v>
                </c:pt>
                <c:pt idx="166">
                  <c:v>952.83484224000051</c:v>
                </c:pt>
                <c:pt idx="167">
                  <c:v>1065.4483513600007</c:v>
                </c:pt>
                <c:pt idx="168">
                  <c:v>1065.4483513600007</c:v>
                </c:pt>
                <c:pt idx="169">
                  <c:v>1065.4483513600007</c:v>
                </c:pt>
                <c:pt idx="170">
                  <c:v>1065.4483513600007</c:v>
                </c:pt>
                <c:pt idx="171">
                  <c:v>1065.4483513600007</c:v>
                </c:pt>
                <c:pt idx="172">
                  <c:v>1065.4483513600007</c:v>
                </c:pt>
                <c:pt idx="173">
                  <c:v>1065.4483513600007</c:v>
                </c:pt>
                <c:pt idx="174">
                  <c:v>1065.4483513600007</c:v>
                </c:pt>
                <c:pt idx="175">
                  <c:v>1065.4483513600007</c:v>
                </c:pt>
                <c:pt idx="176">
                  <c:v>1065.4483513600007</c:v>
                </c:pt>
                <c:pt idx="177">
                  <c:v>1065.4483513600007</c:v>
                </c:pt>
                <c:pt idx="178">
                  <c:v>898.36185024000031</c:v>
                </c:pt>
                <c:pt idx="179">
                  <c:v>898.36185024000031</c:v>
                </c:pt>
                <c:pt idx="180">
                  <c:v>898.36185024000031</c:v>
                </c:pt>
                <c:pt idx="181">
                  <c:v>905.74442879999992</c:v>
                </c:pt>
                <c:pt idx="182">
                  <c:v>900.04656767999984</c:v>
                </c:pt>
                <c:pt idx="183">
                  <c:v>862.35014976000002</c:v>
                </c:pt>
                <c:pt idx="184">
                  <c:v>894.55972883999993</c:v>
                </c:pt>
                <c:pt idx="185">
                  <c:v>894.55972883999993</c:v>
                </c:pt>
                <c:pt idx="186">
                  <c:v>894.55972883999993</c:v>
                </c:pt>
                <c:pt idx="187">
                  <c:v>894.55972883999993</c:v>
                </c:pt>
                <c:pt idx="188">
                  <c:v>925.65735288000019</c:v>
                </c:pt>
                <c:pt idx="189">
                  <c:v>925.65735288000019</c:v>
                </c:pt>
                <c:pt idx="190">
                  <c:v>925.65735288000019</c:v>
                </c:pt>
                <c:pt idx="191">
                  <c:v>925.65735288000019</c:v>
                </c:pt>
                <c:pt idx="192">
                  <c:v>925.65735288000019</c:v>
                </c:pt>
                <c:pt idx="193">
                  <c:v>925.65735288000019</c:v>
                </c:pt>
                <c:pt idx="194">
                  <c:v>925.65735288000019</c:v>
                </c:pt>
                <c:pt idx="195">
                  <c:v>925.65735288000019</c:v>
                </c:pt>
                <c:pt idx="196">
                  <c:v>925.65735288000019</c:v>
                </c:pt>
                <c:pt idx="197">
                  <c:v>925.65735288000019</c:v>
                </c:pt>
                <c:pt idx="198">
                  <c:v>925.65735288000019</c:v>
                </c:pt>
                <c:pt idx="199">
                  <c:v>925.65735288000019</c:v>
                </c:pt>
                <c:pt idx="200">
                  <c:v>925.65735288000019</c:v>
                </c:pt>
                <c:pt idx="201">
                  <c:v>925.65735288000019</c:v>
                </c:pt>
                <c:pt idx="202">
                  <c:v>925.65735288000019</c:v>
                </c:pt>
                <c:pt idx="203">
                  <c:v>925.65735288000019</c:v>
                </c:pt>
                <c:pt idx="204">
                  <c:v>925.65735288000019</c:v>
                </c:pt>
                <c:pt idx="205">
                  <c:v>925.65735288000019</c:v>
                </c:pt>
                <c:pt idx="206">
                  <c:v>925.65735288000019</c:v>
                </c:pt>
                <c:pt idx="207">
                  <c:v>925.65735288000019</c:v>
                </c:pt>
                <c:pt idx="208">
                  <c:v>925.65735288000019</c:v>
                </c:pt>
                <c:pt idx="209">
                  <c:v>925.65735288000019</c:v>
                </c:pt>
                <c:pt idx="210">
                  <c:v>925.65735288000019</c:v>
                </c:pt>
                <c:pt idx="211">
                  <c:v>925.65735288000019</c:v>
                </c:pt>
                <c:pt idx="212">
                  <c:v>925.65735288000019</c:v>
                </c:pt>
                <c:pt idx="213">
                  <c:v>925.65735288000019</c:v>
                </c:pt>
                <c:pt idx="214">
                  <c:v>925.65735288000019</c:v>
                </c:pt>
                <c:pt idx="215">
                  <c:v>925.65735288000019</c:v>
                </c:pt>
                <c:pt idx="216">
                  <c:v>925.65735288000019</c:v>
                </c:pt>
                <c:pt idx="217">
                  <c:v>963.78871919999995</c:v>
                </c:pt>
                <c:pt idx="218">
                  <c:v>967.30583135999973</c:v>
                </c:pt>
                <c:pt idx="219">
                  <c:v>913.43656767999983</c:v>
                </c:pt>
                <c:pt idx="220">
                  <c:v>905.74442879999992</c:v>
                </c:pt>
                <c:pt idx="221">
                  <c:v>947.2398822400005</c:v>
                </c:pt>
                <c:pt idx="222">
                  <c:v>871.70053920000043</c:v>
                </c:pt>
                <c:pt idx="223">
                  <c:v>795.95460288000015</c:v>
                </c:pt>
                <c:pt idx="224">
                  <c:v>1183.9594262400005</c:v>
                </c:pt>
                <c:pt idx="225">
                  <c:v>1183.9594262400005</c:v>
                </c:pt>
                <c:pt idx="226">
                  <c:v>1183.9594262400005</c:v>
                </c:pt>
                <c:pt idx="227">
                  <c:v>1183.9594262400005</c:v>
                </c:pt>
                <c:pt idx="228">
                  <c:v>1183.9594262400005</c:v>
                </c:pt>
                <c:pt idx="229">
                  <c:v>1183.9594262400005</c:v>
                </c:pt>
                <c:pt idx="230">
                  <c:v>1183.9594262400005</c:v>
                </c:pt>
                <c:pt idx="231">
                  <c:v>1183.9594262400005</c:v>
                </c:pt>
                <c:pt idx="232">
                  <c:v>1183.9594262400005</c:v>
                </c:pt>
                <c:pt idx="233">
                  <c:v>1183.9594262400005</c:v>
                </c:pt>
                <c:pt idx="234">
                  <c:v>1183.9594262400005</c:v>
                </c:pt>
                <c:pt idx="235">
                  <c:v>1183.9594262400005</c:v>
                </c:pt>
                <c:pt idx="236">
                  <c:v>976.38004896000075</c:v>
                </c:pt>
                <c:pt idx="237">
                  <c:v>976.05928224000047</c:v>
                </c:pt>
                <c:pt idx="238">
                  <c:v>952.83484224000051</c:v>
                </c:pt>
                <c:pt idx="239">
                  <c:v>947.2398822400005</c:v>
                </c:pt>
                <c:pt idx="240">
                  <c:v>929.28963552000016</c:v>
                </c:pt>
                <c:pt idx="241">
                  <c:v>915.61903879999988</c:v>
                </c:pt>
                <c:pt idx="242">
                  <c:v>905.74442879999992</c:v>
                </c:pt>
                <c:pt idx="243">
                  <c:v>928.43257663999975</c:v>
                </c:pt>
                <c:pt idx="244">
                  <c:v>918.89477663999969</c:v>
                </c:pt>
                <c:pt idx="245">
                  <c:v>1010.1133235199997</c:v>
                </c:pt>
                <c:pt idx="246">
                  <c:v>996.72332351999967</c:v>
                </c:pt>
                <c:pt idx="247">
                  <c:v>989.10544351999977</c:v>
                </c:pt>
                <c:pt idx="248">
                  <c:v>967.30583135999973</c:v>
                </c:pt>
                <c:pt idx="249">
                  <c:v>959.82391135999978</c:v>
                </c:pt>
                <c:pt idx="250">
                  <c:v>937.88833920000002</c:v>
                </c:pt>
                <c:pt idx="251">
                  <c:v>963.78871919999995</c:v>
                </c:pt>
                <c:pt idx="252">
                  <c:v>933.91499472000044</c:v>
                </c:pt>
                <c:pt idx="253">
                  <c:v>920.25590927999997</c:v>
                </c:pt>
                <c:pt idx="254">
                  <c:v>920.25590927999997</c:v>
                </c:pt>
                <c:pt idx="255">
                  <c:v>920.25590927999997</c:v>
                </c:pt>
                <c:pt idx="256">
                  <c:v>920.25590927999997</c:v>
                </c:pt>
                <c:pt idx="257">
                  <c:v>920.25590927999997</c:v>
                </c:pt>
                <c:pt idx="258">
                  <c:v>920.25590927999997</c:v>
                </c:pt>
                <c:pt idx="259">
                  <c:v>920.25590927999997</c:v>
                </c:pt>
                <c:pt idx="260">
                  <c:v>920.25590927999997</c:v>
                </c:pt>
                <c:pt idx="261">
                  <c:v>920.25590927999997</c:v>
                </c:pt>
                <c:pt idx="262">
                  <c:v>920.25590927999997</c:v>
                </c:pt>
                <c:pt idx="263">
                  <c:v>920.25590927999997</c:v>
                </c:pt>
                <c:pt idx="264">
                  <c:v>920.25590927999997</c:v>
                </c:pt>
                <c:pt idx="265">
                  <c:v>945.22735288000013</c:v>
                </c:pt>
                <c:pt idx="266">
                  <c:v>925.65735288000019</c:v>
                </c:pt>
                <c:pt idx="267">
                  <c:v>964.16094472000054</c:v>
                </c:pt>
                <c:pt idx="268">
                  <c:v>933.91499472000044</c:v>
                </c:pt>
                <c:pt idx="269">
                  <c:v>963.78871919999995</c:v>
                </c:pt>
                <c:pt idx="270">
                  <c:v>937.88833920000002</c:v>
                </c:pt>
                <c:pt idx="271">
                  <c:v>937.88833920000002</c:v>
                </c:pt>
                <c:pt idx="272">
                  <c:v>937.88833920000002</c:v>
                </c:pt>
                <c:pt idx="273">
                  <c:v>937.88833920000002</c:v>
                </c:pt>
                <c:pt idx="274">
                  <c:v>937.88833920000002</c:v>
                </c:pt>
                <c:pt idx="275">
                  <c:v>937.88833920000002</c:v>
                </c:pt>
                <c:pt idx="276">
                  <c:v>937.88833920000002</c:v>
                </c:pt>
                <c:pt idx="277">
                  <c:v>937.88833920000002</c:v>
                </c:pt>
                <c:pt idx="278">
                  <c:v>937.88833920000002</c:v>
                </c:pt>
                <c:pt idx="279">
                  <c:v>937.88833920000002</c:v>
                </c:pt>
                <c:pt idx="280">
                  <c:v>937.88833920000002</c:v>
                </c:pt>
                <c:pt idx="281">
                  <c:v>937.88833920000002</c:v>
                </c:pt>
                <c:pt idx="282">
                  <c:v>937.88833920000002</c:v>
                </c:pt>
                <c:pt idx="283">
                  <c:v>937.88833920000002</c:v>
                </c:pt>
                <c:pt idx="284">
                  <c:v>937.88833920000002</c:v>
                </c:pt>
                <c:pt idx="285">
                  <c:v>888.25052976000006</c:v>
                </c:pt>
                <c:pt idx="286">
                  <c:v>933.91499472000044</c:v>
                </c:pt>
                <c:pt idx="287">
                  <c:v>925.65735288000019</c:v>
                </c:pt>
                <c:pt idx="288">
                  <c:v>920.25590927999997</c:v>
                </c:pt>
                <c:pt idx="289">
                  <c:v>920.25590927999997</c:v>
                </c:pt>
                <c:pt idx="290">
                  <c:v>920.25590927999997</c:v>
                </c:pt>
                <c:pt idx="291">
                  <c:v>920.25590927999997</c:v>
                </c:pt>
                <c:pt idx="292">
                  <c:v>920.25590927999997</c:v>
                </c:pt>
                <c:pt idx="293">
                  <c:v>920.25590927999997</c:v>
                </c:pt>
                <c:pt idx="294">
                  <c:v>920.25590927999997</c:v>
                </c:pt>
                <c:pt idx="295">
                  <c:v>920.25590927999997</c:v>
                </c:pt>
                <c:pt idx="296">
                  <c:v>925.65735288000019</c:v>
                </c:pt>
                <c:pt idx="297">
                  <c:v>933.91499472000044</c:v>
                </c:pt>
                <c:pt idx="298">
                  <c:v>937.88833920000002</c:v>
                </c:pt>
                <c:pt idx="299">
                  <c:v>967.30583135999973</c:v>
                </c:pt>
                <c:pt idx="300">
                  <c:v>996.72332351999967</c:v>
                </c:pt>
                <c:pt idx="301">
                  <c:v>918.89477663999969</c:v>
                </c:pt>
                <c:pt idx="302">
                  <c:v>905.74442879999992</c:v>
                </c:pt>
                <c:pt idx="303">
                  <c:v>929.28963552000016</c:v>
                </c:pt>
                <c:pt idx="304">
                  <c:v>929.28963552000016</c:v>
                </c:pt>
                <c:pt idx="305">
                  <c:v>1049.8371440000003</c:v>
                </c:pt>
                <c:pt idx="306">
                  <c:v>1049.8371440000003</c:v>
                </c:pt>
                <c:pt idx="307">
                  <c:v>1049.8371440000003</c:v>
                </c:pt>
                <c:pt idx="308">
                  <c:v>1049.8371440000003</c:v>
                </c:pt>
                <c:pt idx="309">
                  <c:v>1049.8371440000003</c:v>
                </c:pt>
                <c:pt idx="310">
                  <c:v>1049.8371440000003</c:v>
                </c:pt>
                <c:pt idx="311">
                  <c:v>1049.8371440000003</c:v>
                </c:pt>
                <c:pt idx="312">
                  <c:v>1049.8371440000003</c:v>
                </c:pt>
                <c:pt idx="313">
                  <c:v>905.74442879999992</c:v>
                </c:pt>
                <c:pt idx="314">
                  <c:v>1026.1408156799998</c:v>
                </c:pt>
                <c:pt idx="315">
                  <c:v>996.72332351999967</c:v>
                </c:pt>
                <c:pt idx="316">
                  <c:v>967.30583135999973</c:v>
                </c:pt>
                <c:pt idx="317">
                  <c:v>937.88833920000002</c:v>
                </c:pt>
                <c:pt idx="318">
                  <c:v>933.91499472000044</c:v>
                </c:pt>
                <c:pt idx="319">
                  <c:v>925.65735288000019</c:v>
                </c:pt>
                <c:pt idx="320">
                  <c:v>920.25590927999997</c:v>
                </c:pt>
                <c:pt idx="321">
                  <c:v>920.25590927999997</c:v>
                </c:pt>
                <c:pt idx="322">
                  <c:v>920.25590927999997</c:v>
                </c:pt>
                <c:pt idx="323">
                  <c:v>920.25590927999997</c:v>
                </c:pt>
                <c:pt idx="324">
                  <c:v>920.25590927999997</c:v>
                </c:pt>
                <c:pt idx="325">
                  <c:v>920.25590927999997</c:v>
                </c:pt>
                <c:pt idx="326">
                  <c:v>920.25590927999997</c:v>
                </c:pt>
                <c:pt idx="327">
                  <c:v>920.25590927999997</c:v>
                </c:pt>
                <c:pt idx="328">
                  <c:v>925.65735288000019</c:v>
                </c:pt>
                <c:pt idx="329">
                  <c:v>933.91499472000044</c:v>
                </c:pt>
                <c:pt idx="330">
                  <c:v>862.35014976000002</c:v>
                </c:pt>
                <c:pt idx="331">
                  <c:v>881.19835871999999</c:v>
                </c:pt>
                <c:pt idx="332">
                  <c:v>900.04656767999984</c:v>
                </c:pt>
                <c:pt idx="333">
                  <c:v>918.89477663999969</c:v>
                </c:pt>
                <c:pt idx="334">
                  <c:v>905.74442879999992</c:v>
                </c:pt>
                <c:pt idx="335">
                  <c:v>929.28963552000016</c:v>
                </c:pt>
                <c:pt idx="336">
                  <c:v>952.83484224000051</c:v>
                </c:pt>
                <c:pt idx="337">
                  <c:v>976.38004896000075</c:v>
                </c:pt>
                <c:pt idx="338">
                  <c:v>976.38004896000075</c:v>
                </c:pt>
                <c:pt idx="339">
                  <c:v>976.38004896000075</c:v>
                </c:pt>
                <c:pt idx="340">
                  <c:v>976.38004896000075</c:v>
                </c:pt>
                <c:pt idx="341">
                  <c:v>976.38004896000075</c:v>
                </c:pt>
                <c:pt idx="342">
                  <c:v>976.38004896000075</c:v>
                </c:pt>
                <c:pt idx="343">
                  <c:v>871.70053920000043</c:v>
                </c:pt>
                <c:pt idx="344">
                  <c:v>921.58629024000027</c:v>
                </c:pt>
                <c:pt idx="345">
                  <c:v>898.36185024000031</c:v>
                </c:pt>
                <c:pt idx="346">
                  <c:v>892.76689024000029</c:v>
                </c:pt>
                <c:pt idx="347">
                  <c:v>929.28963552000016</c:v>
                </c:pt>
                <c:pt idx="348">
                  <c:v>915.61903879999988</c:v>
                </c:pt>
                <c:pt idx="349">
                  <c:v>905.74442879999992</c:v>
                </c:pt>
                <c:pt idx="350">
                  <c:v>1035.6786156799997</c:v>
                </c:pt>
                <c:pt idx="351">
                  <c:v>1026.1408156799998</c:v>
                </c:pt>
                <c:pt idx="352">
                  <c:v>1010.1133235199997</c:v>
                </c:pt>
                <c:pt idx="353">
                  <c:v>996.72332351999967</c:v>
                </c:pt>
                <c:pt idx="354">
                  <c:v>989.10544351999977</c:v>
                </c:pt>
                <c:pt idx="355">
                  <c:v>967.30583135999973</c:v>
                </c:pt>
                <c:pt idx="356">
                  <c:v>959.82391135999978</c:v>
                </c:pt>
                <c:pt idx="357">
                  <c:v>937.88833920000002</c:v>
                </c:pt>
                <c:pt idx="358">
                  <c:v>963.78871919999995</c:v>
                </c:pt>
                <c:pt idx="359">
                  <c:v>933.91499472000044</c:v>
                </c:pt>
                <c:pt idx="360">
                  <c:v>920.25590927999997</c:v>
                </c:pt>
                <c:pt idx="361">
                  <c:v>920.25590927999997</c:v>
                </c:pt>
                <c:pt idx="362">
                  <c:v>920.25590927999997</c:v>
                </c:pt>
                <c:pt idx="363">
                  <c:v>920.25590927999997</c:v>
                </c:pt>
                <c:pt idx="364">
                  <c:v>920.25590927999997</c:v>
                </c:pt>
                <c:pt idx="365">
                  <c:v>920.25590927999997</c:v>
                </c:pt>
                <c:pt idx="366">
                  <c:v>920.25590927999997</c:v>
                </c:pt>
                <c:pt idx="367">
                  <c:v>925.65735288000019</c:v>
                </c:pt>
                <c:pt idx="368">
                  <c:v>933.91499472000044</c:v>
                </c:pt>
                <c:pt idx="369">
                  <c:v>937.88833920000002</c:v>
                </c:pt>
                <c:pt idx="370">
                  <c:v>967.30583135999973</c:v>
                </c:pt>
                <c:pt idx="371">
                  <c:v>996.72332351999967</c:v>
                </c:pt>
                <c:pt idx="372">
                  <c:v>1026.1408156799998</c:v>
                </c:pt>
                <c:pt idx="373">
                  <c:v>1034.2259366399996</c:v>
                </c:pt>
                <c:pt idx="374">
                  <c:v>1049.8371440000003</c:v>
                </c:pt>
                <c:pt idx="375">
                  <c:v>1065.4483513600007</c:v>
                </c:pt>
                <c:pt idx="376">
                  <c:v>1081.059558720001</c:v>
                </c:pt>
                <c:pt idx="377">
                  <c:v>1159.5484262400005</c:v>
                </c:pt>
                <c:pt idx="378">
                  <c:v>1081.7276661600004</c:v>
                </c:pt>
                <c:pt idx="379">
                  <c:v>1081.7276661600004</c:v>
                </c:pt>
                <c:pt idx="380">
                  <c:v>1081.7276661600004</c:v>
                </c:pt>
                <c:pt idx="381">
                  <c:v>927.64713984000002</c:v>
                </c:pt>
                <c:pt idx="382">
                  <c:v>927.64713984000002</c:v>
                </c:pt>
                <c:pt idx="383">
                  <c:v>927.64713984000002</c:v>
                </c:pt>
                <c:pt idx="384">
                  <c:v>927.64713984000002</c:v>
                </c:pt>
                <c:pt idx="385">
                  <c:v>927.64713984000002</c:v>
                </c:pt>
                <c:pt idx="386">
                  <c:v>927.64713984000002</c:v>
                </c:pt>
                <c:pt idx="387">
                  <c:v>927.64713984000002</c:v>
                </c:pt>
                <c:pt idx="388">
                  <c:v>927.64713984000002</c:v>
                </c:pt>
                <c:pt idx="389">
                  <c:v>927.64713984000002</c:v>
                </c:pt>
                <c:pt idx="390">
                  <c:v>927.64713984000002</c:v>
                </c:pt>
                <c:pt idx="391">
                  <c:v>750.31367136000006</c:v>
                </c:pt>
                <c:pt idx="392">
                  <c:v>841.28841311999997</c:v>
                </c:pt>
                <c:pt idx="393">
                  <c:v>898.36185024000031</c:v>
                </c:pt>
                <c:pt idx="394">
                  <c:v>875.83654128000001</c:v>
                </c:pt>
                <c:pt idx="395">
                  <c:v>819.92766336000011</c:v>
                </c:pt>
                <c:pt idx="396">
                  <c:v>811.6487376</c:v>
                </c:pt>
                <c:pt idx="397">
                  <c:v>881.19835871999999</c:v>
                </c:pt>
                <c:pt idx="398">
                  <c:v>881.66816232000019</c:v>
                </c:pt>
                <c:pt idx="399">
                  <c:v>911.73559271999989</c:v>
                </c:pt>
                <c:pt idx="400">
                  <c:v>911.73559271999989</c:v>
                </c:pt>
                <c:pt idx="401">
                  <c:v>911.73559271999989</c:v>
                </c:pt>
                <c:pt idx="402">
                  <c:v>914.12972883999998</c:v>
                </c:pt>
                <c:pt idx="403">
                  <c:v>925.65735288000019</c:v>
                </c:pt>
                <c:pt idx="404">
                  <c:v>964.16094472000054</c:v>
                </c:pt>
                <c:pt idx="405">
                  <c:v>933.91499472000044</c:v>
                </c:pt>
                <c:pt idx="406">
                  <c:v>963.78871919999995</c:v>
                </c:pt>
                <c:pt idx="407">
                  <c:v>937.88833920000002</c:v>
                </c:pt>
                <c:pt idx="408">
                  <c:v>959.82391135999978</c:v>
                </c:pt>
                <c:pt idx="409">
                  <c:v>967.30583135999973</c:v>
                </c:pt>
                <c:pt idx="410">
                  <c:v>989.10544351999977</c:v>
                </c:pt>
                <c:pt idx="411">
                  <c:v>996.72332351999967</c:v>
                </c:pt>
                <c:pt idx="412">
                  <c:v>996.72332351999967</c:v>
                </c:pt>
                <c:pt idx="413">
                  <c:v>996.72332351999967</c:v>
                </c:pt>
                <c:pt idx="414">
                  <c:v>996.72332351999967</c:v>
                </c:pt>
                <c:pt idx="415">
                  <c:v>996.72332351999967</c:v>
                </c:pt>
                <c:pt idx="416">
                  <c:v>996.72332351999967</c:v>
                </c:pt>
                <c:pt idx="417">
                  <c:v>900.04656767999984</c:v>
                </c:pt>
                <c:pt idx="418">
                  <c:v>881.19835871999999</c:v>
                </c:pt>
                <c:pt idx="419">
                  <c:v>862.35014976000002</c:v>
                </c:pt>
                <c:pt idx="420">
                  <c:v>933.91499472000044</c:v>
                </c:pt>
                <c:pt idx="421">
                  <c:v>925.65735288000019</c:v>
                </c:pt>
                <c:pt idx="422">
                  <c:v>920.25590927999997</c:v>
                </c:pt>
                <c:pt idx="423">
                  <c:v>920.25590927999997</c:v>
                </c:pt>
                <c:pt idx="424">
                  <c:v>920.25590927999997</c:v>
                </c:pt>
                <c:pt idx="425">
                  <c:v>920.25590927999997</c:v>
                </c:pt>
                <c:pt idx="426">
                  <c:v>920.25590927999997</c:v>
                </c:pt>
                <c:pt idx="427">
                  <c:v>920.25590927999997</c:v>
                </c:pt>
                <c:pt idx="428">
                  <c:v>920.25590927999997</c:v>
                </c:pt>
                <c:pt idx="429">
                  <c:v>920.25590927999997</c:v>
                </c:pt>
                <c:pt idx="430">
                  <c:v>920.25590927999997</c:v>
                </c:pt>
                <c:pt idx="431">
                  <c:v>920.25590927999997</c:v>
                </c:pt>
                <c:pt idx="432">
                  <c:v>920.25590927999997</c:v>
                </c:pt>
                <c:pt idx="433">
                  <c:v>920.25590927999997</c:v>
                </c:pt>
                <c:pt idx="434">
                  <c:v>920.25590927999997</c:v>
                </c:pt>
                <c:pt idx="435">
                  <c:v>920.25590927999997</c:v>
                </c:pt>
                <c:pt idx="436">
                  <c:v>920.25590927999997</c:v>
                </c:pt>
                <c:pt idx="437">
                  <c:v>920.25590927999997</c:v>
                </c:pt>
                <c:pt idx="438">
                  <c:v>920.25590927999997</c:v>
                </c:pt>
                <c:pt idx="439">
                  <c:v>920.25590927999997</c:v>
                </c:pt>
                <c:pt idx="440">
                  <c:v>920.25590927999997</c:v>
                </c:pt>
                <c:pt idx="441">
                  <c:v>920.25590927999997</c:v>
                </c:pt>
                <c:pt idx="442">
                  <c:v>920.25590927999997</c:v>
                </c:pt>
                <c:pt idx="443">
                  <c:v>920.25590927999997</c:v>
                </c:pt>
                <c:pt idx="444">
                  <c:v>920.25590927999997</c:v>
                </c:pt>
                <c:pt idx="445">
                  <c:v>920.25590927999997</c:v>
                </c:pt>
                <c:pt idx="446">
                  <c:v>920.25590927999997</c:v>
                </c:pt>
                <c:pt idx="447">
                  <c:v>920.25590927999997</c:v>
                </c:pt>
                <c:pt idx="448">
                  <c:v>920.25590927999997</c:v>
                </c:pt>
                <c:pt idx="449">
                  <c:v>920.25590927999997</c:v>
                </c:pt>
                <c:pt idx="450">
                  <c:v>920.25590927999997</c:v>
                </c:pt>
                <c:pt idx="451">
                  <c:v>920.25590927999997</c:v>
                </c:pt>
                <c:pt idx="452">
                  <c:v>920.25590927999997</c:v>
                </c:pt>
                <c:pt idx="453">
                  <c:v>920.25590927999997</c:v>
                </c:pt>
                <c:pt idx="454">
                  <c:v>920.25590927999997</c:v>
                </c:pt>
                <c:pt idx="455">
                  <c:v>920.25590927999997</c:v>
                </c:pt>
                <c:pt idx="456">
                  <c:v>920.25590927999997</c:v>
                </c:pt>
                <c:pt idx="457">
                  <c:v>920.25590927999997</c:v>
                </c:pt>
                <c:pt idx="458">
                  <c:v>920.25590927999997</c:v>
                </c:pt>
                <c:pt idx="459">
                  <c:v>920.25590927999997</c:v>
                </c:pt>
                <c:pt idx="460">
                  <c:v>920.25590927999997</c:v>
                </c:pt>
                <c:pt idx="461">
                  <c:v>920.25590927999997</c:v>
                </c:pt>
                <c:pt idx="462">
                  <c:v>920.25590927999997</c:v>
                </c:pt>
                <c:pt idx="463">
                  <c:v>920.25590927999997</c:v>
                </c:pt>
                <c:pt idx="464">
                  <c:v>920.25590927999997</c:v>
                </c:pt>
                <c:pt idx="465">
                  <c:v>920.25590927999997</c:v>
                </c:pt>
                <c:pt idx="466">
                  <c:v>920.25590927999997</c:v>
                </c:pt>
                <c:pt idx="467">
                  <c:v>920.25590927999997</c:v>
                </c:pt>
                <c:pt idx="468">
                  <c:v>920.25590927999997</c:v>
                </c:pt>
                <c:pt idx="469">
                  <c:v>920.25590927999997</c:v>
                </c:pt>
                <c:pt idx="470">
                  <c:v>920.25590927999997</c:v>
                </c:pt>
                <c:pt idx="471">
                  <c:v>920.25590927999997</c:v>
                </c:pt>
                <c:pt idx="472">
                  <c:v>920.25590927999997</c:v>
                </c:pt>
                <c:pt idx="473">
                  <c:v>925.65735288000019</c:v>
                </c:pt>
                <c:pt idx="474">
                  <c:v>933.91499472000044</c:v>
                </c:pt>
                <c:pt idx="475">
                  <c:v>937.88833920000002</c:v>
                </c:pt>
                <c:pt idx="476">
                  <c:v>967.30583135999973</c:v>
                </c:pt>
                <c:pt idx="477">
                  <c:v>996.72332351999967</c:v>
                </c:pt>
                <c:pt idx="478">
                  <c:v>1026.1408156799998</c:v>
                </c:pt>
                <c:pt idx="479">
                  <c:v>1034.2259366399996</c:v>
                </c:pt>
                <c:pt idx="480">
                  <c:v>1049.8371440000003</c:v>
                </c:pt>
                <c:pt idx="481">
                  <c:v>1065.4483513600007</c:v>
                </c:pt>
                <c:pt idx="482">
                  <c:v>1081.059558720001</c:v>
                </c:pt>
                <c:pt idx="483">
                  <c:v>1159.5484262400005</c:v>
                </c:pt>
                <c:pt idx="484">
                  <c:v>1081.7276661600004</c:v>
                </c:pt>
                <c:pt idx="485">
                  <c:v>1081.7276661600004</c:v>
                </c:pt>
                <c:pt idx="486">
                  <c:v>927.64713984000002</c:v>
                </c:pt>
                <c:pt idx="487">
                  <c:v>927.64713984000002</c:v>
                </c:pt>
                <c:pt idx="488">
                  <c:v>927.64713984000002</c:v>
                </c:pt>
                <c:pt idx="489">
                  <c:v>927.64713984000002</c:v>
                </c:pt>
                <c:pt idx="490">
                  <c:v>927.64713984000002</c:v>
                </c:pt>
                <c:pt idx="491">
                  <c:v>927.64713984000002</c:v>
                </c:pt>
                <c:pt idx="492">
                  <c:v>927.64713984000002</c:v>
                </c:pt>
                <c:pt idx="493">
                  <c:v>750.31367136000006</c:v>
                </c:pt>
                <c:pt idx="494">
                  <c:v>841.28841311999997</c:v>
                </c:pt>
                <c:pt idx="495">
                  <c:v>898.36185024000031</c:v>
                </c:pt>
                <c:pt idx="496">
                  <c:v>875.83654128000001</c:v>
                </c:pt>
                <c:pt idx="497">
                  <c:v>819.92766336000011</c:v>
                </c:pt>
                <c:pt idx="498">
                  <c:v>918.89477663999969</c:v>
                </c:pt>
                <c:pt idx="499">
                  <c:v>900.04656767999984</c:v>
                </c:pt>
                <c:pt idx="500">
                  <c:v>881.19835871999999</c:v>
                </c:pt>
                <c:pt idx="501">
                  <c:v>937.88833920000002</c:v>
                </c:pt>
                <c:pt idx="502">
                  <c:v>933.91499472000044</c:v>
                </c:pt>
                <c:pt idx="503">
                  <c:v>925.65735288000019</c:v>
                </c:pt>
                <c:pt idx="504">
                  <c:v>920.25590927999997</c:v>
                </c:pt>
                <c:pt idx="505">
                  <c:v>920.25590927999997</c:v>
                </c:pt>
                <c:pt idx="506">
                  <c:v>920.25590927999997</c:v>
                </c:pt>
                <c:pt idx="507">
                  <c:v>920.25590927999997</c:v>
                </c:pt>
                <c:pt idx="508">
                  <c:v>920.25590927999997</c:v>
                </c:pt>
                <c:pt idx="509">
                  <c:v>920.25590927999997</c:v>
                </c:pt>
                <c:pt idx="510">
                  <c:v>920.25590927999997</c:v>
                </c:pt>
                <c:pt idx="511">
                  <c:v>920.25590927999997</c:v>
                </c:pt>
                <c:pt idx="512">
                  <c:v>920.25590927999997</c:v>
                </c:pt>
                <c:pt idx="513">
                  <c:v>920.25590927999997</c:v>
                </c:pt>
                <c:pt idx="514">
                  <c:v>920.25590927999997</c:v>
                </c:pt>
                <c:pt idx="515">
                  <c:v>920.25590927999997</c:v>
                </c:pt>
                <c:pt idx="516">
                  <c:v>920.25590927999997</c:v>
                </c:pt>
                <c:pt idx="517">
                  <c:v>920.25590927999997</c:v>
                </c:pt>
                <c:pt idx="518">
                  <c:v>920.25590927999997</c:v>
                </c:pt>
                <c:pt idx="519">
                  <c:v>920.25590927999997</c:v>
                </c:pt>
                <c:pt idx="520">
                  <c:v>920.25590927999997</c:v>
                </c:pt>
                <c:pt idx="521">
                  <c:v>920.25590927999997</c:v>
                </c:pt>
                <c:pt idx="522">
                  <c:v>920.25590927999997</c:v>
                </c:pt>
                <c:pt idx="523">
                  <c:v>920.25590927999997</c:v>
                </c:pt>
                <c:pt idx="524">
                  <c:v>920.25590927999997</c:v>
                </c:pt>
                <c:pt idx="525">
                  <c:v>920.25590927999997</c:v>
                </c:pt>
                <c:pt idx="526">
                  <c:v>920.25590927999997</c:v>
                </c:pt>
                <c:pt idx="527">
                  <c:v>925.65735288000019</c:v>
                </c:pt>
                <c:pt idx="528">
                  <c:v>933.91499472000044</c:v>
                </c:pt>
                <c:pt idx="529">
                  <c:v>937.88833920000002</c:v>
                </c:pt>
                <c:pt idx="530">
                  <c:v>967.30583135999973</c:v>
                </c:pt>
                <c:pt idx="531">
                  <c:v>996.72332351999967</c:v>
                </c:pt>
                <c:pt idx="532">
                  <c:v>1026.1408156799998</c:v>
                </c:pt>
                <c:pt idx="533">
                  <c:v>1034.2259366399996</c:v>
                </c:pt>
                <c:pt idx="534">
                  <c:v>1049.8371440000003</c:v>
                </c:pt>
                <c:pt idx="535">
                  <c:v>1065.4483513600007</c:v>
                </c:pt>
                <c:pt idx="536">
                  <c:v>1065.4483513600007</c:v>
                </c:pt>
                <c:pt idx="537">
                  <c:v>952.83484224000051</c:v>
                </c:pt>
                <c:pt idx="538">
                  <c:v>952.83484224000051</c:v>
                </c:pt>
                <c:pt idx="539">
                  <c:v>952.83484224000051</c:v>
                </c:pt>
                <c:pt idx="540">
                  <c:v>952.83484224000051</c:v>
                </c:pt>
                <c:pt idx="541">
                  <c:v>952.83484224000051</c:v>
                </c:pt>
                <c:pt idx="542">
                  <c:v>952.83484224000051</c:v>
                </c:pt>
                <c:pt idx="543">
                  <c:v>952.83484224000051</c:v>
                </c:pt>
                <c:pt idx="544">
                  <c:v>875.83654128000001</c:v>
                </c:pt>
                <c:pt idx="545">
                  <c:v>819.92766336000011</c:v>
                </c:pt>
                <c:pt idx="546">
                  <c:v>918.89477663999969</c:v>
                </c:pt>
                <c:pt idx="547">
                  <c:v>900.04656767999984</c:v>
                </c:pt>
                <c:pt idx="548">
                  <c:v>967.30583135999973</c:v>
                </c:pt>
                <c:pt idx="549">
                  <c:v>937.88833920000002</c:v>
                </c:pt>
                <c:pt idx="550">
                  <c:v>933.91499472000044</c:v>
                </c:pt>
                <c:pt idx="551">
                  <c:v>925.65735288000019</c:v>
                </c:pt>
                <c:pt idx="552">
                  <c:v>920.25590927999997</c:v>
                </c:pt>
                <c:pt idx="553">
                  <c:v>920.25590927999997</c:v>
                </c:pt>
                <c:pt idx="554">
                  <c:v>920.25590927999997</c:v>
                </c:pt>
                <c:pt idx="555">
                  <c:v>920.25590927999997</c:v>
                </c:pt>
                <c:pt idx="556">
                  <c:v>920.25590927999997</c:v>
                </c:pt>
                <c:pt idx="557">
                  <c:v>920.25590927999997</c:v>
                </c:pt>
                <c:pt idx="558">
                  <c:v>920.25590927999997</c:v>
                </c:pt>
                <c:pt idx="559">
                  <c:v>920.25590927999997</c:v>
                </c:pt>
                <c:pt idx="560">
                  <c:v>925.65735288000019</c:v>
                </c:pt>
                <c:pt idx="561">
                  <c:v>933.91499472000044</c:v>
                </c:pt>
                <c:pt idx="562">
                  <c:v>937.88833920000002</c:v>
                </c:pt>
                <c:pt idx="563">
                  <c:v>967.30583135999973</c:v>
                </c:pt>
                <c:pt idx="564">
                  <c:v>996.72332351999967</c:v>
                </c:pt>
                <c:pt idx="565">
                  <c:v>1026.1408156799998</c:v>
                </c:pt>
                <c:pt idx="566">
                  <c:v>1034.2259366399996</c:v>
                </c:pt>
                <c:pt idx="567">
                  <c:v>1049.8371440000003</c:v>
                </c:pt>
                <c:pt idx="568">
                  <c:v>1065.4483513600007</c:v>
                </c:pt>
                <c:pt idx="569">
                  <c:v>1081.059558720001</c:v>
                </c:pt>
                <c:pt idx="570">
                  <c:v>1159.5484262400005</c:v>
                </c:pt>
                <c:pt idx="571">
                  <c:v>1081.7276661600004</c:v>
                </c:pt>
                <c:pt idx="572">
                  <c:v>1081.7276661600004</c:v>
                </c:pt>
                <c:pt idx="573">
                  <c:v>927.64713984000002</c:v>
                </c:pt>
                <c:pt idx="574">
                  <c:v>927.64713984000002</c:v>
                </c:pt>
                <c:pt idx="575">
                  <c:v>927.64713984000002</c:v>
                </c:pt>
                <c:pt idx="576">
                  <c:v>927.64713984000002</c:v>
                </c:pt>
                <c:pt idx="577">
                  <c:v>927.64713984000002</c:v>
                </c:pt>
                <c:pt idx="578">
                  <c:v>927.64713984000002</c:v>
                </c:pt>
                <c:pt idx="579">
                  <c:v>927.64713984000002</c:v>
                </c:pt>
                <c:pt idx="580">
                  <c:v>927.64713984000002</c:v>
                </c:pt>
                <c:pt idx="581">
                  <c:v>927.64713984000002</c:v>
                </c:pt>
                <c:pt idx="582">
                  <c:v>927.64713984000002</c:v>
                </c:pt>
                <c:pt idx="583">
                  <c:v>927.64713984000002</c:v>
                </c:pt>
                <c:pt idx="584">
                  <c:v>795.95460288000015</c:v>
                </c:pt>
                <c:pt idx="585">
                  <c:v>912.12649008000005</c:v>
                </c:pt>
                <c:pt idx="586">
                  <c:v>855.94153920000042</c:v>
                </c:pt>
                <c:pt idx="587">
                  <c:v>871.70053920000043</c:v>
                </c:pt>
                <c:pt idx="588">
                  <c:v>976.05928224000047</c:v>
                </c:pt>
                <c:pt idx="589">
                  <c:v>898.36185024000031</c:v>
                </c:pt>
                <c:pt idx="590">
                  <c:v>892.76689024000029</c:v>
                </c:pt>
                <c:pt idx="591">
                  <c:v>875.83654128000001</c:v>
                </c:pt>
                <c:pt idx="592">
                  <c:v>789.30468391999989</c:v>
                </c:pt>
                <c:pt idx="593">
                  <c:v>819.92766336000011</c:v>
                </c:pt>
                <c:pt idx="594">
                  <c:v>821.18653759999995</c:v>
                </c:pt>
                <c:pt idx="595">
                  <c:v>811.6487376</c:v>
                </c:pt>
                <c:pt idx="596">
                  <c:v>913.43656767999983</c:v>
                </c:pt>
                <c:pt idx="597">
                  <c:v>900.04656767999984</c:v>
                </c:pt>
                <c:pt idx="598">
                  <c:v>892.42868767999994</c:v>
                </c:pt>
                <c:pt idx="599">
                  <c:v>881.19835871999999</c:v>
                </c:pt>
                <c:pt idx="600">
                  <c:v>873.71643872000004</c:v>
                </c:pt>
                <c:pt idx="601">
                  <c:v>862.35014976000002</c:v>
                </c:pt>
                <c:pt idx="602">
                  <c:v>920.25590927999997</c:v>
                </c:pt>
                <c:pt idx="603">
                  <c:v>920.25590927999997</c:v>
                </c:pt>
                <c:pt idx="604">
                  <c:v>920.25590927999997</c:v>
                </c:pt>
                <c:pt idx="605">
                  <c:v>920.25590927999997</c:v>
                </c:pt>
                <c:pt idx="606">
                  <c:v>920.25590927999997</c:v>
                </c:pt>
                <c:pt idx="607">
                  <c:v>920.25590927999997</c:v>
                </c:pt>
                <c:pt idx="608">
                  <c:v>894.55972883999993</c:v>
                </c:pt>
                <c:pt idx="609">
                  <c:v>881.66816232000019</c:v>
                </c:pt>
                <c:pt idx="610">
                  <c:v>881.66816232000019</c:v>
                </c:pt>
                <c:pt idx="611">
                  <c:v>894.55972883999993</c:v>
                </c:pt>
                <c:pt idx="612">
                  <c:v>911.73559271999989</c:v>
                </c:pt>
                <c:pt idx="613">
                  <c:v>911.73559271999989</c:v>
                </c:pt>
                <c:pt idx="614">
                  <c:v>911.73559271999989</c:v>
                </c:pt>
                <c:pt idx="615">
                  <c:v>920.25590927999997</c:v>
                </c:pt>
                <c:pt idx="616">
                  <c:v>920.25590927999997</c:v>
                </c:pt>
                <c:pt idx="617">
                  <c:v>920.25590927999997</c:v>
                </c:pt>
                <c:pt idx="618">
                  <c:v>920.25590927999997</c:v>
                </c:pt>
                <c:pt idx="619">
                  <c:v>920.25590927999997</c:v>
                </c:pt>
                <c:pt idx="620">
                  <c:v>920.25590927999997</c:v>
                </c:pt>
                <c:pt idx="621">
                  <c:v>920.25590927999997</c:v>
                </c:pt>
                <c:pt idx="622">
                  <c:v>920.25590927999997</c:v>
                </c:pt>
                <c:pt idx="623">
                  <c:v>920.25590927999997</c:v>
                </c:pt>
                <c:pt idx="624">
                  <c:v>920.25590927999997</c:v>
                </c:pt>
                <c:pt idx="625">
                  <c:v>920.25590927999997</c:v>
                </c:pt>
                <c:pt idx="626">
                  <c:v>920.25590927999997</c:v>
                </c:pt>
                <c:pt idx="627">
                  <c:v>920.25590927999997</c:v>
                </c:pt>
                <c:pt idx="628">
                  <c:v>920.25590927999997</c:v>
                </c:pt>
                <c:pt idx="629">
                  <c:v>920.25590927999997</c:v>
                </c:pt>
                <c:pt idx="630">
                  <c:v>920.25590927999997</c:v>
                </c:pt>
                <c:pt idx="631">
                  <c:v>920.25590927999997</c:v>
                </c:pt>
                <c:pt idx="632">
                  <c:v>920.25590927999997</c:v>
                </c:pt>
                <c:pt idx="633">
                  <c:v>920.25590927999997</c:v>
                </c:pt>
                <c:pt idx="634">
                  <c:v>920.25590927999997</c:v>
                </c:pt>
                <c:pt idx="635">
                  <c:v>920.25590927999997</c:v>
                </c:pt>
                <c:pt idx="636">
                  <c:v>920.25590927999997</c:v>
                </c:pt>
                <c:pt idx="637">
                  <c:v>920.25590927999997</c:v>
                </c:pt>
                <c:pt idx="638">
                  <c:v>920.25590927999997</c:v>
                </c:pt>
                <c:pt idx="639">
                  <c:v>920.25590927999997</c:v>
                </c:pt>
                <c:pt idx="640">
                  <c:v>920.25590927999997</c:v>
                </c:pt>
                <c:pt idx="641">
                  <c:v>920.25590927999997</c:v>
                </c:pt>
                <c:pt idx="642">
                  <c:v>920.25590927999997</c:v>
                </c:pt>
                <c:pt idx="643">
                  <c:v>920.25590927999997</c:v>
                </c:pt>
                <c:pt idx="644">
                  <c:v>920.25590927999997</c:v>
                </c:pt>
                <c:pt idx="645">
                  <c:v>920.25590927999997</c:v>
                </c:pt>
                <c:pt idx="646">
                  <c:v>920.25590927999997</c:v>
                </c:pt>
                <c:pt idx="647">
                  <c:v>920.25590927999997</c:v>
                </c:pt>
                <c:pt idx="648">
                  <c:v>920.25590927999997</c:v>
                </c:pt>
                <c:pt idx="649">
                  <c:v>920.25590927999997</c:v>
                </c:pt>
                <c:pt idx="650">
                  <c:v>920.25590927999997</c:v>
                </c:pt>
                <c:pt idx="651">
                  <c:v>920.25590927999997</c:v>
                </c:pt>
                <c:pt idx="652">
                  <c:v>920.25590927999997</c:v>
                </c:pt>
                <c:pt idx="653">
                  <c:v>920.25590927999997</c:v>
                </c:pt>
                <c:pt idx="654">
                  <c:v>920.25590927999997</c:v>
                </c:pt>
                <c:pt idx="655">
                  <c:v>920.25590927999997</c:v>
                </c:pt>
                <c:pt idx="656">
                  <c:v>920.25590927999997</c:v>
                </c:pt>
                <c:pt idx="657">
                  <c:v>920.25590927999997</c:v>
                </c:pt>
                <c:pt idx="658">
                  <c:v>920.25590927999997</c:v>
                </c:pt>
                <c:pt idx="659">
                  <c:v>920.25590927999997</c:v>
                </c:pt>
                <c:pt idx="660">
                  <c:v>920.25590927999997</c:v>
                </c:pt>
                <c:pt idx="661">
                  <c:v>920.25590927999997</c:v>
                </c:pt>
                <c:pt idx="662">
                  <c:v>920.25590927999997</c:v>
                </c:pt>
                <c:pt idx="663">
                  <c:v>920.25590927999997</c:v>
                </c:pt>
                <c:pt idx="664">
                  <c:v>920.25590927999997</c:v>
                </c:pt>
                <c:pt idx="665">
                  <c:v>920.25590927999997</c:v>
                </c:pt>
                <c:pt idx="666">
                  <c:v>920.25590927999997</c:v>
                </c:pt>
                <c:pt idx="667">
                  <c:v>920.25590927999997</c:v>
                </c:pt>
                <c:pt idx="668">
                  <c:v>920.25590927999997</c:v>
                </c:pt>
                <c:pt idx="669">
                  <c:v>920.25590927999997</c:v>
                </c:pt>
                <c:pt idx="670">
                  <c:v>920.25590927999997</c:v>
                </c:pt>
                <c:pt idx="671">
                  <c:v>920.25590927999997</c:v>
                </c:pt>
                <c:pt idx="672">
                  <c:v>920.25590927999997</c:v>
                </c:pt>
                <c:pt idx="673">
                  <c:v>920.25590927999997</c:v>
                </c:pt>
                <c:pt idx="674">
                  <c:v>920.25590927999997</c:v>
                </c:pt>
                <c:pt idx="675">
                  <c:v>920.25590927999997</c:v>
                </c:pt>
                <c:pt idx="676">
                  <c:v>920.25590927999997</c:v>
                </c:pt>
                <c:pt idx="677">
                  <c:v>920.25590927999997</c:v>
                </c:pt>
                <c:pt idx="678">
                  <c:v>920.25590927999997</c:v>
                </c:pt>
                <c:pt idx="679">
                  <c:v>920.25590927999997</c:v>
                </c:pt>
                <c:pt idx="680">
                  <c:v>920.25590927999997</c:v>
                </c:pt>
                <c:pt idx="681">
                  <c:v>920.25590927999997</c:v>
                </c:pt>
                <c:pt idx="682">
                  <c:v>920.25590927999997</c:v>
                </c:pt>
                <c:pt idx="683">
                  <c:v>920.25590927999997</c:v>
                </c:pt>
                <c:pt idx="684">
                  <c:v>920.25590927999997</c:v>
                </c:pt>
                <c:pt idx="685">
                  <c:v>920.25590927999997</c:v>
                </c:pt>
                <c:pt idx="686">
                  <c:v>920.25590927999997</c:v>
                </c:pt>
                <c:pt idx="687">
                  <c:v>920.25590927999997</c:v>
                </c:pt>
                <c:pt idx="688">
                  <c:v>920.25590927999997</c:v>
                </c:pt>
                <c:pt idx="689">
                  <c:v>920.25590927999997</c:v>
                </c:pt>
                <c:pt idx="690">
                  <c:v>945.22735288000013</c:v>
                </c:pt>
                <c:pt idx="691">
                  <c:v>894.55972883999993</c:v>
                </c:pt>
                <c:pt idx="692">
                  <c:v>911.91411232000019</c:v>
                </c:pt>
                <c:pt idx="693">
                  <c:v>933.91499472000044</c:v>
                </c:pt>
                <c:pt idx="694">
                  <c:v>963.78871919999995</c:v>
                </c:pt>
                <c:pt idx="695">
                  <c:v>937.88833920000002</c:v>
                </c:pt>
                <c:pt idx="696">
                  <c:v>959.82391135999978</c:v>
                </c:pt>
                <c:pt idx="697">
                  <c:v>967.30583135999973</c:v>
                </c:pt>
                <c:pt idx="698">
                  <c:v>989.10544351999977</c:v>
                </c:pt>
                <c:pt idx="699">
                  <c:v>996.72332351999967</c:v>
                </c:pt>
                <c:pt idx="700">
                  <c:v>1010.1133235199997</c:v>
                </c:pt>
                <c:pt idx="701">
                  <c:v>1026.1408156799998</c:v>
                </c:pt>
                <c:pt idx="702">
                  <c:v>1035.6786156799997</c:v>
                </c:pt>
                <c:pt idx="703">
                  <c:v>1034.2259366399996</c:v>
                </c:pt>
                <c:pt idx="704">
                  <c:v>1044.1005466399997</c:v>
                </c:pt>
                <c:pt idx="705">
                  <c:v>1049.8371440000003</c:v>
                </c:pt>
                <c:pt idx="706">
                  <c:v>1059.8533913600008</c:v>
                </c:pt>
                <c:pt idx="707">
                  <c:v>952.83484224000051</c:v>
                </c:pt>
                <c:pt idx="708">
                  <c:v>976.05928224000047</c:v>
                </c:pt>
                <c:pt idx="709">
                  <c:v>976.38004896000075</c:v>
                </c:pt>
                <c:pt idx="710">
                  <c:v>960.62104896000073</c:v>
                </c:pt>
                <c:pt idx="711">
                  <c:v>960.62104896000073</c:v>
                </c:pt>
                <c:pt idx="712">
                  <c:v>825.52941312000007</c:v>
                </c:pt>
                <c:pt idx="713">
                  <c:v>825.52941312000007</c:v>
                </c:pt>
                <c:pt idx="714">
                  <c:v>825.52941312000007</c:v>
                </c:pt>
                <c:pt idx="715">
                  <c:v>825.52941312000007</c:v>
                </c:pt>
                <c:pt idx="716">
                  <c:v>825.52941312000007</c:v>
                </c:pt>
                <c:pt idx="717">
                  <c:v>825.52941312000007</c:v>
                </c:pt>
                <c:pt idx="718">
                  <c:v>825.52941312000007</c:v>
                </c:pt>
                <c:pt idx="719">
                  <c:v>825.52941312000007</c:v>
                </c:pt>
                <c:pt idx="720">
                  <c:v>825.52941312000007</c:v>
                </c:pt>
                <c:pt idx="721">
                  <c:v>825.52941312000007</c:v>
                </c:pt>
                <c:pt idx="722">
                  <c:v>825.52941312000007</c:v>
                </c:pt>
                <c:pt idx="723">
                  <c:v>794.14237968000009</c:v>
                </c:pt>
                <c:pt idx="724">
                  <c:v>841.28841311999997</c:v>
                </c:pt>
                <c:pt idx="725">
                  <c:v>867.11329824000018</c:v>
                </c:pt>
                <c:pt idx="726">
                  <c:v>898.36185024000031</c:v>
                </c:pt>
                <c:pt idx="727">
                  <c:v>892.76689024000029</c:v>
                </c:pt>
                <c:pt idx="728">
                  <c:v>875.83654128000001</c:v>
                </c:pt>
                <c:pt idx="729">
                  <c:v>829.80227336000007</c:v>
                </c:pt>
                <c:pt idx="730">
                  <c:v>819.92766336000011</c:v>
                </c:pt>
                <c:pt idx="731">
                  <c:v>928.43257663999975</c:v>
                </c:pt>
                <c:pt idx="732">
                  <c:v>918.89477663999969</c:v>
                </c:pt>
                <c:pt idx="733">
                  <c:v>913.43656767999983</c:v>
                </c:pt>
                <c:pt idx="734">
                  <c:v>900.04656767999984</c:v>
                </c:pt>
                <c:pt idx="735">
                  <c:v>795.75193184000011</c:v>
                </c:pt>
                <c:pt idx="736">
                  <c:v>881.19835871999999</c:v>
                </c:pt>
                <c:pt idx="737">
                  <c:v>787.60896607999996</c:v>
                </c:pt>
                <c:pt idx="738">
                  <c:v>862.35014976000002</c:v>
                </c:pt>
                <c:pt idx="739">
                  <c:v>888.25052976000006</c:v>
                </c:pt>
                <c:pt idx="740">
                  <c:v>881.66816232000019</c:v>
                </c:pt>
                <c:pt idx="741">
                  <c:v>911.91411232000019</c:v>
                </c:pt>
                <c:pt idx="742">
                  <c:v>894.55972883999993</c:v>
                </c:pt>
                <c:pt idx="743">
                  <c:v>914.12972883999998</c:v>
                </c:pt>
                <c:pt idx="744">
                  <c:v>920.25590927999997</c:v>
                </c:pt>
                <c:pt idx="745">
                  <c:v>920.25590927999997</c:v>
                </c:pt>
                <c:pt idx="746">
                  <c:v>920.25590927999997</c:v>
                </c:pt>
                <c:pt idx="747">
                  <c:v>920.25590927999997</c:v>
                </c:pt>
                <c:pt idx="748">
                  <c:v>920.25590927999997</c:v>
                </c:pt>
                <c:pt idx="749">
                  <c:v>920.25590927999997</c:v>
                </c:pt>
                <c:pt idx="750">
                  <c:v>920.25590927999997</c:v>
                </c:pt>
                <c:pt idx="751">
                  <c:v>920.25590927999997</c:v>
                </c:pt>
                <c:pt idx="752">
                  <c:v>920.25590927999997</c:v>
                </c:pt>
                <c:pt idx="753">
                  <c:v>920.25590927999997</c:v>
                </c:pt>
                <c:pt idx="754">
                  <c:v>920.25590927999997</c:v>
                </c:pt>
                <c:pt idx="755">
                  <c:v>894.55972883999993</c:v>
                </c:pt>
                <c:pt idx="756">
                  <c:v>881.66816232000019</c:v>
                </c:pt>
                <c:pt idx="757">
                  <c:v>937.88833920000002</c:v>
                </c:pt>
                <c:pt idx="758">
                  <c:v>967.30583135999973</c:v>
                </c:pt>
                <c:pt idx="759">
                  <c:v>996.72332351999967</c:v>
                </c:pt>
                <c:pt idx="760">
                  <c:v>1026.1408156799998</c:v>
                </c:pt>
                <c:pt idx="761">
                  <c:v>1034.2259366399996</c:v>
                </c:pt>
                <c:pt idx="762">
                  <c:v>929.28963552000016</c:v>
                </c:pt>
                <c:pt idx="763">
                  <c:v>952.83484224000051</c:v>
                </c:pt>
                <c:pt idx="764">
                  <c:v>976.38004896000075</c:v>
                </c:pt>
                <c:pt idx="765">
                  <c:v>976.38004896000075</c:v>
                </c:pt>
                <c:pt idx="766">
                  <c:v>976.38004896000075</c:v>
                </c:pt>
                <c:pt idx="767">
                  <c:v>976.38004896000075</c:v>
                </c:pt>
                <c:pt idx="768">
                  <c:v>976.38004896000075</c:v>
                </c:pt>
                <c:pt idx="769">
                  <c:v>976.38004896000075</c:v>
                </c:pt>
                <c:pt idx="770">
                  <c:v>976.38004896000075</c:v>
                </c:pt>
                <c:pt idx="771">
                  <c:v>976.38004896000075</c:v>
                </c:pt>
                <c:pt idx="772">
                  <c:v>976.38004896000075</c:v>
                </c:pt>
                <c:pt idx="773">
                  <c:v>871.70053920000043</c:v>
                </c:pt>
                <c:pt idx="774">
                  <c:v>871.70053920000043</c:v>
                </c:pt>
                <c:pt idx="775">
                  <c:v>871.70053920000043</c:v>
                </c:pt>
                <c:pt idx="776">
                  <c:v>871.70053920000043</c:v>
                </c:pt>
                <c:pt idx="777">
                  <c:v>871.70053920000043</c:v>
                </c:pt>
                <c:pt idx="778">
                  <c:v>871.70053920000043</c:v>
                </c:pt>
                <c:pt idx="779">
                  <c:v>871.70053920000043</c:v>
                </c:pt>
                <c:pt idx="780">
                  <c:v>871.70053920000043</c:v>
                </c:pt>
                <c:pt idx="781">
                  <c:v>871.70053920000043</c:v>
                </c:pt>
                <c:pt idx="782">
                  <c:v>871.70053920000043</c:v>
                </c:pt>
                <c:pt idx="783">
                  <c:v>867.11329824000018</c:v>
                </c:pt>
                <c:pt idx="784">
                  <c:v>898.36185024000031</c:v>
                </c:pt>
                <c:pt idx="785">
                  <c:v>892.76689024000029</c:v>
                </c:pt>
                <c:pt idx="786">
                  <c:v>875.83654128000001</c:v>
                </c:pt>
                <c:pt idx="787">
                  <c:v>829.80227336000007</c:v>
                </c:pt>
                <c:pt idx="788">
                  <c:v>819.92766336000011</c:v>
                </c:pt>
                <c:pt idx="789">
                  <c:v>821.18653759999995</c:v>
                </c:pt>
                <c:pt idx="790">
                  <c:v>811.6487376</c:v>
                </c:pt>
                <c:pt idx="791">
                  <c:v>913.43656767999983</c:v>
                </c:pt>
                <c:pt idx="792">
                  <c:v>900.04656767999984</c:v>
                </c:pt>
                <c:pt idx="793">
                  <c:v>892.42868767999994</c:v>
                </c:pt>
                <c:pt idx="794">
                  <c:v>881.19835871999999</c:v>
                </c:pt>
                <c:pt idx="795">
                  <c:v>873.71643872000004</c:v>
                </c:pt>
                <c:pt idx="796">
                  <c:v>862.35014976000002</c:v>
                </c:pt>
                <c:pt idx="797">
                  <c:v>963.78871919999995</c:v>
                </c:pt>
                <c:pt idx="798">
                  <c:v>933.91499472000044</c:v>
                </c:pt>
                <c:pt idx="799">
                  <c:v>964.16094472000054</c:v>
                </c:pt>
                <c:pt idx="800">
                  <c:v>925.65735288000019</c:v>
                </c:pt>
                <c:pt idx="801">
                  <c:v>945.22735288000013</c:v>
                </c:pt>
                <c:pt idx="802">
                  <c:v>920.25590927999997</c:v>
                </c:pt>
                <c:pt idx="803">
                  <c:v>920.25590927999997</c:v>
                </c:pt>
                <c:pt idx="804">
                  <c:v>920.25590927999997</c:v>
                </c:pt>
                <c:pt idx="805">
                  <c:v>920.25590927999997</c:v>
                </c:pt>
                <c:pt idx="806">
                  <c:v>920.25590927999997</c:v>
                </c:pt>
                <c:pt idx="807">
                  <c:v>920.25590927999997</c:v>
                </c:pt>
                <c:pt idx="808">
                  <c:v>920.25590927999997</c:v>
                </c:pt>
                <c:pt idx="809">
                  <c:v>920.25590927999997</c:v>
                </c:pt>
                <c:pt idx="810">
                  <c:v>920.25590927999997</c:v>
                </c:pt>
                <c:pt idx="811">
                  <c:v>920.25590927999997</c:v>
                </c:pt>
                <c:pt idx="812">
                  <c:v>920.25590927999997</c:v>
                </c:pt>
                <c:pt idx="813">
                  <c:v>920.25590927999997</c:v>
                </c:pt>
                <c:pt idx="814">
                  <c:v>920.25590927999997</c:v>
                </c:pt>
                <c:pt idx="815">
                  <c:v>920.25590927999997</c:v>
                </c:pt>
                <c:pt idx="816">
                  <c:v>920.25590927999997</c:v>
                </c:pt>
                <c:pt idx="817">
                  <c:v>920.25590927999997</c:v>
                </c:pt>
                <c:pt idx="818">
                  <c:v>920.25590927999997</c:v>
                </c:pt>
                <c:pt idx="819">
                  <c:v>920.25590927999997</c:v>
                </c:pt>
                <c:pt idx="820">
                  <c:v>920.25590927999997</c:v>
                </c:pt>
                <c:pt idx="821">
                  <c:v>945.22735288000013</c:v>
                </c:pt>
                <c:pt idx="822">
                  <c:v>894.55972883999993</c:v>
                </c:pt>
                <c:pt idx="823">
                  <c:v>964.16094472000054</c:v>
                </c:pt>
                <c:pt idx="824">
                  <c:v>933.91499472000044</c:v>
                </c:pt>
                <c:pt idx="825">
                  <c:v>963.78871919999995</c:v>
                </c:pt>
                <c:pt idx="826">
                  <c:v>937.88833920000002</c:v>
                </c:pt>
                <c:pt idx="827">
                  <c:v>959.82391135999978</c:v>
                </c:pt>
                <c:pt idx="828">
                  <c:v>967.30583135999973</c:v>
                </c:pt>
                <c:pt idx="829">
                  <c:v>989.10544351999977</c:v>
                </c:pt>
                <c:pt idx="830">
                  <c:v>996.72332351999967</c:v>
                </c:pt>
                <c:pt idx="831">
                  <c:v>1010.1133235199997</c:v>
                </c:pt>
                <c:pt idx="832">
                  <c:v>1026.1408156799998</c:v>
                </c:pt>
                <c:pt idx="833">
                  <c:v>1035.6786156799997</c:v>
                </c:pt>
                <c:pt idx="834">
                  <c:v>1034.2259366399996</c:v>
                </c:pt>
                <c:pt idx="835">
                  <c:v>1044.1005466399997</c:v>
                </c:pt>
                <c:pt idx="836">
                  <c:v>1049.8371440000003</c:v>
                </c:pt>
                <c:pt idx="837">
                  <c:v>1049.8371440000003</c:v>
                </c:pt>
                <c:pt idx="838">
                  <c:v>1049.8371440000003</c:v>
                </c:pt>
                <c:pt idx="839">
                  <c:v>1049.8371440000003</c:v>
                </c:pt>
                <c:pt idx="840">
                  <c:v>1049.8371440000003</c:v>
                </c:pt>
                <c:pt idx="841">
                  <c:v>1049.8371440000003</c:v>
                </c:pt>
                <c:pt idx="842">
                  <c:v>1049.8371440000003</c:v>
                </c:pt>
                <c:pt idx="843">
                  <c:v>1049.8371440000003</c:v>
                </c:pt>
                <c:pt idx="844">
                  <c:v>1049.8371440000003</c:v>
                </c:pt>
                <c:pt idx="845">
                  <c:v>1049.8371440000003</c:v>
                </c:pt>
                <c:pt idx="846">
                  <c:v>1049.8371440000003</c:v>
                </c:pt>
                <c:pt idx="847">
                  <c:v>1049.8371440000003</c:v>
                </c:pt>
                <c:pt idx="848">
                  <c:v>1049.8371440000003</c:v>
                </c:pt>
                <c:pt idx="849">
                  <c:v>1049.8371440000003</c:v>
                </c:pt>
                <c:pt idx="850">
                  <c:v>1049.8371440000003</c:v>
                </c:pt>
                <c:pt idx="851">
                  <c:v>1049.8371440000003</c:v>
                </c:pt>
                <c:pt idx="852">
                  <c:v>1049.8371440000003</c:v>
                </c:pt>
                <c:pt idx="853">
                  <c:v>1049.8371440000003</c:v>
                </c:pt>
                <c:pt idx="854">
                  <c:v>1049.8371440000003</c:v>
                </c:pt>
                <c:pt idx="855">
                  <c:v>1049.8371440000003</c:v>
                </c:pt>
                <c:pt idx="856">
                  <c:v>1049.8371440000003</c:v>
                </c:pt>
                <c:pt idx="857">
                  <c:v>1049.8371440000003</c:v>
                </c:pt>
                <c:pt idx="858">
                  <c:v>1044.1005466399997</c:v>
                </c:pt>
                <c:pt idx="859">
                  <c:v>1034.2259366399996</c:v>
                </c:pt>
                <c:pt idx="860">
                  <c:v>1035.6786156799997</c:v>
                </c:pt>
                <c:pt idx="861">
                  <c:v>1026.1408156799998</c:v>
                </c:pt>
                <c:pt idx="862">
                  <c:v>1010.1133235199997</c:v>
                </c:pt>
                <c:pt idx="863">
                  <c:v>996.72332351999967</c:v>
                </c:pt>
                <c:pt idx="864">
                  <c:v>989.10544351999977</c:v>
                </c:pt>
                <c:pt idx="865">
                  <c:v>967.30583135999973</c:v>
                </c:pt>
                <c:pt idx="866">
                  <c:v>959.82391135999978</c:v>
                </c:pt>
                <c:pt idx="867">
                  <c:v>937.88833920000002</c:v>
                </c:pt>
                <c:pt idx="868">
                  <c:v>963.78871919999995</c:v>
                </c:pt>
                <c:pt idx="869">
                  <c:v>933.91499472000044</c:v>
                </c:pt>
                <c:pt idx="870">
                  <c:v>964.16094472000054</c:v>
                </c:pt>
                <c:pt idx="871">
                  <c:v>925.65735288000019</c:v>
                </c:pt>
                <c:pt idx="872">
                  <c:v>945.22735288000013</c:v>
                </c:pt>
                <c:pt idx="873">
                  <c:v>920.25590927999997</c:v>
                </c:pt>
                <c:pt idx="874">
                  <c:v>920.25590927999997</c:v>
                </c:pt>
                <c:pt idx="875">
                  <c:v>920.25590927999997</c:v>
                </c:pt>
                <c:pt idx="876">
                  <c:v>920.25590927999997</c:v>
                </c:pt>
                <c:pt idx="877">
                  <c:v>920.25590927999997</c:v>
                </c:pt>
                <c:pt idx="878">
                  <c:v>920.25590927999997</c:v>
                </c:pt>
                <c:pt idx="879">
                  <c:v>920.25590927999997</c:v>
                </c:pt>
                <c:pt idx="880">
                  <c:v>920.25590927999997</c:v>
                </c:pt>
                <c:pt idx="881">
                  <c:v>920.25590927999997</c:v>
                </c:pt>
                <c:pt idx="882">
                  <c:v>920.25590927999997</c:v>
                </c:pt>
                <c:pt idx="883">
                  <c:v>920.25590927999997</c:v>
                </c:pt>
                <c:pt idx="884">
                  <c:v>920.25590927999997</c:v>
                </c:pt>
                <c:pt idx="885">
                  <c:v>920.25590927999997</c:v>
                </c:pt>
                <c:pt idx="886">
                  <c:v>920.25590927999997</c:v>
                </c:pt>
                <c:pt idx="887">
                  <c:v>920.25590927999997</c:v>
                </c:pt>
                <c:pt idx="888">
                  <c:v>920.25590927999997</c:v>
                </c:pt>
                <c:pt idx="889">
                  <c:v>920.25590927999997</c:v>
                </c:pt>
                <c:pt idx="890">
                  <c:v>920.25590927999997</c:v>
                </c:pt>
                <c:pt idx="891">
                  <c:v>920.25590927999997</c:v>
                </c:pt>
                <c:pt idx="892">
                  <c:v>920.25590927999997</c:v>
                </c:pt>
                <c:pt idx="893">
                  <c:v>920.25590927999997</c:v>
                </c:pt>
                <c:pt idx="894">
                  <c:v>920.25590927999997</c:v>
                </c:pt>
                <c:pt idx="895">
                  <c:v>920.25590927999997</c:v>
                </c:pt>
                <c:pt idx="896">
                  <c:v>920.25590927999997</c:v>
                </c:pt>
                <c:pt idx="897">
                  <c:v>920.25590927999997</c:v>
                </c:pt>
                <c:pt idx="898">
                  <c:v>920.25590927999997</c:v>
                </c:pt>
                <c:pt idx="899">
                  <c:v>920.25590927999997</c:v>
                </c:pt>
                <c:pt idx="900">
                  <c:v>920.25590927999997</c:v>
                </c:pt>
                <c:pt idx="901">
                  <c:v>920.25590927999997</c:v>
                </c:pt>
                <c:pt idx="902">
                  <c:v>920.25590927999997</c:v>
                </c:pt>
                <c:pt idx="903">
                  <c:v>920.25590927999997</c:v>
                </c:pt>
                <c:pt idx="904">
                  <c:v>920.25590927999997</c:v>
                </c:pt>
                <c:pt idx="905">
                  <c:v>920.25590927999997</c:v>
                </c:pt>
                <c:pt idx="906">
                  <c:v>920.25590927999997</c:v>
                </c:pt>
                <c:pt idx="907">
                  <c:v>920.25590927999997</c:v>
                </c:pt>
                <c:pt idx="908">
                  <c:v>920.25590927999997</c:v>
                </c:pt>
                <c:pt idx="909">
                  <c:v>920.25590927999997</c:v>
                </c:pt>
                <c:pt idx="910">
                  <c:v>920.25590927999997</c:v>
                </c:pt>
                <c:pt idx="911">
                  <c:v>920.25590927999997</c:v>
                </c:pt>
                <c:pt idx="912">
                  <c:v>920.25590927999997</c:v>
                </c:pt>
                <c:pt idx="913">
                  <c:v>920.25590927999997</c:v>
                </c:pt>
                <c:pt idx="914">
                  <c:v>920.25590927999997</c:v>
                </c:pt>
                <c:pt idx="915">
                  <c:v>920.25590927999997</c:v>
                </c:pt>
                <c:pt idx="916">
                  <c:v>920.25590927999997</c:v>
                </c:pt>
                <c:pt idx="917">
                  <c:v>920.25590927999997</c:v>
                </c:pt>
                <c:pt idx="918">
                  <c:v>920.25590927999997</c:v>
                </c:pt>
                <c:pt idx="919">
                  <c:v>920.25590927999997</c:v>
                </c:pt>
                <c:pt idx="920">
                  <c:v>920.25590927999997</c:v>
                </c:pt>
                <c:pt idx="921">
                  <c:v>920.25590927999997</c:v>
                </c:pt>
                <c:pt idx="922">
                  <c:v>920.25590927999997</c:v>
                </c:pt>
                <c:pt idx="923">
                  <c:v>920.25590927999997</c:v>
                </c:pt>
                <c:pt idx="924">
                  <c:v>920.25590927999997</c:v>
                </c:pt>
                <c:pt idx="925">
                  <c:v>920.25590927999997</c:v>
                </c:pt>
                <c:pt idx="926">
                  <c:v>920.25590927999997</c:v>
                </c:pt>
                <c:pt idx="927">
                  <c:v>920.25590927999997</c:v>
                </c:pt>
                <c:pt idx="928">
                  <c:v>920.25590927999997</c:v>
                </c:pt>
                <c:pt idx="929">
                  <c:v>920.25590927999997</c:v>
                </c:pt>
                <c:pt idx="930">
                  <c:v>920.25590927999997</c:v>
                </c:pt>
                <c:pt idx="931">
                  <c:v>920.25590927999997</c:v>
                </c:pt>
                <c:pt idx="932">
                  <c:v>920.25590927999997</c:v>
                </c:pt>
                <c:pt idx="933">
                  <c:v>920.25590927999997</c:v>
                </c:pt>
                <c:pt idx="934">
                  <c:v>920.25590927999997</c:v>
                </c:pt>
                <c:pt idx="935">
                  <c:v>920.25590927999997</c:v>
                </c:pt>
                <c:pt idx="936">
                  <c:v>920.25590927999997</c:v>
                </c:pt>
                <c:pt idx="937">
                  <c:v>920.25590927999997</c:v>
                </c:pt>
                <c:pt idx="938">
                  <c:v>920.25590927999997</c:v>
                </c:pt>
                <c:pt idx="939">
                  <c:v>920.25590927999997</c:v>
                </c:pt>
                <c:pt idx="940">
                  <c:v>920.25590927999997</c:v>
                </c:pt>
                <c:pt idx="941">
                  <c:v>920.25590927999997</c:v>
                </c:pt>
                <c:pt idx="942">
                  <c:v>920.25590927999997</c:v>
                </c:pt>
                <c:pt idx="943">
                  <c:v>920.25590927999997</c:v>
                </c:pt>
                <c:pt idx="944">
                  <c:v>920.25590927999997</c:v>
                </c:pt>
                <c:pt idx="945">
                  <c:v>920.25590927999997</c:v>
                </c:pt>
                <c:pt idx="946">
                  <c:v>920.25590927999997</c:v>
                </c:pt>
                <c:pt idx="947">
                  <c:v>920.25590927999997</c:v>
                </c:pt>
                <c:pt idx="948">
                  <c:v>920.25590927999997</c:v>
                </c:pt>
                <c:pt idx="949">
                  <c:v>920.25590927999997</c:v>
                </c:pt>
                <c:pt idx="950">
                  <c:v>920.25590927999997</c:v>
                </c:pt>
                <c:pt idx="951">
                  <c:v>920.25590927999997</c:v>
                </c:pt>
                <c:pt idx="952">
                  <c:v>920.25590927999997</c:v>
                </c:pt>
                <c:pt idx="953">
                  <c:v>920.25590927999997</c:v>
                </c:pt>
                <c:pt idx="954">
                  <c:v>920.25590927999997</c:v>
                </c:pt>
                <c:pt idx="955">
                  <c:v>920.25590927999997</c:v>
                </c:pt>
                <c:pt idx="956">
                  <c:v>920.25590927999997</c:v>
                </c:pt>
                <c:pt idx="957">
                  <c:v>920.25590927999997</c:v>
                </c:pt>
                <c:pt idx="958">
                  <c:v>920.25590927999997</c:v>
                </c:pt>
                <c:pt idx="959">
                  <c:v>920.25590927999997</c:v>
                </c:pt>
                <c:pt idx="960">
                  <c:v>920.25590927999997</c:v>
                </c:pt>
                <c:pt idx="961">
                  <c:v>920.25590927999997</c:v>
                </c:pt>
                <c:pt idx="962">
                  <c:v>920.25590927999997</c:v>
                </c:pt>
                <c:pt idx="963">
                  <c:v>920.25590927999997</c:v>
                </c:pt>
                <c:pt idx="964">
                  <c:v>920.25590927999997</c:v>
                </c:pt>
                <c:pt idx="965">
                  <c:v>920.25590927999997</c:v>
                </c:pt>
                <c:pt idx="966">
                  <c:v>920.25590927999997</c:v>
                </c:pt>
                <c:pt idx="967">
                  <c:v>920.25590927999997</c:v>
                </c:pt>
                <c:pt idx="968">
                  <c:v>920.25590927999997</c:v>
                </c:pt>
                <c:pt idx="969">
                  <c:v>920.25590927999997</c:v>
                </c:pt>
                <c:pt idx="970">
                  <c:v>925.65735288000019</c:v>
                </c:pt>
                <c:pt idx="971">
                  <c:v>933.91499472000044</c:v>
                </c:pt>
                <c:pt idx="972">
                  <c:v>937.88833920000002</c:v>
                </c:pt>
                <c:pt idx="973">
                  <c:v>967.30583135999973</c:v>
                </c:pt>
                <c:pt idx="974">
                  <c:v>996.72332351999967</c:v>
                </c:pt>
                <c:pt idx="975">
                  <c:v>1026.1408156799998</c:v>
                </c:pt>
                <c:pt idx="976">
                  <c:v>1034.2259366399996</c:v>
                </c:pt>
                <c:pt idx="977">
                  <c:v>1049.8371440000003</c:v>
                </c:pt>
                <c:pt idx="978">
                  <c:v>952.83484224000051</c:v>
                </c:pt>
                <c:pt idx="979">
                  <c:v>976.38004896000075</c:v>
                </c:pt>
                <c:pt idx="980">
                  <c:v>1081.059558720001</c:v>
                </c:pt>
                <c:pt idx="981">
                  <c:v>1081.059558720001</c:v>
                </c:pt>
                <c:pt idx="982">
                  <c:v>1081.059558720001</c:v>
                </c:pt>
                <c:pt idx="983">
                  <c:v>1081.059558720001</c:v>
                </c:pt>
                <c:pt idx="984">
                  <c:v>1081.059558720001</c:v>
                </c:pt>
                <c:pt idx="985">
                  <c:v>1081.059558720001</c:v>
                </c:pt>
                <c:pt idx="986">
                  <c:v>1081.059558720001</c:v>
                </c:pt>
                <c:pt idx="987">
                  <c:v>1081.059558720001</c:v>
                </c:pt>
                <c:pt idx="988">
                  <c:v>1081.059558720001</c:v>
                </c:pt>
                <c:pt idx="989">
                  <c:v>1081.059558720001</c:v>
                </c:pt>
                <c:pt idx="990">
                  <c:v>1081.059558720001</c:v>
                </c:pt>
                <c:pt idx="991">
                  <c:v>1081.059558720001</c:v>
                </c:pt>
                <c:pt idx="992">
                  <c:v>898.36185024000031</c:v>
                </c:pt>
                <c:pt idx="993">
                  <c:v>929.28963552000016</c:v>
                </c:pt>
                <c:pt idx="994">
                  <c:v>905.74442879999992</c:v>
                </c:pt>
                <c:pt idx="995">
                  <c:v>918.89477663999969</c:v>
                </c:pt>
                <c:pt idx="996">
                  <c:v>900.04656767999984</c:v>
                </c:pt>
                <c:pt idx="997">
                  <c:v>881.19835871999999</c:v>
                </c:pt>
                <c:pt idx="998">
                  <c:v>862.35014976000002</c:v>
                </c:pt>
                <c:pt idx="999">
                  <c:v>881.66816232000019</c:v>
                </c:pt>
                <c:pt idx="1000">
                  <c:v>894.55972883999993</c:v>
                </c:pt>
                <c:pt idx="1001">
                  <c:v>920.25590927999997</c:v>
                </c:pt>
                <c:pt idx="1002">
                  <c:v>920.25590927999997</c:v>
                </c:pt>
                <c:pt idx="1003">
                  <c:v>925.65735288000019</c:v>
                </c:pt>
                <c:pt idx="1004">
                  <c:v>933.91499472000044</c:v>
                </c:pt>
                <c:pt idx="1005">
                  <c:v>937.88833920000002</c:v>
                </c:pt>
                <c:pt idx="1006">
                  <c:v>967.30583135999973</c:v>
                </c:pt>
                <c:pt idx="1007">
                  <c:v>996.72332351999967</c:v>
                </c:pt>
                <c:pt idx="1008">
                  <c:v>1026.1408156799998</c:v>
                </c:pt>
                <c:pt idx="1009">
                  <c:v>1034.2259366399996</c:v>
                </c:pt>
                <c:pt idx="1010">
                  <c:v>1049.8371440000003</c:v>
                </c:pt>
                <c:pt idx="1011">
                  <c:v>952.83484224000051</c:v>
                </c:pt>
                <c:pt idx="1012">
                  <c:v>976.38004896000075</c:v>
                </c:pt>
                <c:pt idx="1013">
                  <c:v>912.12649008000005</c:v>
                </c:pt>
                <c:pt idx="1014">
                  <c:v>1159.5484262400005</c:v>
                </c:pt>
                <c:pt idx="1015">
                  <c:v>1159.5484262400005</c:v>
                </c:pt>
                <c:pt idx="1016">
                  <c:v>1159.5484262400005</c:v>
                </c:pt>
                <c:pt idx="1017">
                  <c:v>1159.5484262400005</c:v>
                </c:pt>
                <c:pt idx="1018">
                  <c:v>1159.5484262400005</c:v>
                </c:pt>
                <c:pt idx="1019">
                  <c:v>1159.5484262400005</c:v>
                </c:pt>
                <c:pt idx="1020">
                  <c:v>871.70053920000043</c:v>
                </c:pt>
                <c:pt idx="1021">
                  <c:v>898.36185024000031</c:v>
                </c:pt>
                <c:pt idx="1022">
                  <c:v>929.28963552000016</c:v>
                </c:pt>
                <c:pt idx="1023">
                  <c:v>905.74442879999992</c:v>
                </c:pt>
                <c:pt idx="1024">
                  <c:v>918.89477663999969</c:v>
                </c:pt>
                <c:pt idx="1025">
                  <c:v>900.04656767999984</c:v>
                </c:pt>
                <c:pt idx="1026">
                  <c:v>881.19835871999999</c:v>
                </c:pt>
                <c:pt idx="1027">
                  <c:v>862.35014976000002</c:v>
                </c:pt>
                <c:pt idx="1028">
                  <c:v>933.91499472000044</c:v>
                </c:pt>
                <c:pt idx="1029">
                  <c:v>925.65735288000019</c:v>
                </c:pt>
                <c:pt idx="1030">
                  <c:v>920.25590927999997</c:v>
                </c:pt>
                <c:pt idx="1031">
                  <c:v>920.25590927999997</c:v>
                </c:pt>
                <c:pt idx="1032">
                  <c:v>920.25590927999997</c:v>
                </c:pt>
                <c:pt idx="1033">
                  <c:v>920.25590927999997</c:v>
                </c:pt>
                <c:pt idx="1034">
                  <c:v>920.25590927999997</c:v>
                </c:pt>
                <c:pt idx="1035">
                  <c:v>920.25590927999997</c:v>
                </c:pt>
                <c:pt idx="1036">
                  <c:v>920.25590927999997</c:v>
                </c:pt>
                <c:pt idx="1037">
                  <c:v>925.65735288000019</c:v>
                </c:pt>
                <c:pt idx="1038">
                  <c:v>933.91499472000044</c:v>
                </c:pt>
                <c:pt idx="1039">
                  <c:v>937.88833920000002</c:v>
                </c:pt>
                <c:pt idx="1040">
                  <c:v>967.30583135999973</c:v>
                </c:pt>
                <c:pt idx="1041">
                  <c:v>996.72332351999967</c:v>
                </c:pt>
                <c:pt idx="1042">
                  <c:v>1026.1408156799998</c:v>
                </c:pt>
                <c:pt idx="1043">
                  <c:v>1034.2259366399996</c:v>
                </c:pt>
                <c:pt idx="1044">
                  <c:v>1049.8371440000003</c:v>
                </c:pt>
                <c:pt idx="1045">
                  <c:v>952.83484224000051</c:v>
                </c:pt>
                <c:pt idx="1046">
                  <c:v>976.38004896000075</c:v>
                </c:pt>
                <c:pt idx="1047">
                  <c:v>992.61604608000016</c:v>
                </c:pt>
                <c:pt idx="1048">
                  <c:v>992.61604608000016</c:v>
                </c:pt>
                <c:pt idx="1049">
                  <c:v>773.56661352000003</c:v>
                </c:pt>
                <c:pt idx="1050">
                  <c:v>0</c:v>
                </c:pt>
                <c:pt idx="1051">
                  <c:v>943.43189170987625</c:v>
                </c:pt>
                <c:pt idx="1052">
                  <c:v>943.43189170987625</c:v>
                </c:pt>
                <c:pt idx="1053">
                  <c:v>943.43189170987625</c:v>
                </c:pt>
                <c:pt idx="1054">
                  <c:v>943.43189170987625</c:v>
                </c:pt>
                <c:pt idx="1055">
                  <c:v>943.43189170987625</c:v>
                </c:pt>
                <c:pt idx="1056">
                  <c:v>943.43189170987625</c:v>
                </c:pt>
                <c:pt idx="1057">
                  <c:v>943.43189170987625</c:v>
                </c:pt>
                <c:pt idx="1058">
                  <c:v>943.43189170987625</c:v>
                </c:pt>
                <c:pt idx="1059">
                  <c:v>665.59951679999995</c:v>
                </c:pt>
                <c:pt idx="1060">
                  <c:v>771.54360288000009</c:v>
                </c:pt>
                <c:pt idx="1061">
                  <c:v>871.70053920000043</c:v>
                </c:pt>
                <c:pt idx="1062">
                  <c:v>898.36185024000031</c:v>
                </c:pt>
                <c:pt idx="1063">
                  <c:v>929.28963552000016</c:v>
                </c:pt>
                <c:pt idx="1064">
                  <c:v>905.74442879999992</c:v>
                </c:pt>
                <c:pt idx="1065">
                  <c:v>1026.1408156799998</c:v>
                </c:pt>
                <c:pt idx="1066">
                  <c:v>996.72332351999967</c:v>
                </c:pt>
                <c:pt idx="1067">
                  <c:v>967.30583135999973</c:v>
                </c:pt>
                <c:pt idx="1068">
                  <c:v>937.88833920000002</c:v>
                </c:pt>
                <c:pt idx="1069">
                  <c:v>933.91499472000044</c:v>
                </c:pt>
                <c:pt idx="1070">
                  <c:v>925.65735288000019</c:v>
                </c:pt>
                <c:pt idx="1071">
                  <c:v>920.25590927999997</c:v>
                </c:pt>
                <c:pt idx="1072">
                  <c:v>920.25590927999997</c:v>
                </c:pt>
                <c:pt idx="1073">
                  <c:v>920.25590927999997</c:v>
                </c:pt>
                <c:pt idx="1074">
                  <c:v>920.25590927999997</c:v>
                </c:pt>
                <c:pt idx="1075">
                  <c:v>920.25590927999997</c:v>
                </c:pt>
                <c:pt idx="1076">
                  <c:v>920.25590927999997</c:v>
                </c:pt>
                <c:pt idx="1077">
                  <c:v>920.25590927999997</c:v>
                </c:pt>
                <c:pt idx="1078">
                  <c:v>920.25590927999997</c:v>
                </c:pt>
                <c:pt idx="1079">
                  <c:v>920.25590927999997</c:v>
                </c:pt>
                <c:pt idx="1080">
                  <c:v>920.25590927999997</c:v>
                </c:pt>
                <c:pt idx="1081">
                  <c:v>920.25590927999997</c:v>
                </c:pt>
                <c:pt idx="1082">
                  <c:v>920.25590927999997</c:v>
                </c:pt>
                <c:pt idx="1083">
                  <c:v>925.65735288000019</c:v>
                </c:pt>
                <c:pt idx="1084">
                  <c:v>933.91499472000044</c:v>
                </c:pt>
                <c:pt idx="1085">
                  <c:v>937.88833920000002</c:v>
                </c:pt>
                <c:pt idx="1086">
                  <c:v>967.30583135999973</c:v>
                </c:pt>
                <c:pt idx="1087">
                  <c:v>996.72332351999967</c:v>
                </c:pt>
                <c:pt idx="1088">
                  <c:v>1026.1408156799998</c:v>
                </c:pt>
                <c:pt idx="1089">
                  <c:v>1034.2259366399996</c:v>
                </c:pt>
                <c:pt idx="1090">
                  <c:v>1049.8371440000003</c:v>
                </c:pt>
                <c:pt idx="1091">
                  <c:v>952.83484224000051</c:v>
                </c:pt>
                <c:pt idx="1092">
                  <c:v>976.38004896000075</c:v>
                </c:pt>
                <c:pt idx="1093">
                  <c:v>1081.059558720001</c:v>
                </c:pt>
                <c:pt idx="1094">
                  <c:v>1081.059558720001</c:v>
                </c:pt>
                <c:pt idx="1095">
                  <c:v>1081.059558720001</c:v>
                </c:pt>
                <c:pt idx="1096">
                  <c:v>1081.059558720001</c:v>
                </c:pt>
                <c:pt idx="1097">
                  <c:v>1081.059558720001</c:v>
                </c:pt>
                <c:pt idx="1098">
                  <c:v>1081.059558720001</c:v>
                </c:pt>
                <c:pt idx="1099">
                  <c:v>1081.059558720001</c:v>
                </c:pt>
                <c:pt idx="1100">
                  <c:v>1081.059558720001</c:v>
                </c:pt>
                <c:pt idx="1101">
                  <c:v>1081.059558720001</c:v>
                </c:pt>
                <c:pt idx="1102">
                  <c:v>1081.059558720001</c:v>
                </c:pt>
                <c:pt idx="1103">
                  <c:v>1081.059558720001</c:v>
                </c:pt>
                <c:pt idx="1104">
                  <c:v>875.83654128000001</c:v>
                </c:pt>
                <c:pt idx="1105">
                  <c:v>918.89477663999969</c:v>
                </c:pt>
                <c:pt idx="1106">
                  <c:v>881.19835871999999</c:v>
                </c:pt>
                <c:pt idx="1107">
                  <c:v>933.91499472000044</c:v>
                </c:pt>
                <c:pt idx="1108">
                  <c:v>920.25590927999997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32-4C51-AFA3-9D53719D6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39008"/>
        <c:axId val="1496639664"/>
      </c:scatterChart>
      <c:valAx>
        <c:axId val="14966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39664"/>
        <c:crosses val="autoZero"/>
        <c:crossBetween val="midCat"/>
      </c:valAx>
      <c:valAx>
        <c:axId val="149663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RPM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Cycle'!$G$3:$G$1111</c:f>
              <c:numCache>
                <c:formatCode>General</c:formatCode>
                <c:ptCount val="1109"/>
                <c:pt idx="0">
                  <c:v>0</c:v>
                </c:pt>
                <c:pt idx="1">
                  <c:v>750</c:v>
                </c:pt>
                <c:pt idx="2">
                  <c:v>1500</c:v>
                </c:pt>
                <c:pt idx="3">
                  <c:v>2250</c:v>
                </c:pt>
                <c:pt idx="4">
                  <c:v>3000</c:v>
                </c:pt>
                <c:pt idx="5">
                  <c:v>3750</c:v>
                </c:pt>
                <c:pt idx="6">
                  <c:v>4500</c:v>
                </c:pt>
                <c:pt idx="7">
                  <c:v>5250</c:v>
                </c:pt>
                <c:pt idx="8">
                  <c:v>6000</c:v>
                </c:pt>
                <c:pt idx="9">
                  <c:v>6750</c:v>
                </c:pt>
                <c:pt idx="10">
                  <c:v>7000</c:v>
                </c:pt>
                <c:pt idx="11">
                  <c:v>7000</c:v>
                </c:pt>
                <c:pt idx="12">
                  <c:v>7000</c:v>
                </c:pt>
                <c:pt idx="13">
                  <c:v>7000</c:v>
                </c:pt>
                <c:pt idx="14">
                  <c:v>7000</c:v>
                </c:pt>
                <c:pt idx="15">
                  <c:v>7000</c:v>
                </c:pt>
                <c:pt idx="16">
                  <c:v>7000</c:v>
                </c:pt>
                <c:pt idx="17">
                  <c:v>7000</c:v>
                </c:pt>
                <c:pt idx="18">
                  <c:v>7000</c:v>
                </c:pt>
                <c:pt idx="19">
                  <c:v>7000</c:v>
                </c:pt>
                <c:pt idx="20">
                  <c:v>7000</c:v>
                </c:pt>
                <c:pt idx="21">
                  <c:v>7000</c:v>
                </c:pt>
                <c:pt idx="22">
                  <c:v>7000</c:v>
                </c:pt>
                <c:pt idx="23">
                  <c:v>7000</c:v>
                </c:pt>
                <c:pt idx="24">
                  <c:v>7000</c:v>
                </c:pt>
                <c:pt idx="25">
                  <c:v>7000</c:v>
                </c:pt>
                <c:pt idx="26">
                  <c:v>7000</c:v>
                </c:pt>
                <c:pt idx="27">
                  <c:v>7000</c:v>
                </c:pt>
                <c:pt idx="28">
                  <c:v>7000</c:v>
                </c:pt>
                <c:pt idx="29">
                  <c:v>7000</c:v>
                </c:pt>
                <c:pt idx="30">
                  <c:v>7000</c:v>
                </c:pt>
                <c:pt idx="31">
                  <c:v>7000</c:v>
                </c:pt>
                <c:pt idx="32">
                  <c:v>7000</c:v>
                </c:pt>
                <c:pt idx="33">
                  <c:v>7000</c:v>
                </c:pt>
                <c:pt idx="34">
                  <c:v>7000</c:v>
                </c:pt>
                <c:pt idx="35">
                  <c:v>7000</c:v>
                </c:pt>
                <c:pt idx="36">
                  <c:v>7000</c:v>
                </c:pt>
                <c:pt idx="37">
                  <c:v>7000</c:v>
                </c:pt>
                <c:pt idx="38">
                  <c:v>7000</c:v>
                </c:pt>
                <c:pt idx="39">
                  <c:v>7000</c:v>
                </c:pt>
                <c:pt idx="40">
                  <c:v>7000</c:v>
                </c:pt>
                <c:pt idx="41">
                  <c:v>7000</c:v>
                </c:pt>
                <c:pt idx="42">
                  <c:v>7000</c:v>
                </c:pt>
                <c:pt idx="43">
                  <c:v>7000</c:v>
                </c:pt>
                <c:pt idx="44">
                  <c:v>7000</c:v>
                </c:pt>
                <c:pt idx="45">
                  <c:v>7000</c:v>
                </c:pt>
                <c:pt idx="46">
                  <c:v>7000</c:v>
                </c:pt>
                <c:pt idx="47">
                  <c:v>7000</c:v>
                </c:pt>
                <c:pt idx="48">
                  <c:v>7000</c:v>
                </c:pt>
                <c:pt idx="49">
                  <c:v>7000</c:v>
                </c:pt>
                <c:pt idx="50">
                  <c:v>7000</c:v>
                </c:pt>
                <c:pt idx="51">
                  <c:v>7000</c:v>
                </c:pt>
                <c:pt idx="52">
                  <c:v>7000</c:v>
                </c:pt>
                <c:pt idx="53">
                  <c:v>7000</c:v>
                </c:pt>
                <c:pt idx="54">
                  <c:v>7000</c:v>
                </c:pt>
                <c:pt idx="55">
                  <c:v>7000</c:v>
                </c:pt>
                <c:pt idx="56">
                  <c:v>7000</c:v>
                </c:pt>
                <c:pt idx="57">
                  <c:v>7000</c:v>
                </c:pt>
                <c:pt idx="58">
                  <c:v>7000</c:v>
                </c:pt>
                <c:pt idx="59">
                  <c:v>7000</c:v>
                </c:pt>
                <c:pt idx="60">
                  <c:v>7000</c:v>
                </c:pt>
                <c:pt idx="61">
                  <c:v>7000</c:v>
                </c:pt>
                <c:pt idx="62">
                  <c:v>7000</c:v>
                </c:pt>
                <c:pt idx="63">
                  <c:v>7000</c:v>
                </c:pt>
                <c:pt idx="64">
                  <c:v>7000</c:v>
                </c:pt>
                <c:pt idx="65">
                  <c:v>7000</c:v>
                </c:pt>
                <c:pt idx="66">
                  <c:v>7000</c:v>
                </c:pt>
                <c:pt idx="67">
                  <c:v>7000</c:v>
                </c:pt>
                <c:pt idx="68">
                  <c:v>7000</c:v>
                </c:pt>
                <c:pt idx="69">
                  <c:v>7000</c:v>
                </c:pt>
                <c:pt idx="70">
                  <c:v>7000</c:v>
                </c:pt>
                <c:pt idx="71">
                  <c:v>7000</c:v>
                </c:pt>
                <c:pt idx="72">
                  <c:v>7000</c:v>
                </c:pt>
                <c:pt idx="73">
                  <c:v>7000</c:v>
                </c:pt>
                <c:pt idx="74">
                  <c:v>7000</c:v>
                </c:pt>
                <c:pt idx="75">
                  <c:v>7000</c:v>
                </c:pt>
                <c:pt idx="76">
                  <c:v>7000</c:v>
                </c:pt>
                <c:pt idx="77">
                  <c:v>7000</c:v>
                </c:pt>
                <c:pt idx="78">
                  <c:v>7000</c:v>
                </c:pt>
                <c:pt idx="79">
                  <c:v>7000</c:v>
                </c:pt>
                <c:pt idx="80">
                  <c:v>7000</c:v>
                </c:pt>
                <c:pt idx="81">
                  <c:v>7000</c:v>
                </c:pt>
                <c:pt idx="82">
                  <c:v>7000</c:v>
                </c:pt>
                <c:pt idx="83">
                  <c:v>7000</c:v>
                </c:pt>
                <c:pt idx="84">
                  <c:v>7000</c:v>
                </c:pt>
                <c:pt idx="85">
                  <c:v>7000</c:v>
                </c:pt>
                <c:pt idx="86">
                  <c:v>7000</c:v>
                </c:pt>
                <c:pt idx="87">
                  <c:v>7000</c:v>
                </c:pt>
                <c:pt idx="88">
                  <c:v>7000</c:v>
                </c:pt>
                <c:pt idx="89">
                  <c:v>7000</c:v>
                </c:pt>
                <c:pt idx="90">
                  <c:v>7000</c:v>
                </c:pt>
                <c:pt idx="91">
                  <c:v>7000</c:v>
                </c:pt>
                <c:pt idx="92">
                  <c:v>7000</c:v>
                </c:pt>
                <c:pt idx="93">
                  <c:v>6500</c:v>
                </c:pt>
                <c:pt idx="94">
                  <c:v>6000</c:v>
                </c:pt>
                <c:pt idx="95">
                  <c:v>5500</c:v>
                </c:pt>
                <c:pt idx="96">
                  <c:v>5250</c:v>
                </c:pt>
                <c:pt idx="97">
                  <c:v>5250</c:v>
                </c:pt>
                <c:pt idx="98">
                  <c:v>5250</c:v>
                </c:pt>
                <c:pt idx="99">
                  <c:v>5250</c:v>
                </c:pt>
                <c:pt idx="100">
                  <c:v>5250</c:v>
                </c:pt>
                <c:pt idx="101">
                  <c:v>5250</c:v>
                </c:pt>
                <c:pt idx="102">
                  <c:v>5250</c:v>
                </c:pt>
                <c:pt idx="103">
                  <c:v>5250</c:v>
                </c:pt>
                <c:pt idx="104">
                  <c:v>5250</c:v>
                </c:pt>
                <c:pt idx="105">
                  <c:v>5250</c:v>
                </c:pt>
                <c:pt idx="106">
                  <c:v>5250</c:v>
                </c:pt>
                <c:pt idx="107">
                  <c:v>5250</c:v>
                </c:pt>
                <c:pt idx="108">
                  <c:v>5250</c:v>
                </c:pt>
                <c:pt idx="109">
                  <c:v>5500</c:v>
                </c:pt>
                <c:pt idx="110">
                  <c:v>6000</c:v>
                </c:pt>
                <c:pt idx="111">
                  <c:v>6500</c:v>
                </c:pt>
                <c:pt idx="112">
                  <c:v>6500</c:v>
                </c:pt>
                <c:pt idx="113">
                  <c:v>6500</c:v>
                </c:pt>
                <c:pt idx="114">
                  <c:v>6500</c:v>
                </c:pt>
                <c:pt idx="115">
                  <c:v>6500</c:v>
                </c:pt>
                <c:pt idx="116">
                  <c:v>6500</c:v>
                </c:pt>
                <c:pt idx="117">
                  <c:v>6500</c:v>
                </c:pt>
                <c:pt idx="118">
                  <c:v>6500</c:v>
                </c:pt>
                <c:pt idx="119">
                  <c:v>6500</c:v>
                </c:pt>
                <c:pt idx="120">
                  <c:v>6500</c:v>
                </c:pt>
                <c:pt idx="121">
                  <c:v>6500</c:v>
                </c:pt>
                <c:pt idx="122">
                  <c:v>6500</c:v>
                </c:pt>
                <c:pt idx="123">
                  <c:v>6500</c:v>
                </c:pt>
                <c:pt idx="124">
                  <c:v>6500</c:v>
                </c:pt>
                <c:pt idx="125">
                  <c:v>6500</c:v>
                </c:pt>
                <c:pt idx="126">
                  <c:v>6500</c:v>
                </c:pt>
                <c:pt idx="127">
                  <c:v>6500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  <c:pt idx="135">
                  <c:v>6500</c:v>
                </c:pt>
                <c:pt idx="136">
                  <c:v>6500</c:v>
                </c:pt>
                <c:pt idx="137">
                  <c:v>6500</c:v>
                </c:pt>
                <c:pt idx="138">
                  <c:v>6500</c:v>
                </c:pt>
                <c:pt idx="139">
                  <c:v>6500</c:v>
                </c:pt>
                <c:pt idx="140">
                  <c:v>6500</c:v>
                </c:pt>
                <c:pt idx="141">
                  <c:v>6500</c:v>
                </c:pt>
                <c:pt idx="142">
                  <c:v>6500</c:v>
                </c:pt>
                <c:pt idx="143">
                  <c:v>6500</c:v>
                </c:pt>
                <c:pt idx="144">
                  <c:v>6500</c:v>
                </c:pt>
                <c:pt idx="145">
                  <c:v>6500</c:v>
                </c:pt>
                <c:pt idx="146">
                  <c:v>6500</c:v>
                </c:pt>
                <c:pt idx="147">
                  <c:v>6500</c:v>
                </c:pt>
                <c:pt idx="148">
                  <c:v>6500</c:v>
                </c:pt>
                <c:pt idx="149">
                  <c:v>6500</c:v>
                </c:pt>
                <c:pt idx="150">
                  <c:v>6500</c:v>
                </c:pt>
                <c:pt idx="151">
                  <c:v>6500</c:v>
                </c:pt>
                <c:pt idx="152">
                  <c:v>6500</c:v>
                </c:pt>
                <c:pt idx="153">
                  <c:v>6500</c:v>
                </c:pt>
                <c:pt idx="154">
                  <c:v>6500</c:v>
                </c:pt>
                <c:pt idx="155">
                  <c:v>6500</c:v>
                </c:pt>
                <c:pt idx="156">
                  <c:v>6500</c:v>
                </c:pt>
                <c:pt idx="157">
                  <c:v>6500</c:v>
                </c:pt>
                <c:pt idx="158">
                  <c:v>6500</c:v>
                </c:pt>
                <c:pt idx="159">
                  <c:v>6000</c:v>
                </c:pt>
                <c:pt idx="160">
                  <c:v>5500</c:v>
                </c:pt>
                <c:pt idx="161">
                  <c:v>5000</c:v>
                </c:pt>
                <c:pt idx="162">
                  <c:v>4500</c:v>
                </c:pt>
                <c:pt idx="163">
                  <c:v>4000</c:v>
                </c:pt>
                <c:pt idx="164">
                  <c:v>3500</c:v>
                </c:pt>
                <c:pt idx="165">
                  <c:v>3000</c:v>
                </c:pt>
                <c:pt idx="166">
                  <c:v>2500</c:v>
                </c:pt>
                <c:pt idx="167">
                  <c:v>2500</c:v>
                </c:pt>
                <c:pt idx="168">
                  <c:v>2500</c:v>
                </c:pt>
                <c:pt idx="169">
                  <c:v>2500</c:v>
                </c:pt>
                <c:pt idx="170">
                  <c:v>2500</c:v>
                </c:pt>
                <c:pt idx="171">
                  <c:v>2500</c:v>
                </c:pt>
                <c:pt idx="172">
                  <c:v>2500</c:v>
                </c:pt>
                <c:pt idx="173">
                  <c:v>2500</c:v>
                </c:pt>
                <c:pt idx="174">
                  <c:v>2500</c:v>
                </c:pt>
                <c:pt idx="175">
                  <c:v>2500</c:v>
                </c:pt>
                <c:pt idx="176">
                  <c:v>2500</c:v>
                </c:pt>
                <c:pt idx="177">
                  <c:v>2500</c:v>
                </c:pt>
                <c:pt idx="178">
                  <c:v>2500</c:v>
                </c:pt>
                <c:pt idx="179">
                  <c:v>2500</c:v>
                </c:pt>
                <c:pt idx="180">
                  <c:v>2500</c:v>
                </c:pt>
                <c:pt idx="181">
                  <c:v>3500</c:v>
                </c:pt>
                <c:pt idx="182">
                  <c:v>4500</c:v>
                </c:pt>
                <c:pt idx="183">
                  <c:v>5500</c:v>
                </c:pt>
                <c:pt idx="184">
                  <c:v>6500</c:v>
                </c:pt>
                <c:pt idx="185">
                  <c:v>6500</c:v>
                </c:pt>
                <c:pt idx="186">
                  <c:v>6500</c:v>
                </c:pt>
                <c:pt idx="187">
                  <c:v>6500</c:v>
                </c:pt>
                <c:pt idx="188">
                  <c:v>6500</c:v>
                </c:pt>
                <c:pt idx="189">
                  <c:v>6500</c:v>
                </c:pt>
                <c:pt idx="190">
                  <c:v>6500</c:v>
                </c:pt>
                <c:pt idx="191">
                  <c:v>6500</c:v>
                </c:pt>
                <c:pt idx="192">
                  <c:v>6500</c:v>
                </c:pt>
                <c:pt idx="193">
                  <c:v>6500</c:v>
                </c:pt>
                <c:pt idx="194">
                  <c:v>6500</c:v>
                </c:pt>
                <c:pt idx="195">
                  <c:v>6500</c:v>
                </c:pt>
                <c:pt idx="196">
                  <c:v>6500</c:v>
                </c:pt>
                <c:pt idx="197">
                  <c:v>6500</c:v>
                </c:pt>
                <c:pt idx="198">
                  <c:v>6500</c:v>
                </c:pt>
                <c:pt idx="199">
                  <c:v>6500</c:v>
                </c:pt>
                <c:pt idx="200">
                  <c:v>6500</c:v>
                </c:pt>
                <c:pt idx="201">
                  <c:v>6500</c:v>
                </c:pt>
                <c:pt idx="202">
                  <c:v>6500</c:v>
                </c:pt>
                <c:pt idx="203">
                  <c:v>6500</c:v>
                </c:pt>
                <c:pt idx="204">
                  <c:v>6500</c:v>
                </c:pt>
                <c:pt idx="205">
                  <c:v>6500</c:v>
                </c:pt>
                <c:pt idx="206">
                  <c:v>6500</c:v>
                </c:pt>
                <c:pt idx="207">
                  <c:v>6500</c:v>
                </c:pt>
                <c:pt idx="208">
                  <c:v>6500</c:v>
                </c:pt>
                <c:pt idx="209">
                  <c:v>6500</c:v>
                </c:pt>
                <c:pt idx="210">
                  <c:v>6500</c:v>
                </c:pt>
                <c:pt idx="211">
                  <c:v>6500</c:v>
                </c:pt>
                <c:pt idx="212">
                  <c:v>6500</c:v>
                </c:pt>
                <c:pt idx="213">
                  <c:v>6500</c:v>
                </c:pt>
                <c:pt idx="214">
                  <c:v>6500</c:v>
                </c:pt>
                <c:pt idx="215">
                  <c:v>6500</c:v>
                </c:pt>
                <c:pt idx="216">
                  <c:v>6500</c:v>
                </c:pt>
                <c:pt idx="217">
                  <c:v>5750</c:v>
                </c:pt>
                <c:pt idx="218">
                  <c:v>5000</c:v>
                </c:pt>
                <c:pt idx="219">
                  <c:v>4250</c:v>
                </c:pt>
                <c:pt idx="220">
                  <c:v>3500</c:v>
                </c:pt>
                <c:pt idx="221">
                  <c:v>2750</c:v>
                </c:pt>
                <c:pt idx="222">
                  <c:v>2000</c:v>
                </c:pt>
                <c:pt idx="223">
                  <c:v>1250</c:v>
                </c:pt>
                <c:pt idx="224">
                  <c:v>1250</c:v>
                </c:pt>
                <c:pt idx="225">
                  <c:v>1250</c:v>
                </c:pt>
                <c:pt idx="226">
                  <c:v>1250</c:v>
                </c:pt>
                <c:pt idx="227">
                  <c:v>1250</c:v>
                </c:pt>
                <c:pt idx="228">
                  <c:v>1250</c:v>
                </c:pt>
                <c:pt idx="229">
                  <c:v>1250</c:v>
                </c:pt>
                <c:pt idx="230">
                  <c:v>1250</c:v>
                </c:pt>
                <c:pt idx="231">
                  <c:v>1250</c:v>
                </c:pt>
                <c:pt idx="232">
                  <c:v>1250</c:v>
                </c:pt>
                <c:pt idx="233">
                  <c:v>1250</c:v>
                </c:pt>
                <c:pt idx="234">
                  <c:v>1250</c:v>
                </c:pt>
                <c:pt idx="235">
                  <c:v>1250</c:v>
                </c:pt>
                <c:pt idx="236">
                  <c:v>2000</c:v>
                </c:pt>
                <c:pt idx="237">
                  <c:v>2250</c:v>
                </c:pt>
                <c:pt idx="238">
                  <c:v>2500</c:v>
                </c:pt>
                <c:pt idx="239">
                  <c:v>2750</c:v>
                </c:pt>
                <c:pt idx="240">
                  <c:v>3000</c:v>
                </c:pt>
                <c:pt idx="241">
                  <c:v>3250</c:v>
                </c:pt>
                <c:pt idx="242">
                  <c:v>3500</c:v>
                </c:pt>
                <c:pt idx="243">
                  <c:v>3750</c:v>
                </c:pt>
                <c:pt idx="244">
                  <c:v>4000</c:v>
                </c:pt>
                <c:pt idx="245">
                  <c:v>4250</c:v>
                </c:pt>
                <c:pt idx="246">
                  <c:v>4500</c:v>
                </c:pt>
                <c:pt idx="247">
                  <c:v>4750</c:v>
                </c:pt>
                <c:pt idx="248">
                  <c:v>5000</c:v>
                </c:pt>
                <c:pt idx="249">
                  <c:v>5250</c:v>
                </c:pt>
                <c:pt idx="250">
                  <c:v>5500</c:v>
                </c:pt>
                <c:pt idx="251">
                  <c:v>5750</c:v>
                </c:pt>
                <c:pt idx="252">
                  <c:v>6000</c:v>
                </c:pt>
                <c:pt idx="253">
                  <c:v>7000</c:v>
                </c:pt>
                <c:pt idx="254">
                  <c:v>7000</c:v>
                </c:pt>
                <c:pt idx="255">
                  <c:v>7000</c:v>
                </c:pt>
                <c:pt idx="256">
                  <c:v>7000</c:v>
                </c:pt>
                <c:pt idx="257">
                  <c:v>7000</c:v>
                </c:pt>
                <c:pt idx="258">
                  <c:v>7000</c:v>
                </c:pt>
                <c:pt idx="259">
                  <c:v>7000</c:v>
                </c:pt>
                <c:pt idx="260">
                  <c:v>7000</c:v>
                </c:pt>
                <c:pt idx="261">
                  <c:v>7000</c:v>
                </c:pt>
                <c:pt idx="262">
                  <c:v>7000</c:v>
                </c:pt>
                <c:pt idx="263">
                  <c:v>7000</c:v>
                </c:pt>
                <c:pt idx="264">
                  <c:v>7000</c:v>
                </c:pt>
                <c:pt idx="265">
                  <c:v>6750</c:v>
                </c:pt>
                <c:pt idx="266">
                  <c:v>6500</c:v>
                </c:pt>
                <c:pt idx="267">
                  <c:v>6250</c:v>
                </c:pt>
                <c:pt idx="268">
                  <c:v>6000</c:v>
                </c:pt>
                <c:pt idx="269">
                  <c:v>5750</c:v>
                </c:pt>
                <c:pt idx="270">
                  <c:v>5500</c:v>
                </c:pt>
                <c:pt idx="271">
                  <c:v>5500</c:v>
                </c:pt>
                <c:pt idx="272">
                  <c:v>5500</c:v>
                </c:pt>
                <c:pt idx="273">
                  <c:v>5500</c:v>
                </c:pt>
                <c:pt idx="274">
                  <c:v>5500</c:v>
                </c:pt>
                <c:pt idx="275">
                  <c:v>5500</c:v>
                </c:pt>
                <c:pt idx="276">
                  <c:v>5500</c:v>
                </c:pt>
                <c:pt idx="277">
                  <c:v>5500</c:v>
                </c:pt>
                <c:pt idx="278">
                  <c:v>5500</c:v>
                </c:pt>
                <c:pt idx="279">
                  <c:v>5500</c:v>
                </c:pt>
                <c:pt idx="280">
                  <c:v>5500</c:v>
                </c:pt>
                <c:pt idx="281">
                  <c:v>5500</c:v>
                </c:pt>
                <c:pt idx="282">
                  <c:v>5500</c:v>
                </c:pt>
                <c:pt idx="283">
                  <c:v>5500</c:v>
                </c:pt>
                <c:pt idx="284">
                  <c:v>5500</c:v>
                </c:pt>
                <c:pt idx="285">
                  <c:v>5750</c:v>
                </c:pt>
                <c:pt idx="286">
                  <c:v>6000</c:v>
                </c:pt>
                <c:pt idx="287">
                  <c:v>6500</c:v>
                </c:pt>
                <c:pt idx="288">
                  <c:v>7000</c:v>
                </c:pt>
                <c:pt idx="289">
                  <c:v>7000</c:v>
                </c:pt>
                <c:pt idx="290">
                  <c:v>7000</c:v>
                </c:pt>
                <c:pt idx="291">
                  <c:v>7000</c:v>
                </c:pt>
                <c:pt idx="292">
                  <c:v>7000</c:v>
                </c:pt>
                <c:pt idx="293">
                  <c:v>7000</c:v>
                </c:pt>
                <c:pt idx="294">
                  <c:v>7000</c:v>
                </c:pt>
                <c:pt idx="295">
                  <c:v>7000</c:v>
                </c:pt>
                <c:pt idx="296">
                  <c:v>6500</c:v>
                </c:pt>
                <c:pt idx="297">
                  <c:v>6000</c:v>
                </c:pt>
                <c:pt idx="298">
                  <c:v>5500</c:v>
                </c:pt>
                <c:pt idx="299">
                  <c:v>5000</c:v>
                </c:pt>
                <c:pt idx="300">
                  <c:v>4500</c:v>
                </c:pt>
                <c:pt idx="301">
                  <c:v>4000</c:v>
                </c:pt>
                <c:pt idx="302">
                  <c:v>3500</c:v>
                </c:pt>
                <c:pt idx="303">
                  <c:v>3000</c:v>
                </c:pt>
                <c:pt idx="304">
                  <c:v>3000</c:v>
                </c:pt>
                <c:pt idx="305">
                  <c:v>3000</c:v>
                </c:pt>
                <c:pt idx="306">
                  <c:v>3000</c:v>
                </c:pt>
                <c:pt idx="307">
                  <c:v>3000</c:v>
                </c:pt>
                <c:pt idx="308">
                  <c:v>3000</c:v>
                </c:pt>
                <c:pt idx="309">
                  <c:v>3000</c:v>
                </c:pt>
                <c:pt idx="310">
                  <c:v>3000</c:v>
                </c:pt>
                <c:pt idx="311">
                  <c:v>3000</c:v>
                </c:pt>
                <c:pt idx="312">
                  <c:v>3000</c:v>
                </c:pt>
                <c:pt idx="313">
                  <c:v>3500</c:v>
                </c:pt>
                <c:pt idx="314">
                  <c:v>4000</c:v>
                </c:pt>
                <c:pt idx="315">
                  <c:v>4500</c:v>
                </c:pt>
                <c:pt idx="316">
                  <c:v>5000</c:v>
                </c:pt>
                <c:pt idx="317">
                  <c:v>5500</c:v>
                </c:pt>
                <c:pt idx="318">
                  <c:v>6000</c:v>
                </c:pt>
                <c:pt idx="319">
                  <c:v>6500</c:v>
                </c:pt>
                <c:pt idx="320">
                  <c:v>7000</c:v>
                </c:pt>
                <c:pt idx="321">
                  <c:v>7000</c:v>
                </c:pt>
                <c:pt idx="322">
                  <c:v>7000</c:v>
                </c:pt>
                <c:pt idx="323">
                  <c:v>7000</c:v>
                </c:pt>
                <c:pt idx="324">
                  <c:v>7000</c:v>
                </c:pt>
                <c:pt idx="325">
                  <c:v>7000</c:v>
                </c:pt>
                <c:pt idx="326">
                  <c:v>7000</c:v>
                </c:pt>
                <c:pt idx="327">
                  <c:v>7000</c:v>
                </c:pt>
                <c:pt idx="328">
                  <c:v>6500</c:v>
                </c:pt>
                <c:pt idx="329">
                  <c:v>6000</c:v>
                </c:pt>
                <c:pt idx="330">
                  <c:v>5500</c:v>
                </c:pt>
                <c:pt idx="331">
                  <c:v>5000</c:v>
                </c:pt>
                <c:pt idx="332">
                  <c:v>4500</c:v>
                </c:pt>
                <c:pt idx="333">
                  <c:v>4000</c:v>
                </c:pt>
                <c:pt idx="334">
                  <c:v>3500</c:v>
                </c:pt>
                <c:pt idx="335">
                  <c:v>3000</c:v>
                </c:pt>
                <c:pt idx="336">
                  <c:v>2500</c:v>
                </c:pt>
                <c:pt idx="337">
                  <c:v>2000</c:v>
                </c:pt>
                <c:pt idx="338">
                  <c:v>2000</c:v>
                </c:pt>
                <c:pt idx="339">
                  <c:v>2000</c:v>
                </c:pt>
                <c:pt idx="340">
                  <c:v>2000</c:v>
                </c:pt>
                <c:pt idx="341">
                  <c:v>2000</c:v>
                </c:pt>
                <c:pt idx="342">
                  <c:v>2000</c:v>
                </c:pt>
                <c:pt idx="343">
                  <c:v>2000</c:v>
                </c:pt>
                <c:pt idx="344">
                  <c:v>2250</c:v>
                </c:pt>
                <c:pt idx="345">
                  <c:v>2500</c:v>
                </c:pt>
                <c:pt idx="346">
                  <c:v>2750</c:v>
                </c:pt>
                <c:pt idx="347">
                  <c:v>3000</c:v>
                </c:pt>
                <c:pt idx="348">
                  <c:v>3250</c:v>
                </c:pt>
                <c:pt idx="349">
                  <c:v>3500</c:v>
                </c:pt>
                <c:pt idx="350">
                  <c:v>3750</c:v>
                </c:pt>
                <c:pt idx="351">
                  <c:v>4000</c:v>
                </c:pt>
                <c:pt idx="352">
                  <c:v>4250</c:v>
                </c:pt>
                <c:pt idx="353">
                  <c:v>4500</c:v>
                </c:pt>
                <c:pt idx="354">
                  <c:v>4750</c:v>
                </c:pt>
                <c:pt idx="355">
                  <c:v>5000</c:v>
                </c:pt>
                <c:pt idx="356">
                  <c:v>5250</c:v>
                </c:pt>
                <c:pt idx="357">
                  <c:v>5500</c:v>
                </c:pt>
                <c:pt idx="358">
                  <c:v>5750</c:v>
                </c:pt>
                <c:pt idx="359">
                  <c:v>6000</c:v>
                </c:pt>
                <c:pt idx="360">
                  <c:v>7000</c:v>
                </c:pt>
                <c:pt idx="361">
                  <c:v>7000</c:v>
                </c:pt>
                <c:pt idx="362">
                  <c:v>7000</c:v>
                </c:pt>
                <c:pt idx="363">
                  <c:v>7000</c:v>
                </c:pt>
                <c:pt idx="364">
                  <c:v>7000</c:v>
                </c:pt>
                <c:pt idx="365">
                  <c:v>7000</c:v>
                </c:pt>
                <c:pt idx="366">
                  <c:v>7000</c:v>
                </c:pt>
                <c:pt idx="367">
                  <c:v>6500</c:v>
                </c:pt>
                <c:pt idx="368">
                  <c:v>6000</c:v>
                </c:pt>
                <c:pt idx="369">
                  <c:v>5500</c:v>
                </c:pt>
                <c:pt idx="370">
                  <c:v>5000</c:v>
                </c:pt>
                <c:pt idx="371">
                  <c:v>4500</c:v>
                </c:pt>
                <c:pt idx="372">
                  <c:v>4000</c:v>
                </c:pt>
                <c:pt idx="373">
                  <c:v>3500</c:v>
                </c:pt>
                <c:pt idx="374">
                  <c:v>3000</c:v>
                </c:pt>
                <c:pt idx="375">
                  <c:v>2500</c:v>
                </c:pt>
                <c:pt idx="376">
                  <c:v>2000</c:v>
                </c:pt>
                <c:pt idx="377">
                  <c:v>1500</c:v>
                </c:pt>
                <c:pt idx="378">
                  <c:v>1000</c:v>
                </c:pt>
                <c:pt idx="379">
                  <c:v>1000</c:v>
                </c:pt>
                <c:pt idx="380">
                  <c:v>1000</c:v>
                </c:pt>
                <c:pt idx="381">
                  <c:v>1000</c:v>
                </c:pt>
                <c:pt idx="382">
                  <c:v>1000</c:v>
                </c:pt>
                <c:pt idx="383">
                  <c:v>1000</c:v>
                </c:pt>
                <c:pt idx="384">
                  <c:v>1000</c:v>
                </c:pt>
                <c:pt idx="385">
                  <c:v>1000</c:v>
                </c:pt>
                <c:pt idx="386">
                  <c:v>1000</c:v>
                </c:pt>
                <c:pt idx="387">
                  <c:v>1000</c:v>
                </c:pt>
                <c:pt idx="388">
                  <c:v>1000</c:v>
                </c:pt>
                <c:pt idx="389">
                  <c:v>1000</c:v>
                </c:pt>
                <c:pt idx="390">
                  <c:v>1000</c:v>
                </c:pt>
                <c:pt idx="391">
                  <c:v>1500</c:v>
                </c:pt>
                <c:pt idx="392">
                  <c:v>2000</c:v>
                </c:pt>
                <c:pt idx="393">
                  <c:v>2500</c:v>
                </c:pt>
                <c:pt idx="394">
                  <c:v>3000</c:v>
                </c:pt>
                <c:pt idx="395">
                  <c:v>3500</c:v>
                </c:pt>
                <c:pt idx="396">
                  <c:v>4000</c:v>
                </c:pt>
                <c:pt idx="397">
                  <c:v>5000</c:v>
                </c:pt>
                <c:pt idx="398">
                  <c:v>6000</c:v>
                </c:pt>
                <c:pt idx="399">
                  <c:v>7000</c:v>
                </c:pt>
                <c:pt idx="400">
                  <c:v>7000</c:v>
                </c:pt>
                <c:pt idx="401">
                  <c:v>7000</c:v>
                </c:pt>
                <c:pt idx="402">
                  <c:v>6750</c:v>
                </c:pt>
                <c:pt idx="403">
                  <c:v>6500</c:v>
                </c:pt>
                <c:pt idx="404">
                  <c:v>6250</c:v>
                </c:pt>
                <c:pt idx="405">
                  <c:v>6000</c:v>
                </c:pt>
                <c:pt idx="406">
                  <c:v>5750</c:v>
                </c:pt>
                <c:pt idx="407">
                  <c:v>5500</c:v>
                </c:pt>
                <c:pt idx="408">
                  <c:v>5250</c:v>
                </c:pt>
                <c:pt idx="409">
                  <c:v>5000</c:v>
                </c:pt>
                <c:pt idx="410">
                  <c:v>4750</c:v>
                </c:pt>
                <c:pt idx="411">
                  <c:v>4500</c:v>
                </c:pt>
                <c:pt idx="412">
                  <c:v>4500</c:v>
                </c:pt>
                <c:pt idx="413">
                  <c:v>4500</c:v>
                </c:pt>
                <c:pt idx="414">
                  <c:v>4500</c:v>
                </c:pt>
                <c:pt idx="415">
                  <c:v>4500</c:v>
                </c:pt>
                <c:pt idx="416">
                  <c:v>4500</c:v>
                </c:pt>
                <c:pt idx="417">
                  <c:v>4500</c:v>
                </c:pt>
                <c:pt idx="418">
                  <c:v>5000</c:v>
                </c:pt>
                <c:pt idx="419">
                  <c:v>5500</c:v>
                </c:pt>
                <c:pt idx="420">
                  <c:v>6000</c:v>
                </c:pt>
                <c:pt idx="421">
                  <c:v>6500</c:v>
                </c:pt>
                <c:pt idx="422">
                  <c:v>7000</c:v>
                </c:pt>
                <c:pt idx="423">
                  <c:v>7000</c:v>
                </c:pt>
                <c:pt idx="424">
                  <c:v>7000</c:v>
                </c:pt>
                <c:pt idx="425">
                  <c:v>7000</c:v>
                </c:pt>
                <c:pt idx="426">
                  <c:v>7000</c:v>
                </c:pt>
                <c:pt idx="427">
                  <c:v>7000</c:v>
                </c:pt>
                <c:pt idx="428">
                  <c:v>7000</c:v>
                </c:pt>
                <c:pt idx="429">
                  <c:v>7000</c:v>
                </c:pt>
                <c:pt idx="430">
                  <c:v>7000</c:v>
                </c:pt>
                <c:pt idx="431">
                  <c:v>7000</c:v>
                </c:pt>
                <c:pt idx="432">
                  <c:v>7000</c:v>
                </c:pt>
                <c:pt idx="433">
                  <c:v>7000</c:v>
                </c:pt>
                <c:pt idx="434">
                  <c:v>7000</c:v>
                </c:pt>
                <c:pt idx="435">
                  <c:v>7000</c:v>
                </c:pt>
                <c:pt idx="436">
                  <c:v>7000</c:v>
                </c:pt>
                <c:pt idx="437">
                  <c:v>7000</c:v>
                </c:pt>
                <c:pt idx="438">
                  <c:v>7000</c:v>
                </c:pt>
                <c:pt idx="439">
                  <c:v>7000</c:v>
                </c:pt>
                <c:pt idx="440">
                  <c:v>7000</c:v>
                </c:pt>
                <c:pt idx="441">
                  <c:v>7000</c:v>
                </c:pt>
                <c:pt idx="442">
                  <c:v>7000</c:v>
                </c:pt>
                <c:pt idx="443">
                  <c:v>7000</c:v>
                </c:pt>
                <c:pt idx="444">
                  <c:v>7000</c:v>
                </c:pt>
                <c:pt idx="445">
                  <c:v>7000</c:v>
                </c:pt>
                <c:pt idx="446">
                  <c:v>7000</c:v>
                </c:pt>
                <c:pt idx="447">
                  <c:v>7000</c:v>
                </c:pt>
                <c:pt idx="448">
                  <c:v>7000</c:v>
                </c:pt>
                <c:pt idx="449">
                  <c:v>7000</c:v>
                </c:pt>
                <c:pt idx="450">
                  <c:v>7000</c:v>
                </c:pt>
                <c:pt idx="451">
                  <c:v>7000</c:v>
                </c:pt>
                <c:pt idx="452">
                  <c:v>7000</c:v>
                </c:pt>
                <c:pt idx="453">
                  <c:v>7000</c:v>
                </c:pt>
                <c:pt idx="454">
                  <c:v>7000</c:v>
                </c:pt>
                <c:pt idx="455">
                  <c:v>7000</c:v>
                </c:pt>
                <c:pt idx="456">
                  <c:v>7000</c:v>
                </c:pt>
                <c:pt idx="457">
                  <c:v>7000</c:v>
                </c:pt>
                <c:pt idx="458">
                  <c:v>7000</c:v>
                </c:pt>
                <c:pt idx="459">
                  <c:v>7000</c:v>
                </c:pt>
                <c:pt idx="460">
                  <c:v>7000</c:v>
                </c:pt>
                <c:pt idx="461">
                  <c:v>7000</c:v>
                </c:pt>
                <c:pt idx="462">
                  <c:v>7000</c:v>
                </c:pt>
                <c:pt idx="463">
                  <c:v>7000</c:v>
                </c:pt>
                <c:pt idx="464">
                  <c:v>7000</c:v>
                </c:pt>
                <c:pt idx="465">
                  <c:v>7000</c:v>
                </c:pt>
                <c:pt idx="466">
                  <c:v>7000</c:v>
                </c:pt>
                <c:pt idx="467">
                  <c:v>7000</c:v>
                </c:pt>
                <c:pt idx="468">
                  <c:v>7000</c:v>
                </c:pt>
                <c:pt idx="469">
                  <c:v>7000</c:v>
                </c:pt>
                <c:pt idx="470">
                  <c:v>7000</c:v>
                </c:pt>
                <c:pt idx="471">
                  <c:v>7000</c:v>
                </c:pt>
                <c:pt idx="472">
                  <c:v>7000</c:v>
                </c:pt>
                <c:pt idx="473">
                  <c:v>6500</c:v>
                </c:pt>
                <c:pt idx="474">
                  <c:v>6000</c:v>
                </c:pt>
                <c:pt idx="475">
                  <c:v>5500</c:v>
                </c:pt>
                <c:pt idx="476">
                  <c:v>5000</c:v>
                </c:pt>
                <c:pt idx="477">
                  <c:v>4500</c:v>
                </c:pt>
                <c:pt idx="478">
                  <c:v>4000</c:v>
                </c:pt>
                <c:pt idx="479">
                  <c:v>3500</c:v>
                </c:pt>
                <c:pt idx="480">
                  <c:v>3000</c:v>
                </c:pt>
                <c:pt idx="481">
                  <c:v>2500</c:v>
                </c:pt>
                <c:pt idx="482">
                  <c:v>2000</c:v>
                </c:pt>
                <c:pt idx="483">
                  <c:v>1500</c:v>
                </c:pt>
                <c:pt idx="484">
                  <c:v>1000</c:v>
                </c:pt>
                <c:pt idx="485">
                  <c:v>1000</c:v>
                </c:pt>
                <c:pt idx="486">
                  <c:v>1000</c:v>
                </c:pt>
                <c:pt idx="487">
                  <c:v>1000</c:v>
                </c:pt>
                <c:pt idx="488">
                  <c:v>1000</c:v>
                </c:pt>
                <c:pt idx="489">
                  <c:v>1000</c:v>
                </c:pt>
                <c:pt idx="490">
                  <c:v>1000</c:v>
                </c:pt>
                <c:pt idx="491">
                  <c:v>1000</c:v>
                </c:pt>
                <c:pt idx="492">
                  <c:v>1000</c:v>
                </c:pt>
                <c:pt idx="493">
                  <c:v>1500</c:v>
                </c:pt>
                <c:pt idx="494">
                  <c:v>2000</c:v>
                </c:pt>
                <c:pt idx="495">
                  <c:v>2500</c:v>
                </c:pt>
                <c:pt idx="496">
                  <c:v>3000</c:v>
                </c:pt>
                <c:pt idx="497">
                  <c:v>3500</c:v>
                </c:pt>
                <c:pt idx="498">
                  <c:v>4000</c:v>
                </c:pt>
                <c:pt idx="499">
                  <c:v>4500</c:v>
                </c:pt>
                <c:pt idx="500">
                  <c:v>5000</c:v>
                </c:pt>
                <c:pt idx="501">
                  <c:v>5500</c:v>
                </c:pt>
                <c:pt idx="502">
                  <c:v>6000</c:v>
                </c:pt>
                <c:pt idx="503">
                  <c:v>6500</c:v>
                </c:pt>
                <c:pt idx="504">
                  <c:v>7000</c:v>
                </c:pt>
                <c:pt idx="505">
                  <c:v>7000</c:v>
                </c:pt>
                <c:pt idx="506">
                  <c:v>7000</c:v>
                </c:pt>
                <c:pt idx="507">
                  <c:v>7000</c:v>
                </c:pt>
                <c:pt idx="508">
                  <c:v>7000</c:v>
                </c:pt>
                <c:pt idx="509">
                  <c:v>7000</c:v>
                </c:pt>
                <c:pt idx="510">
                  <c:v>7000</c:v>
                </c:pt>
                <c:pt idx="511">
                  <c:v>7000</c:v>
                </c:pt>
                <c:pt idx="512">
                  <c:v>7000</c:v>
                </c:pt>
                <c:pt idx="513">
                  <c:v>7000</c:v>
                </c:pt>
                <c:pt idx="514">
                  <c:v>7000</c:v>
                </c:pt>
                <c:pt idx="515">
                  <c:v>7000</c:v>
                </c:pt>
                <c:pt idx="516">
                  <c:v>7000</c:v>
                </c:pt>
                <c:pt idx="517">
                  <c:v>7000</c:v>
                </c:pt>
                <c:pt idx="518">
                  <c:v>7000</c:v>
                </c:pt>
                <c:pt idx="519">
                  <c:v>7000</c:v>
                </c:pt>
                <c:pt idx="520">
                  <c:v>7000</c:v>
                </c:pt>
                <c:pt idx="521">
                  <c:v>7000</c:v>
                </c:pt>
                <c:pt idx="522">
                  <c:v>7000</c:v>
                </c:pt>
                <c:pt idx="523">
                  <c:v>7000</c:v>
                </c:pt>
                <c:pt idx="524">
                  <c:v>7000</c:v>
                </c:pt>
                <c:pt idx="525">
                  <c:v>7000</c:v>
                </c:pt>
                <c:pt idx="526">
                  <c:v>7000</c:v>
                </c:pt>
                <c:pt idx="527">
                  <c:v>6500</c:v>
                </c:pt>
                <c:pt idx="528">
                  <c:v>6000</c:v>
                </c:pt>
                <c:pt idx="529">
                  <c:v>5500</c:v>
                </c:pt>
                <c:pt idx="530">
                  <c:v>5000</c:v>
                </c:pt>
                <c:pt idx="531">
                  <c:v>4500</c:v>
                </c:pt>
                <c:pt idx="532">
                  <c:v>4000</c:v>
                </c:pt>
                <c:pt idx="533">
                  <c:v>3500</c:v>
                </c:pt>
                <c:pt idx="534">
                  <c:v>3000</c:v>
                </c:pt>
                <c:pt idx="535">
                  <c:v>2500</c:v>
                </c:pt>
                <c:pt idx="536">
                  <c:v>2500</c:v>
                </c:pt>
                <c:pt idx="537">
                  <c:v>2500</c:v>
                </c:pt>
                <c:pt idx="538">
                  <c:v>2500</c:v>
                </c:pt>
                <c:pt idx="539">
                  <c:v>2500</c:v>
                </c:pt>
                <c:pt idx="540">
                  <c:v>2500</c:v>
                </c:pt>
                <c:pt idx="541">
                  <c:v>2500</c:v>
                </c:pt>
                <c:pt idx="542">
                  <c:v>2500</c:v>
                </c:pt>
                <c:pt idx="543">
                  <c:v>2500</c:v>
                </c:pt>
                <c:pt idx="544">
                  <c:v>3000</c:v>
                </c:pt>
                <c:pt idx="545">
                  <c:v>3500</c:v>
                </c:pt>
                <c:pt idx="546">
                  <c:v>4000</c:v>
                </c:pt>
                <c:pt idx="547">
                  <c:v>4500</c:v>
                </c:pt>
                <c:pt idx="548">
                  <c:v>5000</c:v>
                </c:pt>
                <c:pt idx="549">
                  <c:v>5500</c:v>
                </c:pt>
                <c:pt idx="550">
                  <c:v>6000</c:v>
                </c:pt>
                <c:pt idx="551">
                  <c:v>6500</c:v>
                </c:pt>
                <c:pt idx="552">
                  <c:v>7000</c:v>
                </c:pt>
                <c:pt idx="553">
                  <c:v>7000</c:v>
                </c:pt>
                <c:pt idx="554">
                  <c:v>7000</c:v>
                </c:pt>
                <c:pt idx="555">
                  <c:v>7000</c:v>
                </c:pt>
                <c:pt idx="556">
                  <c:v>7000</c:v>
                </c:pt>
                <c:pt idx="557">
                  <c:v>7000</c:v>
                </c:pt>
                <c:pt idx="558">
                  <c:v>7000</c:v>
                </c:pt>
                <c:pt idx="559">
                  <c:v>7000</c:v>
                </c:pt>
                <c:pt idx="560">
                  <c:v>6500</c:v>
                </c:pt>
                <c:pt idx="561">
                  <c:v>6000</c:v>
                </c:pt>
                <c:pt idx="562">
                  <c:v>5500</c:v>
                </c:pt>
                <c:pt idx="563">
                  <c:v>5000</c:v>
                </c:pt>
                <c:pt idx="564">
                  <c:v>4500</c:v>
                </c:pt>
                <c:pt idx="565">
                  <c:v>4000</c:v>
                </c:pt>
                <c:pt idx="566">
                  <c:v>3500</c:v>
                </c:pt>
                <c:pt idx="567">
                  <c:v>3000</c:v>
                </c:pt>
                <c:pt idx="568">
                  <c:v>2500</c:v>
                </c:pt>
                <c:pt idx="569">
                  <c:v>2000</c:v>
                </c:pt>
                <c:pt idx="570">
                  <c:v>1500</c:v>
                </c:pt>
                <c:pt idx="571">
                  <c:v>1000</c:v>
                </c:pt>
                <c:pt idx="572">
                  <c:v>1000</c:v>
                </c:pt>
                <c:pt idx="573">
                  <c:v>1000</c:v>
                </c:pt>
                <c:pt idx="574">
                  <c:v>1000</c:v>
                </c:pt>
                <c:pt idx="575">
                  <c:v>1000</c:v>
                </c:pt>
                <c:pt idx="576">
                  <c:v>1000</c:v>
                </c:pt>
                <c:pt idx="577">
                  <c:v>1000</c:v>
                </c:pt>
                <c:pt idx="578">
                  <c:v>1000</c:v>
                </c:pt>
                <c:pt idx="579">
                  <c:v>1000</c:v>
                </c:pt>
                <c:pt idx="580">
                  <c:v>1000</c:v>
                </c:pt>
                <c:pt idx="581">
                  <c:v>1000</c:v>
                </c:pt>
                <c:pt idx="582">
                  <c:v>1000</c:v>
                </c:pt>
                <c:pt idx="583">
                  <c:v>1000</c:v>
                </c:pt>
                <c:pt idx="584">
                  <c:v>1250</c:v>
                </c:pt>
                <c:pt idx="585">
                  <c:v>1500</c:v>
                </c:pt>
                <c:pt idx="586">
                  <c:v>1750</c:v>
                </c:pt>
                <c:pt idx="587">
                  <c:v>2000</c:v>
                </c:pt>
                <c:pt idx="588">
                  <c:v>2250</c:v>
                </c:pt>
                <c:pt idx="589">
                  <c:v>2500</c:v>
                </c:pt>
                <c:pt idx="590">
                  <c:v>2750</c:v>
                </c:pt>
                <c:pt idx="591">
                  <c:v>3000</c:v>
                </c:pt>
                <c:pt idx="592">
                  <c:v>3250</c:v>
                </c:pt>
                <c:pt idx="593">
                  <c:v>3500</c:v>
                </c:pt>
                <c:pt idx="594">
                  <c:v>3750</c:v>
                </c:pt>
                <c:pt idx="595">
                  <c:v>4000</c:v>
                </c:pt>
                <c:pt idx="596">
                  <c:v>4250</c:v>
                </c:pt>
                <c:pt idx="597">
                  <c:v>4500</c:v>
                </c:pt>
                <c:pt idx="598">
                  <c:v>4750</c:v>
                </c:pt>
                <c:pt idx="599">
                  <c:v>5000</c:v>
                </c:pt>
                <c:pt idx="600">
                  <c:v>5250</c:v>
                </c:pt>
                <c:pt idx="601">
                  <c:v>5500</c:v>
                </c:pt>
                <c:pt idx="602">
                  <c:v>7000</c:v>
                </c:pt>
                <c:pt idx="603">
                  <c:v>7000</c:v>
                </c:pt>
                <c:pt idx="604">
                  <c:v>7000</c:v>
                </c:pt>
                <c:pt idx="605">
                  <c:v>7000</c:v>
                </c:pt>
                <c:pt idx="606">
                  <c:v>7000</c:v>
                </c:pt>
                <c:pt idx="607">
                  <c:v>7000</c:v>
                </c:pt>
                <c:pt idx="608">
                  <c:v>6500</c:v>
                </c:pt>
                <c:pt idx="609">
                  <c:v>6000</c:v>
                </c:pt>
                <c:pt idx="610">
                  <c:v>6000</c:v>
                </c:pt>
                <c:pt idx="611">
                  <c:v>6500</c:v>
                </c:pt>
                <c:pt idx="612">
                  <c:v>7000</c:v>
                </c:pt>
                <c:pt idx="613">
                  <c:v>7000</c:v>
                </c:pt>
                <c:pt idx="614">
                  <c:v>7000</c:v>
                </c:pt>
                <c:pt idx="615">
                  <c:v>7000</c:v>
                </c:pt>
                <c:pt idx="616">
                  <c:v>7000</c:v>
                </c:pt>
                <c:pt idx="617">
                  <c:v>7000</c:v>
                </c:pt>
                <c:pt idx="618">
                  <c:v>7000</c:v>
                </c:pt>
                <c:pt idx="619">
                  <c:v>7000</c:v>
                </c:pt>
                <c:pt idx="620">
                  <c:v>7000</c:v>
                </c:pt>
                <c:pt idx="621">
                  <c:v>7000</c:v>
                </c:pt>
                <c:pt idx="622">
                  <c:v>7000</c:v>
                </c:pt>
                <c:pt idx="623">
                  <c:v>7000</c:v>
                </c:pt>
                <c:pt idx="624">
                  <c:v>7000</c:v>
                </c:pt>
                <c:pt idx="625">
                  <c:v>7000</c:v>
                </c:pt>
                <c:pt idx="626">
                  <c:v>7000</c:v>
                </c:pt>
                <c:pt idx="627">
                  <c:v>7000</c:v>
                </c:pt>
                <c:pt idx="628">
                  <c:v>7000</c:v>
                </c:pt>
                <c:pt idx="629">
                  <c:v>7000</c:v>
                </c:pt>
                <c:pt idx="630">
                  <c:v>7000</c:v>
                </c:pt>
                <c:pt idx="631">
                  <c:v>7000</c:v>
                </c:pt>
                <c:pt idx="632">
                  <c:v>7000</c:v>
                </c:pt>
                <c:pt idx="633">
                  <c:v>7000</c:v>
                </c:pt>
                <c:pt idx="634">
                  <c:v>7000</c:v>
                </c:pt>
                <c:pt idx="635">
                  <c:v>7000</c:v>
                </c:pt>
                <c:pt idx="636">
                  <c:v>7000</c:v>
                </c:pt>
                <c:pt idx="637">
                  <c:v>7000</c:v>
                </c:pt>
                <c:pt idx="638">
                  <c:v>7000</c:v>
                </c:pt>
                <c:pt idx="639">
                  <c:v>7000</c:v>
                </c:pt>
                <c:pt idx="640">
                  <c:v>7000</c:v>
                </c:pt>
                <c:pt idx="641">
                  <c:v>7000</c:v>
                </c:pt>
                <c:pt idx="642">
                  <c:v>7000</c:v>
                </c:pt>
                <c:pt idx="643">
                  <c:v>7000</c:v>
                </c:pt>
                <c:pt idx="644">
                  <c:v>7000</c:v>
                </c:pt>
                <c:pt idx="645">
                  <c:v>7000</c:v>
                </c:pt>
                <c:pt idx="646">
                  <c:v>7000</c:v>
                </c:pt>
                <c:pt idx="647">
                  <c:v>7000</c:v>
                </c:pt>
                <c:pt idx="648">
                  <c:v>7000</c:v>
                </c:pt>
                <c:pt idx="649">
                  <c:v>7000</c:v>
                </c:pt>
                <c:pt idx="650">
                  <c:v>7000</c:v>
                </c:pt>
                <c:pt idx="651">
                  <c:v>7000</c:v>
                </c:pt>
                <c:pt idx="652">
                  <c:v>7000</c:v>
                </c:pt>
                <c:pt idx="653">
                  <c:v>7000</c:v>
                </c:pt>
                <c:pt idx="654">
                  <c:v>7000</c:v>
                </c:pt>
                <c:pt idx="655">
                  <c:v>7000</c:v>
                </c:pt>
                <c:pt idx="656">
                  <c:v>7000</c:v>
                </c:pt>
                <c:pt idx="657">
                  <c:v>7000</c:v>
                </c:pt>
                <c:pt idx="658">
                  <c:v>7000</c:v>
                </c:pt>
                <c:pt idx="659">
                  <c:v>7000</c:v>
                </c:pt>
                <c:pt idx="660">
                  <c:v>7000</c:v>
                </c:pt>
                <c:pt idx="661">
                  <c:v>7000</c:v>
                </c:pt>
                <c:pt idx="662">
                  <c:v>7000</c:v>
                </c:pt>
                <c:pt idx="663">
                  <c:v>7000</c:v>
                </c:pt>
                <c:pt idx="664">
                  <c:v>7000</c:v>
                </c:pt>
                <c:pt idx="665">
                  <c:v>7000</c:v>
                </c:pt>
                <c:pt idx="666">
                  <c:v>7000</c:v>
                </c:pt>
                <c:pt idx="667">
                  <c:v>7000</c:v>
                </c:pt>
                <c:pt idx="668">
                  <c:v>7000</c:v>
                </c:pt>
                <c:pt idx="669">
                  <c:v>7000</c:v>
                </c:pt>
                <c:pt idx="670">
                  <c:v>7000</c:v>
                </c:pt>
                <c:pt idx="671">
                  <c:v>7000</c:v>
                </c:pt>
                <c:pt idx="672">
                  <c:v>7000</c:v>
                </c:pt>
                <c:pt idx="673">
                  <c:v>7000</c:v>
                </c:pt>
                <c:pt idx="674">
                  <c:v>7000</c:v>
                </c:pt>
                <c:pt idx="675">
                  <c:v>7000</c:v>
                </c:pt>
                <c:pt idx="676">
                  <c:v>7000</c:v>
                </c:pt>
                <c:pt idx="677">
                  <c:v>7000</c:v>
                </c:pt>
                <c:pt idx="678">
                  <c:v>7000</c:v>
                </c:pt>
                <c:pt idx="679">
                  <c:v>7000</c:v>
                </c:pt>
                <c:pt idx="680">
                  <c:v>7000</c:v>
                </c:pt>
                <c:pt idx="681">
                  <c:v>7000</c:v>
                </c:pt>
                <c:pt idx="682">
                  <c:v>7000</c:v>
                </c:pt>
                <c:pt idx="683">
                  <c:v>7000</c:v>
                </c:pt>
                <c:pt idx="684">
                  <c:v>7000</c:v>
                </c:pt>
                <c:pt idx="685">
                  <c:v>7000</c:v>
                </c:pt>
                <c:pt idx="686">
                  <c:v>7000</c:v>
                </c:pt>
                <c:pt idx="687">
                  <c:v>7000</c:v>
                </c:pt>
                <c:pt idx="688">
                  <c:v>7000</c:v>
                </c:pt>
                <c:pt idx="689">
                  <c:v>7000</c:v>
                </c:pt>
                <c:pt idx="690">
                  <c:v>6750</c:v>
                </c:pt>
                <c:pt idx="691">
                  <c:v>6500</c:v>
                </c:pt>
                <c:pt idx="692">
                  <c:v>6250</c:v>
                </c:pt>
                <c:pt idx="693">
                  <c:v>6000</c:v>
                </c:pt>
                <c:pt idx="694">
                  <c:v>5750</c:v>
                </c:pt>
                <c:pt idx="695">
                  <c:v>5500</c:v>
                </c:pt>
                <c:pt idx="696">
                  <c:v>5250</c:v>
                </c:pt>
                <c:pt idx="697">
                  <c:v>5000</c:v>
                </c:pt>
                <c:pt idx="698">
                  <c:v>4750</c:v>
                </c:pt>
                <c:pt idx="699">
                  <c:v>4500</c:v>
                </c:pt>
                <c:pt idx="700">
                  <c:v>4250</c:v>
                </c:pt>
                <c:pt idx="701">
                  <c:v>4000</c:v>
                </c:pt>
                <c:pt idx="702">
                  <c:v>3750</c:v>
                </c:pt>
                <c:pt idx="703">
                  <c:v>3500</c:v>
                </c:pt>
                <c:pt idx="704">
                  <c:v>3250</c:v>
                </c:pt>
                <c:pt idx="705">
                  <c:v>3000</c:v>
                </c:pt>
                <c:pt idx="706">
                  <c:v>2750</c:v>
                </c:pt>
                <c:pt idx="707">
                  <c:v>2500</c:v>
                </c:pt>
                <c:pt idx="708">
                  <c:v>2250</c:v>
                </c:pt>
                <c:pt idx="709">
                  <c:v>2000</c:v>
                </c:pt>
                <c:pt idx="710">
                  <c:v>1750</c:v>
                </c:pt>
                <c:pt idx="711">
                  <c:v>1750</c:v>
                </c:pt>
                <c:pt idx="712">
                  <c:v>1750</c:v>
                </c:pt>
                <c:pt idx="713">
                  <c:v>1750</c:v>
                </c:pt>
                <c:pt idx="714">
                  <c:v>1750</c:v>
                </c:pt>
                <c:pt idx="715">
                  <c:v>1750</c:v>
                </c:pt>
                <c:pt idx="716">
                  <c:v>1750</c:v>
                </c:pt>
                <c:pt idx="717">
                  <c:v>1750</c:v>
                </c:pt>
                <c:pt idx="718">
                  <c:v>1750</c:v>
                </c:pt>
                <c:pt idx="719">
                  <c:v>1750</c:v>
                </c:pt>
                <c:pt idx="720">
                  <c:v>1750</c:v>
                </c:pt>
                <c:pt idx="721">
                  <c:v>1750</c:v>
                </c:pt>
                <c:pt idx="722">
                  <c:v>1750</c:v>
                </c:pt>
                <c:pt idx="723">
                  <c:v>1750</c:v>
                </c:pt>
                <c:pt idx="724">
                  <c:v>2000</c:v>
                </c:pt>
                <c:pt idx="725">
                  <c:v>2250</c:v>
                </c:pt>
                <c:pt idx="726">
                  <c:v>2500</c:v>
                </c:pt>
                <c:pt idx="727">
                  <c:v>2750</c:v>
                </c:pt>
                <c:pt idx="728">
                  <c:v>3000</c:v>
                </c:pt>
                <c:pt idx="729">
                  <c:v>3250</c:v>
                </c:pt>
                <c:pt idx="730">
                  <c:v>3500</c:v>
                </c:pt>
                <c:pt idx="731">
                  <c:v>3750</c:v>
                </c:pt>
                <c:pt idx="732">
                  <c:v>4000</c:v>
                </c:pt>
                <c:pt idx="733">
                  <c:v>4250</c:v>
                </c:pt>
                <c:pt idx="734">
                  <c:v>4500</c:v>
                </c:pt>
                <c:pt idx="735">
                  <c:v>4750</c:v>
                </c:pt>
                <c:pt idx="736">
                  <c:v>5000</c:v>
                </c:pt>
                <c:pt idx="737">
                  <c:v>5250</c:v>
                </c:pt>
                <c:pt idx="738">
                  <c:v>5500</c:v>
                </c:pt>
                <c:pt idx="739">
                  <c:v>5750</c:v>
                </c:pt>
                <c:pt idx="740">
                  <c:v>6000</c:v>
                </c:pt>
                <c:pt idx="741">
                  <c:v>6250</c:v>
                </c:pt>
                <c:pt idx="742">
                  <c:v>6500</c:v>
                </c:pt>
                <c:pt idx="743">
                  <c:v>6750</c:v>
                </c:pt>
                <c:pt idx="744">
                  <c:v>7000</c:v>
                </c:pt>
                <c:pt idx="745">
                  <c:v>7000</c:v>
                </c:pt>
                <c:pt idx="746">
                  <c:v>7000</c:v>
                </c:pt>
                <c:pt idx="747">
                  <c:v>7000</c:v>
                </c:pt>
                <c:pt idx="748">
                  <c:v>7000</c:v>
                </c:pt>
                <c:pt idx="749">
                  <c:v>7000</c:v>
                </c:pt>
                <c:pt idx="750">
                  <c:v>7000</c:v>
                </c:pt>
                <c:pt idx="751">
                  <c:v>7000</c:v>
                </c:pt>
                <c:pt idx="752">
                  <c:v>7000</c:v>
                </c:pt>
                <c:pt idx="753">
                  <c:v>7000</c:v>
                </c:pt>
                <c:pt idx="754">
                  <c:v>7000</c:v>
                </c:pt>
                <c:pt idx="755">
                  <c:v>6500</c:v>
                </c:pt>
                <c:pt idx="756">
                  <c:v>6000</c:v>
                </c:pt>
                <c:pt idx="757">
                  <c:v>5500</c:v>
                </c:pt>
                <c:pt idx="758">
                  <c:v>5000</c:v>
                </c:pt>
                <c:pt idx="759">
                  <c:v>4500</c:v>
                </c:pt>
                <c:pt idx="760">
                  <c:v>4000</c:v>
                </c:pt>
                <c:pt idx="761">
                  <c:v>3500</c:v>
                </c:pt>
                <c:pt idx="762">
                  <c:v>3000</c:v>
                </c:pt>
                <c:pt idx="763">
                  <c:v>2500</c:v>
                </c:pt>
                <c:pt idx="764">
                  <c:v>2000</c:v>
                </c:pt>
                <c:pt idx="765">
                  <c:v>2000</c:v>
                </c:pt>
                <c:pt idx="766">
                  <c:v>2000</c:v>
                </c:pt>
                <c:pt idx="767">
                  <c:v>2000</c:v>
                </c:pt>
                <c:pt idx="768">
                  <c:v>2000</c:v>
                </c:pt>
                <c:pt idx="769">
                  <c:v>2000</c:v>
                </c:pt>
                <c:pt idx="770">
                  <c:v>2000</c:v>
                </c:pt>
                <c:pt idx="771">
                  <c:v>2000</c:v>
                </c:pt>
                <c:pt idx="772">
                  <c:v>2000</c:v>
                </c:pt>
                <c:pt idx="773">
                  <c:v>2000</c:v>
                </c:pt>
                <c:pt idx="774">
                  <c:v>2000</c:v>
                </c:pt>
                <c:pt idx="775">
                  <c:v>2000</c:v>
                </c:pt>
                <c:pt idx="776">
                  <c:v>2000</c:v>
                </c:pt>
                <c:pt idx="777">
                  <c:v>2000</c:v>
                </c:pt>
                <c:pt idx="778">
                  <c:v>2000</c:v>
                </c:pt>
                <c:pt idx="779">
                  <c:v>2000</c:v>
                </c:pt>
                <c:pt idx="780">
                  <c:v>2000</c:v>
                </c:pt>
                <c:pt idx="781">
                  <c:v>2000</c:v>
                </c:pt>
                <c:pt idx="782">
                  <c:v>2000</c:v>
                </c:pt>
                <c:pt idx="783">
                  <c:v>2250</c:v>
                </c:pt>
                <c:pt idx="784">
                  <c:v>2500</c:v>
                </c:pt>
                <c:pt idx="785">
                  <c:v>2750</c:v>
                </c:pt>
                <c:pt idx="786">
                  <c:v>3000</c:v>
                </c:pt>
                <c:pt idx="787">
                  <c:v>3250</c:v>
                </c:pt>
                <c:pt idx="788">
                  <c:v>3500</c:v>
                </c:pt>
                <c:pt idx="789">
                  <c:v>3750</c:v>
                </c:pt>
                <c:pt idx="790">
                  <c:v>4000</c:v>
                </c:pt>
                <c:pt idx="791">
                  <c:v>4250</c:v>
                </c:pt>
                <c:pt idx="792">
                  <c:v>4500</c:v>
                </c:pt>
                <c:pt idx="793">
                  <c:v>4750</c:v>
                </c:pt>
                <c:pt idx="794">
                  <c:v>5000</c:v>
                </c:pt>
                <c:pt idx="795">
                  <c:v>5250</c:v>
                </c:pt>
                <c:pt idx="796">
                  <c:v>5500</c:v>
                </c:pt>
                <c:pt idx="797">
                  <c:v>5750</c:v>
                </c:pt>
                <c:pt idx="798">
                  <c:v>6000</c:v>
                </c:pt>
                <c:pt idx="799">
                  <c:v>6250</c:v>
                </c:pt>
                <c:pt idx="800">
                  <c:v>6500</c:v>
                </c:pt>
                <c:pt idx="801">
                  <c:v>6750</c:v>
                </c:pt>
                <c:pt idx="802">
                  <c:v>7000</c:v>
                </c:pt>
                <c:pt idx="803">
                  <c:v>7000</c:v>
                </c:pt>
                <c:pt idx="804">
                  <c:v>7000</c:v>
                </c:pt>
                <c:pt idx="805">
                  <c:v>7000</c:v>
                </c:pt>
                <c:pt idx="806">
                  <c:v>7000</c:v>
                </c:pt>
                <c:pt idx="807">
                  <c:v>7000</c:v>
                </c:pt>
                <c:pt idx="808">
                  <c:v>7000</c:v>
                </c:pt>
                <c:pt idx="809">
                  <c:v>7000</c:v>
                </c:pt>
                <c:pt idx="810">
                  <c:v>7000</c:v>
                </c:pt>
                <c:pt idx="811">
                  <c:v>7000</c:v>
                </c:pt>
                <c:pt idx="812">
                  <c:v>7000</c:v>
                </c:pt>
                <c:pt idx="813">
                  <c:v>7000</c:v>
                </c:pt>
                <c:pt idx="814">
                  <c:v>7000</c:v>
                </c:pt>
                <c:pt idx="815">
                  <c:v>7000</c:v>
                </c:pt>
                <c:pt idx="816">
                  <c:v>7000</c:v>
                </c:pt>
                <c:pt idx="817">
                  <c:v>7000</c:v>
                </c:pt>
                <c:pt idx="818">
                  <c:v>7000</c:v>
                </c:pt>
                <c:pt idx="819">
                  <c:v>7000</c:v>
                </c:pt>
                <c:pt idx="820">
                  <c:v>7000</c:v>
                </c:pt>
                <c:pt idx="821">
                  <c:v>6750</c:v>
                </c:pt>
                <c:pt idx="822">
                  <c:v>6500</c:v>
                </c:pt>
                <c:pt idx="823">
                  <c:v>6250</c:v>
                </c:pt>
                <c:pt idx="824">
                  <c:v>6000</c:v>
                </c:pt>
                <c:pt idx="825">
                  <c:v>5750</c:v>
                </c:pt>
                <c:pt idx="826">
                  <c:v>5500</c:v>
                </c:pt>
                <c:pt idx="827">
                  <c:v>5250</c:v>
                </c:pt>
                <c:pt idx="828">
                  <c:v>5000</c:v>
                </c:pt>
                <c:pt idx="829">
                  <c:v>4750</c:v>
                </c:pt>
                <c:pt idx="830">
                  <c:v>4500</c:v>
                </c:pt>
                <c:pt idx="831">
                  <c:v>4250</c:v>
                </c:pt>
                <c:pt idx="832">
                  <c:v>4000</c:v>
                </c:pt>
                <c:pt idx="833">
                  <c:v>3750</c:v>
                </c:pt>
                <c:pt idx="834">
                  <c:v>3500</c:v>
                </c:pt>
                <c:pt idx="835">
                  <c:v>3250</c:v>
                </c:pt>
                <c:pt idx="836">
                  <c:v>3000</c:v>
                </c:pt>
                <c:pt idx="837">
                  <c:v>3000</c:v>
                </c:pt>
                <c:pt idx="838">
                  <c:v>3000</c:v>
                </c:pt>
                <c:pt idx="839">
                  <c:v>3000</c:v>
                </c:pt>
                <c:pt idx="840">
                  <c:v>3000</c:v>
                </c:pt>
                <c:pt idx="841">
                  <c:v>3000</c:v>
                </c:pt>
                <c:pt idx="842">
                  <c:v>3000</c:v>
                </c:pt>
                <c:pt idx="843">
                  <c:v>3000</c:v>
                </c:pt>
                <c:pt idx="844">
                  <c:v>3000</c:v>
                </c:pt>
                <c:pt idx="845">
                  <c:v>3000</c:v>
                </c:pt>
                <c:pt idx="846">
                  <c:v>3000</c:v>
                </c:pt>
                <c:pt idx="847">
                  <c:v>3000</c:v>
                </c:pt>
                <c:pt idx="848">
                  <c:v>3000</c:v>
                </c:pt>
                <c:pt idx="849">
                  <c:v>3000</c:v>
                </c:pt>
                <c:pt idx="850">
                  <c:v>3000</c:v>
                </c:pt>
                <c:pt idx="851">
                  <c:v>3000</c:v>
                </c:pt>
                <c:pt idx="852">
                  <c:v>3000</c:v>
                </c:pt>
                <c:pt idx="853">
                  <c:v>3000</c:v>
                </c:pt>
                <c:pt idx="854">
                  <c:v>3000</c:v>
                </c:pt>
                <c:pt idx="855">
                  <c:v>3000</c:v>
                </c:pt>
                <c:pt idx="856">
                  <c:v>3000</c:v>
                </c:pt>
                <c:pt idx="857">
                  <c:v>3000</c:v>
                </c:pt>
                <c:pt idx="858">
                  <c:v>3250</c:v>
                </c:pt>
                <c:pt idx="859">
                  <c:v>3500</c:v>
                </c:pt>
                <c:pt idx="860">
                  <c:v>3750</c:v>
                </c:pt>
                <c:pt idx="861">
                  <c:v>4000</c:v>
                </c:pt>
                <c:pt idx="862">
                  <c:v>4250</c:v>
                </c:pt>
                <c:pt idx="863">
                  <c:v>4500</c:v>
                </c:pt>
                <c:pt idx="864">
                  <c:v>4750</c:v>
                </c:pt>
                <c:pt idx="865">
                  <c:v>5000</c:v>
                </c:pt>
                <c:pt idx="866">
                  <c:v>5250</c:v>
                </c:pt>
                <c:pt idx="867">
                  <c:v>5500</c:v>
                </c:pt>
                <c:pt idx="868">
                  <c:v>5750</c:v>
                </c:pt>
                <c:pt idx="869">
                  <c:v>6000</c:v>
                </c:pt>
                <c:pt idx="870">
                  <c:v>6250</c:v>
                </c:pt>
                <c:pt idx="871">
                  <c:v>6500</c:v>
                </c:pt>
                <c:pt idx="872">
                  <c:v>6750</c:v>
                </c:pt>
                <c:pt idx="873">
                  <c:v>7000</c:v>
                </c:pt>
                <c:pt idx="874">
                  <c:v>7000</c:v>
                </c:pt>
                <c:pt idx="875">
                  <c:v>7000</c:v>
                </c:pt>
                <c:pt idx="876">
                  <c:v>7000</c:v>
                </c:pt>
                <c:pt idx="877">
                  <c:v>7000</c:v>
                </c:pt>
                <c:pt idx="878">
                  <c:v>7000</c:v>
                </c:pt>
                <c:pt idx="879">
                  <c:v>7000</c:v>
                </c:pt>
                <c:pt idx="880">
                  <c:v>7000</c:v>
                </c:pt>
                <c:pt idx="881">
                  <c:v>7000</c:v>
                </c:pt>
                <c:pt idx="882">
                  <c:v>7000</c:v>
                </c:pt>
                <c:pt idx="883">
                  <c:v>7000</c:v>
                </c:pt>
                <c:pt idx="884">
                  <c:v>7000</c:v>
                </c:pt>
                <c:pt idx="885">
                  <c:v>7000</c:v>
                </c:pt>
                <c:pt idx="886">
                  <c:v>7000</c:v>
                </c:pt>
                <c:pt idx="887">
                  <c:v>7000</c:v>
                </c:pt>
                <c:pt idx="888">
                  <c:v>7000</c:v>
                </c:pt>
                <c:pt idx="889">
                  <c:v>7000</c:v>
                </c:pt>
                <c:pt idx="890">
                  <c:v>7000</c:v>
                </c:pt>
                <c:pt idx="891">
                  <c:v>7000</c:v>
                </c:pt>
                <c:pt idx="892">
                  <c:v>7000</c:v>
                </c:pt>
                <c:pt idx="893">
                  <c:v>7000</c:v>
                </c:pt>
                <c:pt idx="894">
                  <c:v>7000</c:v>
                </c:pt>
                <c:pt idx="895">
                  <c:v>7000</c:v>
                </c:pt>
                <c:pt idx="896">
                  <c:v>7000</c:v>
                </c:pt>
                <c:pt idx="897">
                  <c:v>7000</c:v>
                </c:pt>
                <c:pt idx="898">
                  <c:v>7000</c:v>
                </c:pt>
                <c:pt idx="899">
                  <c:v>7000</c:v>
                </c:pt>
                <c:pt idx="900">
                  <c:v>7000</c:v>
                </c:pt>
                <c:pt idx="901">
                  <c:v>7000</c:v>
                </c:pt>
                <c:pt idx="902">
                  <c:v>7000</c:v>
                </c:pt>
                <c:pt idx="903">
                  <c:v>7000</c:v>
                </c:pt>
                <c:pt idx="904">
                  <c:v>7000</c:v>
                </c:pt>
                <c:pt idx="905">
                  <c:v>7000</c:v>
                </c:pt>
                <c:pt idx="906">
                  <c:v>7000</c:v>
                </c:pt>
                <c:pt idx="907">
                  <c:v>7000</c:v>
                </c:pt>
                <c:pt idx="908">
                  <c:v>7000</c:v>
                </c:pt>
                <c:pt idx="909">
                  <c:v>7000</c:v>
                </c:pt>
                <c:pt idx="910">
                  <c:v>7000</c:v>
                </c:pt>
                <c:pt idx="911">
                  <c:v>7000</c:v>
                </c:pt>
                <c:pt idx="912">
                  <c:v>7000</c:v>
                </c:pt>
                <c:pt idx="913">
                  <c:v>7000</c:v>
                </c:pt>
                <c:pt idx="914">
                  <c:v>7000</c:v>
                </c:pt>
                <c:pt idx="915">
                  <c:v>7000</c:v>
                </c:pt>
                <c:pt idx="916">
                  <c:v>7000</c:v>
                </c:pt>
                <c:pt idx="917">
                  <c:v>7000</c:v>
                </c:pt>
                <c:pt idx="918">
                  <c:v>7000</c:v>
                </c:pt>
                <c:pt idx="919">
                  <c:v>7000</c:v>
                </c:pt>
                <c:pt idx="920">
                  <c:v>7000</c:v>
                </c:pt>
                <c:pt idx="921">
                  <c:v>7000</c:v>
                </c:pt>
                <c:pt idx="922">
                  <c:v>7000</c:v>
                </c:pt>
                <c:pt idx="923">
                  <c:v>7000</c:v>
                </c:pt>
                <c:pt idx="924">
                  <c:v>7000</c:v>
                </c:pt>
                <c:pt idx="925">
                  <c:v>7000</c:v>
                </c:pt>
                <c:pt idx="926">
                  <c:v>7000</c:v>
                </c:pt>
                <c:pt idx="927">
                  <c:v>7000</c:v>
                </c:pt>
                <c:pt idx="928">
                  <c:v>7000</c:v>
                </c:pt>
                <c:pt idx="929">
                  <c:v>7000</c:v>
                </c:pt>
                <c:pt idx="930">
                  <c:v>7000</c:v>
                </c:pt>
                <c:pt idx="931">
                  <c:v>7000</c:v>
                </c:pt>
                <c:pt idx="932">
                  <c:v>7000</c:v>
                </c:pt>
                <c:pt idx="933">
                  <c:v>7000</c:v>
                </c:pt>
                <c:pt idx="934">
                  <c:v>7000</c:v>
                </c:pt>
                <c:pt idx="935">
                  <c:v>7000</c:v>
                </c:pt>
                <c:pt idx="936">
                  <c:v>7000</c:v>
                </c:pt>
                <c:pt idx="937">
                  <c:v>7000</c:v>
                </c:pt>
                <c:pt idx="938">
                  <c:v>7000</c:v>
                </c:pt>
                <c:pt idx="939">
                  <c:v>7000</c:v>
                </c:pt>
                <c:pt idx="940">
                  <c:v>7000</c:v>
                </c:pt>
                <c:pt idx="941">
                  <c:v>7000</c:v>
                </c:pt>
                <c:pt idx="942">
                  <c:v>7000</c:v>
                </c:pt>
                <c:pt idx="943">
                  <c:v>7000</c:v>
                </c:pt>
                <c:pt idx="944">
                  <c:v>7000</c:v>
                </c:pt>
                <c:pt idx="945">
                  <c:v>7000</c:v>
                </c:pt>
                <c:pt idx="946">
                  <c:v>7000</c:v>
                </c:pt>
                <c:pt idx="947">
                  <c:v>7000</c:v>
                </c:pt>
                <c:pt idx="948">
                  <c:v>7000</c:v>
                </c:pt>
                <c:pt idx="949">
                  <c:v>7000</c:v>
                </c:pt>
                <c:pt idx="950">
                  <c:v>7000</c:v>
                </c:pt>
                <c:pt idx="951">
                  <c:v>7000</c:v>
                </c:pt>
                <c:pt idx="952">
                  <c:v>7000</c:v>
                </c:pt>
                <c:pt idx="953">
                  <c:v>7000</c:v>
                </c:pt>
                <c:pt idx="954">
                  <c:v>7000</c:v>
                </c:pt>
                <c:pt idx="955">
                  <c:v>7000</c:v>
                </c:pt>
                <c:pt idx="956">
                  <c:v>7000</c:v>
                </c:pt>
                <c:pt idx="957">
                  <c:v>7000</c:v>
                </c:pt>
                <c:pt idx="958">
                  <c:v>7000</c:v>
                </c:pt>
                <c:pt idx="959">
                  <c:v>7000</c:v>
                </c:pt>
                <c:pt idx="960">
                  <c:v>7000</c:v>
                </c:pt>
                <c:pt idx="961">
                  <c:v>7000</c:v>
                </c:pt>
                <c:pt idx="962">
                  <c:v>7000</c:v>
                </c:pt>
                <c:pt idx="963">
                  <c:v>7000</c:v>
                </c:pt>
                <c:pt idx="964">
                  <c:v>7000</c:v>
                </c:pt>
                <c:pt idx="965">
                  <c:v>7000</c:v>
                </c:pt>
                <c:pt idx="966">
                  <c:v>7000</c:v>
                </c:pt>
                <c:pt idx="967">
                  <c:v>7000</c:v>
                </c:pt>
                <c:pt idx="968">
                  <c:v>7000</c:v>
                </c:pt>
                <c:pt idx="969">
                  <c:v>7000</c:v>
                </c:pt>
                <c:pt idx="970">
                  <c:v>6500</c:v>
                </c:pt>
                <c:pt idx="971">
                  <c:v>6000</c:v>
                </c:pt>
                <c:pt idx="972">
                  <c:v>5500</c:v>
                </c:pt>
                <c:pt idx="973">
                  <c:v>5000</c:v>
                </c:pt>
                <c:pt idx="974">
                  <c:v>4500</c:v>
                </c:pt>
                <c:pt idx="975">
                  <c:v>4000</c:v>
                </c:pt>
                <c:pt idx="976">
                  <c:v>3500</c:v>
                </c:pt>
                <c:pt idx="977">
                  <c:v>3000</c:v>
                </c:pt>
                <c:pt idx="978">
                  <c:v>2500</c:v>
                </c:pt>
                <c:pt idx="979">
                  <c:v>2000</c:v>
                </c:pt>
                <c:pt idx="980">
                  <c:v>2000</c:v>
                </c:pt>
                <c:pt idx="981">
                  <c:v>2000</c:v>
                </c:pt>
                <c:pt idx="982">
                  <c:v>2000</c:v>
                </c:pt>
                <c:pt idx="983">
                  <c:v>2000</c:v>
                </c:pt>
                <c:pt idx="984">
                  <c:v>2000</c:v>
                </c:pt>
                <c:pt idx="985">
                  <c:v>2000</c:v>
                </c:pt>
                <c:pt idx="986">
                  <c:v>2000</c:v>
                </c:pt>
                <c:pt idx="987">
                  <c:v>2000</c:v>
                </c:pt>
                <c:pt idx="988">
                  <c:v>2000</c:v>
                </c:pt>
                <c:pt idx="989">
                  <c:v>2000</c:v>
                </c:pt>
                <c:pt idx="990">
                  <c:v>2000</c:v>
                </c:pt>
                <c:pt idx="991">
                  <c:v>2000</c:v>
                </c:pt>
                <c:pt idx="992">
                  <c:v>2500</c:v>
                </c:pt>
                <c:pt idx="993">
                  <c:v>3000</c:v>
                </c:pt>
                <c:pt idx="994">
                  <c:v>3500</c:v>
                </c:pt>
                <c:pt idx="995">
                  <c:v>4000</c:v>
                </c:pt>
                <c:pt idx="996">
                  <c:v>4500</c:v>
                </c:pt>
                <c:pt idx="997">
                  <c:v>5000</c:v>
                </c:pt>
                <c:pt idx="998">
                  <c:v>5500</c:v>
                </c:pt>
                <c:pt idx="999">
                  <c:v>6000</c:v>
                </c:pt>
                <c:pt idx="1000">
                  <c:v>6500</c:v>
                </c:pt>
                <c:pt idx="1001">
                  <c:v>7000</c:v>
                </c:pt>
                <c:pt idx="1002">
                  <c:v>7000</c:v>
                </c:pt>
                <c:pt idx="1003">
                  <c:v>6500</c:v>
                </c:pt>
                <c:pt idx="1004">
                  <c:v>6000</c:v>
                </c:pt>
                <c:pt idx="1005">
                  <c:v>5500</c:v>
                </c:pt>
                <c:pt idx="1006">
                  <c:v>5000</c:v>
                </c:pt>
                <c:pt idx="1007">
                  <c:v>4500</c:v>
                </c:pt>
                <c:pt idx="1008">
                  <c:v>4000</c:v>
                </c:pt>
                <c:pt idx="1009">
                  <c:v>3500</c:v>
                </c:pt>
                <c:pt idx="1010">
                  <c:v>3000</c:v>
                </c:pt>
                <c:pt idx="1011">
                  <c:v>2500</c:v>
                </c:pt>
                <c:pt idx="1012">
                  <c:v>2000</c:v>
                </c:pt>
                <c:pt idx="1013">
                  <c:v>1500</c:v>
                </c:pt>
                <c:pt idx="1014">
                  <c:v>1500</c:v>
                </c:pt>
                <c:pt idx="1015">
                  <c:v>1500</c:v>
                </c:pt>
                <c:pt idx="1016">
                  <c:v>1500</c:v>
                </c:pt>
                <c:pt idx="1017">
                  <c:v>1500</c:v>
                </c:pt>
                <c:pt idx="1018">
                  <c:v>1500</c:v>
                </c:pt>
                <c:pt idx="1019">
                  <c:v>1500</c:v>
                </c:pt>
                <c:pt idx="1020">
                  <c:v>2000</c:v>
                </c:pt>
                <c:pt idx="1021">
                  <c:v>2500</c:v>
                </c:pt>
                <c:pt idx="1022">
                  <c:v>3000</c:v>
                </c:pt>
                <c:pt idx="1023">
                  <c:v>3500</c:v>
                </c:pt>
                <c:pt idx="1024">
                  <c:v>4000</c:v>
                </c:pt>
                <c:pt idx="1025">
                  <c:v>4500</c:v>
                </c:pt>
                <c:pt idx="1026">
                  <c:v>5000</c:v>
                </c:pt>
                <c:pt idx="1027">
                  <c:v>5500</c:v>
                </c:pt>
                <c:pt idx="1028">
                  <c:v>6000</c:v>
                </c:pt>
                <c:pt idx="1029">
                  <c:v>6500</c:v>
                </c:pt>
                <c:pt idx="1030">
                  <c:v>7000</c:v>
                </c:pt>
                <c:pt idx="1031">
                  <c:v>7000</c:v>
                </c:pt>
                <c:pt idx="1032">
                  <c:v>7000</c:v>
                </c:pt>
                <c:pt idx="1033">
                  <c:v>7000</c:v>
                </c:pt>
                <c:pt idx="1034">
                  <c:v>7000</c:v>
                </c:pt>
                <c:pt idx="1035">
                  <c:v>7000</c:v>
                </c:pt>
                <c:pt idx="1036">
                  <c:v>7000</c:v>
                </c:pt>
                <c:pt idx="1037">
                  <c:v>6500</c:v>
                </c:pt>
                <c:pt idx="1038">
                  <c:v>6000</c:v>
                </c:pt>
                <c:pt idx="1039">
                  <c:v>5500</c:v>
                </c:pt>
                <c:pt idx="1040">
                  <c:v>5000</c:v>
                </c:pt>
                <c:pt idx="1041">
                  <c:v>4500</c:v>
                </c:pt>
                <c:pt idx="1042">
                  <c:v>4000</c:v>
                </c:pt>
                <c:pt idx="1043">
                  <c:v>3500</c:v>
                </c:pt>
                <c:pt idx="1044">
                  <c:v>3000</c:v>
                </c:pt>
                <c:pt idx="1045">
                  <c:v>2500</c:v>
                </c:pt>
                <c:pt idx="1046">
                  <c:v>2000</c:v>
                </c:pt>
                <c:pt idx="1047">
                  <c:v>1500</c:v>
                </c:pt>
                <c:pt idx="1048">
                  <c:v>1500</c:v>
                </c:pt>
                <c:pt idx="1049">
                  <c:v>1000</c:v>
                </c:pt>
                <c:pt idx="1050">
                  <c:v>500</c:v>
                </c:pt>
                <c:pt idx="1051">
                  <c:v>500</c:v>
                </c:pt>
                <c:pt idx="1052">
                  <c:v>500</c:v>
                </c:pt>
                <c:pt idx="1053">
                  <c:v>500</c:v>
                </c:pt>
                <c:pt idx="1054">
                  <c:v>500</c:v>
                </c:pt>
                <c:pt idx="1055">
                  <c:v>500</c:v>
                </c:pt>
                <c:pt idx="1056">
                  <c:v>500</c:v>
                </c:pt>
                <c:pt idx="1057">
                  <c:v>500</c:v>
                </c:pt>
                <c:pt idx="1058">
                  <c:v>500</c:v>
                </c:pt>
                <c:pt idx="1059">
                  <c:v>1000</c:v>
                </c:pt>
                <c:pt idx="1060">
                  <c:v>1500</c:v>
                </c:pt>
                <c:pt idx="1061">
                  <c:v>2000</c:v>
                </c:pt>
                <c:pt idx="1062">
                  <c:v>2500</c:v>
                </c:pt>
                <c:pt idx="1063">
                  <c:v>3000</c:v>
                </c:pt>
                <c:pt idx="1064">
                  <c:v>3500</c:v>
                </c:pt>
                <c:pt idx="1065">
                  <c:v>4000</c:v>
                </c:pt>
                <c:pt idx="1066">
                  <c:v>4500</c:v>
                </c:pt>
                <c:pt idx="1067">
                  <c:v>5000</c:v>
                </c:pt>
                <c:pt idx="1068">
                  <c:v>5500</c:v>
                </c:pt>
                <c:pt idx="1069">
                  <c:v>6000</c:v>
                </c:pt>
                <c:pt idx="1070">
                  <c:v>6500</c:v>
                </c:pt>
                <c:pt idx="1071">
                  <c:v>7000</c:v>
                </c:pt>
                <c:pt idx="1072">
                  <c:v>7000</c:v>
                </c:pt>
                <c:pt idx="1073">
                  <c:v>7000</c:v>
                </c:pt>
                <c:pt idx="1074">
                  <c:v>7000</c:v>
                </c:pt>
                <c:pt idx="1075">
                  <c:v>7000</c:v>
                </c:pt>
                <c:pt idx="1076">
                  <c:v>7000</c:v>
                </c:pt>
                <c:pt idx="1077">
                  <c:v>7000</c:v>
                </c:pt>
                <c:pt idx="1078">
                  <c:v>7000</c:v>
                </c:pt>
                <c:pt idx="1079">
                  <c:v>7000</c:v>
                </c:pt>
                <c:pt idx="1080">
                  <c:v>7000</c:v>
                </c:pt>
                <c:pt idx="1081">
                  <c:v>7000</c:v>
                </c:pt>
                <c:pt idx="1082">
                  <c:v>7000</c:v>
                </c:pt>
                <c:pt idx="1083">
                  <c:v>6500</c:v>
                </c:pt>
                <c:pt idx="1084">
                  <c:v>6000</c:v>
                </c:pt>
                <c:pt idx="1085">
                  <c:v>5500</c:v>
                </c:pt>
                <c:pt idx="1086">
                  <c:v>5000</c:v>
                </c:pt>
                <c:pt idx="1087">
                  <c:v>4500</c:v>
                </c:pt>
                <c:pt idx="1088">
                  <c:v>4000</c:v>
                </c:pt>
                <c:pt idx="1089">
                  <c:v>3500</c:v>
                </c:pt>
                <c:pt idx="1090">
                  <c:v>3000</c:v>
                </c:pt>
                <c:pt idx="1091">
                  <c:v>2500</c:v>
                </c:pt>
                <c:pt idx="1092">
                  <c:v>2000</c:v>
                </c:pt>
                <c:pt idx="1093">
                  <c:v>2000</c:v>
                </c:pt>
                <c:pt idx="1094">
                  <c:v>2000</c:v>
                </c:pt>
                <c:pt idx="1095">
                  <c:v>2000</c:v>
                </c:pt>
                <c:pt idx="1096">
                  <c:v>2000</c:v>
                </c:pt>
                <c:pt idx="1097">
                  <c:v>2000</c:v>
                </c:pt>
                <c:pt idx="1098">
                  <c:v>2000</c:v>
                </c:pt>
                <c:pt idx="1099">
                  <c:v>2000</c:v>
                </c:pt>
                <c:pt idx="1100">
                  <c:v>2000</c:v>
                </c:pt>
                <c:pt idx="1101">
                  <c:v>2000</c:v>
                </c:pt>
                <c:pt idx="1102">
                  <c:v>2000</c:v>
                </c:pt>
                <c:pt idx="1103">
                  <c:v>2000</c:v>
                </c:pt>
                <c:pt idx="1104">
                  <c:v>3000</c:v>
                </c:pt>
                <c:pt idx="1105">
                  <c:v>4000</c:v>
                </c:pt>
                <c:pt idx="1106">
                  <c:v>5000</c:v>
                </c:pt>
                <c:pt idx="1107">
                  <c:v>6000</c:v>
                </c:pt>
                <c:pt idx="1108">
                  <c:v>7000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2D-4463-8FBE-C671C31F9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27896"/>
        <c:axId val="1496728224"/>
      </c:scatterChart>
      <c:valAx>
        <c:axId val="1496727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8224"/>
        <c:crosses val="autoZero"/>
        <c:crossBetween val="midCat"/>
      </c:valAx>
      <c:valAx>
        <c:axId val="149672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7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Consumption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Cycle'!$X$3:$X$1111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0.13823075593878625</c:v>
                </c:pt>
                <c:pt idx="3">
                  <c:v>0.17092309371352873</c:v>
                </c:pt>
                <c:pt idx="4">
                  <c:v>0.16395307186203698</c:v>
                </c:pt>
                <c:pt idx="5">
                  <c:v>0.17586368134367869</c:v>
                </c:pt>
                <c:pt idx="6">
                  <c:v>0.17293334191301135</c:v>
                </c:pt>
                <c:pt idx="7">
                  <c:v>0.17015401505145694</c:v>
                </c:pt>
                <c:pt idx="8">
                  <c:v>0.17497065769173878</c:v>
                </c:pt>
                <c:pt idx="9">
                  <c:v>0.18525296363370422</c:v>
                </c:pt>
                <c:pt idx="10">
                  <c:v>0.1890484996100279</c:v>
                </c:pt>
                <c:pt idx="11">
                  <c:v>4.6309499006110581E-2</c:v>
                </c:pt>
                <c:pt idx="12">
                  <c:v>5.1539848697424048E-2</c:v>
                </c:pt>
                <c:pt idx="13">
                  <c:v>5.7225011405373463E-2</c:v>
                </c:pt>
                <c:pt idx="14">
                  <c:v>5.95113852066423E-2</c:v>
                </c:pt>
                <c:pt idx="15">
                  <c:v>5.9389075527499745E-2</c:v>
                </c:pt>
                <c:pt idx="16">
                  <c:v>5.9389075527499745E-2</c:v>
                </c:pt>
                <c:pt idx="17">
                  <c:v>5.9389075527499745E-2</c:v>
                </c:pt>
                <c:pt idx="18">
                  <c:v>5.9389075527499745E-2</c:v>
                </c:pt>
                <c:pt idx="19">
                  <c:v>5.9389075527499745E-2</c:v>
                </c:pt>
                <c:pt idx="20">
                  <c:v>5.9389075527499745E-2</c:v>
                </c:pt>
                <c:pt idx="21">
                  <c:v>5.9389075527499745E-2</c:v>
                </c:pt>
                <c:pt idx="22">
                  <c:v>5.9389075527499745E-2</c:v>
                </c:pt>
                <c:pt idx="23">
                  <c:v>5.9389075527499745E-2</c:v>
                </c:pt>
                <c:pt idx="24">
                  <c:v>5.9389075527499745E-2</c:v>
                </c:pt>
                <c:pt idx="25">
                  <c:v>5.9389075527499745E-2</c:v>
                </c:pt>
                <c:pt idx="26">
                  <c:v>5.9389075527499745E-2</c:v>
                </c:pt>
                <c:pt idx="27">
                  <c:v>5.9389075527499745E-2</c:v>
                </c:pt>
                <c:pt idx="28">
                  <c:v>5.9389075527499745E-2</c:v>
                </c:pt>
                <c:pt idx="29">
                  <c:v>5.9389075527499745E-2</c:v>
                </c:pt>
                <c:pt idx="30">
                  <c:v>5.9389075527499745E-2</c:v>
                </c:pt>
                <c:pt idx="31">
                  <c:v>5.9389075527499745E-2</c:v>
                </c:pt>
                <c:pt idx="32">
                  <c:v>5.9389075527499745E-2</c:v>
                </c:pt>
                <c:pt idx="33">
                  <c:v>5.9389075527499745E-2</c:v>
                </c:pt>
                <c:pt idx="34">
                  <c:v>5.9389075527499745E-2</c:v>
                </c:pt>
                <c:pt idx="35">
                  <c:v>5.9389075527499745E-2</c:v>
                </c:pt>
                <c:pt idx="36">
                  <c:v>5.9389075527499745E-2</c:v>
                </c:pt>
                <c:pt idx="37">
                  <c:v>5.9389075527499745E-2</c:v>
                </c:pt>
                <c:pt idx="38">
                  <c:v>5.9389075527499745E-2</c:v>
                </c:pt>
                <c:pt idx="39">
                  <c:v>5.9389075527499745E-2</c:v>
                </c:pt>
                <c:pt idx="40">
                  <c:v>5.9389075527499745E-2</c:v>
                </c:pt>
                <c:pt idx="41">
                  <c:v>5.9389075527499745E-2</c:v>
                </c:pt>
                <c:pt idx="42">
                  <c:v>5.9389075527499745E-2</c:v>
                </c:pt>
                <c:pt idx="43">
                  <c:v>5.9389075527499745E-2</c:v>
                </c:pt>
                <c:pt idx="44">
                  <c:v>5.9389075527499745E-2</c:v>
                </c:pt>
                <c:pt idx="45">
                  <c:v>5.9389075527499745E-2</c:v>
                </c:pt>
                <c:pt idx="46">
                  <c:v>5.9389075527499745E-2</c:v>
                </c:pt>
                <c:pt idx="47">
                  <c:v>5.9389075527499745E-2</c:v>
                </c:pt>
                <c:pt idx="48">
                  <c:v>5.9389075527499745E-2</c:v>
                </c:pt>
                <c:pt idx="49">
                  <c:v>5.9389075527499745E-2</c:v>
                </c:pt>
                <c:pt idx="50">
                  <c:v>5.9389075527499745E-2</c:v>
                </c:pt>
                <c:pt idx="51">
                  <c:v>5.9389075527499745E-2</c:v>
                </c:pt>
                <c:pt idx="52">
                  <c:v>5.9389075527499745E-2</c:v>
                </c:pt>
                <c:pt idx="53">
                  <c:v>5.9389075527499745E-2</c:v>
                </c:pt>
                <c:pt idx="54">
                  <c:v>5.9389075527499745E-2</c:v>
                </c:pt>
                <c:pt idx="55">
                  <c:v>5.9389075527499745E-2</c:v>
                </c:pt>
                <c:pt idx="56">
                  <c:v>5.9389075527499745E-2</c:v>
                </c:pt>
                <c:pt idx="57">
                  <c:v>5.9389075527499745E-2</c:v>
                </c:pt>
                <c:pt idx="58">
                  <c:v>5.9389075527499745E-2</c:v>
                </c:pt>
                <c:pt idx="59">
                  <c:v>5.9389075527499745E-2</c:v>
                </c:pt>
                <c:pt idx="60">
                  <c:v>5.9389075527499745E-2</c:v>
                </c:pt>
                <c:pt idx="61">
                  <c:v>5.9389075527499745E-2</c:v>
                </c:pt>
                <c:pt idx="62">
                  <c:v>5.9389075527499745E-2</c:v>
                </c:pt>
                <c:pt idx="63">
                  <c:v>5.9389075527499745E-2</c:v>
                </c:pt>
                <c:pt idx="64">
                  <c:v>5.9389075527499745E-2</c:v>
                </c:pt>
                <c:pt idx="65">
                  <c:v>5.9389075527499745E-2</c:v>
                </c:pt>
                <c:pt idx="66">
                  <c:v>5.9389075527499745E-2</c:v>
                </c:pt>
                <c:pt idx="67">
                  <c:v>5.9389075527499745E-2</c:v>
                </c:pt>
                <c:pt idx="68">
                  <c:v>5.9389075527499745E-2</c:v>
                </c:pt>
                <c:pt idx="69">
                  <c:v>5.9389075527499745E-2</c:v>
                </c:pt>
                <c:pt idx="70">
                  <c:v>5.9389075527499745E-2</c:v>
                </c:pt>
                <c:pt idx="71">
                  <c:v>5.9389075527499745E-2</c:v>
                </c:pt>
                <c:pt idx="72">
                  <c:v>5.9389075527499745E-2</c:v>
                </c:pt>
                <c:pt idx="73">
                  <c:v>5.9389075527499745E-2</c:v>
                </c:pt>
                <c:pt idx="74">
                  <c:v>5.9389075527499745E-2</c:v>
                </c:pt>
                <c:pt idx="75">
                  <c:v>5.9389075527499745E-2</c:v>
                </c:pt>
                <c:pt idx="76">
                  <c:v>5.9389075527499745E-2</c:v>
                </c:pt>
                <c:pt idx="77">
                  <c:v>5.9389075527499745E-2</c:v>
                </c:pt>
                <c:pt idx="78">
                  <c:v>5.9389075527499745E-2</c:v>
                </c:pt>
                <c:pt idx="79">
                  <c:v>5.9389075527499745E-2</c:v>
                </c:pt>
                <c:pt idx="80">
                  <c:v>5.9389075527499745E-2</c:v>
                </c:pt>
                <c:pt idx="81">
                  <c:v>5.9389075527499745E-2</c:v>
                </c:pt>
                <c:pt idx="82">
                  <c:v>5.9389075527499745E-2</c:v>
                </c:pt>
                <c:pt idx="83">
                  <c:v>5.9389075527499745E-2</c:v>
                </c:pt>
                <c:pt idx="84">
                  <c:v>5.9389075527499745E-2</c:v>
                </c:pt>
                <c:pt idx="85">
                  <c:v>5.9389075527499745E-2</c:v>
                </c:pt>
                <c:pt idx="86">
                  <c:v>5.9389075527499745E-2</c:v>
                </c:pt>
                <c:pt idx="87">
                  <c:v>5.9389075527499745E-2</c:v>
                </c:pt>
                <c:pt idx="88">
                  <c:v>5.9389075527499745E-2</c:v>
                </c:pt>
                <c:pt idx="89">
                  <c:v>5.9389075527499745E-2</c:v>
                </c:pt>
                <c:pt idx="90">
                  <c:v>5.9389075527499745E-2</c:v>
                </c:pt>
                <c:pt idx="91">
                  <c:v>5.9389075527499745E-2</c:v>
                </c:pt>
                <c:pt idx="92">
                  <c:v>5.9389075527499745E-2</c:v>
                </c:pt>
                <c:pt idx="93">
                  <c:v>4.5207841254058558E-2</c:v>
                </c:pt>
                <c:pt idx="94">
                  <c:v>2.9006691159531799E-2</c:v>
                </c:pt>
                <c:pt idx="95">
                  <c:v>2.6290994927020788E-2</c:v>
                </c:pt>
                <c:pt idx="96">
                  <c:v>2.4118980540695133E-2</c:v>
                </c:pt>
                <c:pt idx="97">
                  <c:v>2.1450657769370478E-2</c:v>
                </c:pt>
                <c:pt idx="98">
                  <c:v>9.945614513988732E-2</c:v>
                </c:pt>
                <c:pt idx="99">
                  <c:v>9.945614513988732E-2</c:v>
                </c:pt>
                <c:pt idx="100">
                  <c:v>9.945614513988732E-2</c:v>
                </c:pt>
                <c:pt idx="101">
                  <c:v>9.945614513988732E-2</c:v>
                </c:pt>
                <c:pt idx="102">
                  <c:v>9.945614513988732E-2</c:v>
                </c:pt>
                <c:pt idx="103">
                  <c:v>9.945614513988732E-2</c:v>
                </c:pt>
                <c:pt idx="104">
                  <c:v>9.945614513988732E-2</c:v>
                </c:pt>
                <c:pt idx="105">
                  <c:v>9.945614513988732E-2</c:v>
                </c:pt>
                <c:pt idx="106">
                  <c:v>9.945614513988732E-2</c:v>
                </c:pt>
                <c:pt idx="107">
                  <c:v>9.945614513988732E-2</c:v>
                </c:pt>
                <c:pt idx="108">
                  <c:v>9.945614513988732E-2</c:v>
                </c:pt>
                <c:pt idx="109">
                  <c:v>9.718319963118438E-2</c:v>
                </c:pt>
                <c:pt idx="110">
                  <c:v>5.2304839380802118E-2</c:v>
                </c:pt>
                <c:pt idx="111">
                  <c:v>5.7560893705610287E-2</c:v>
                </c:pt>
                <c:pt idx="112">
                  <c:v>5.9860687381732988E-2</c:v>
                </c:pt>
                <c:pt idx="113">
                  <c:v>5.9737659805723972E-2</c:v>
                </c:pt>
                <c:pt idx="114">
                  <c:v>5.9737659805723972E-2</c:v>
                </c:pt>
                <c:pt idx="115">
                  <c:v>5.9737659805723972E-2</c:v>
                </c:pt>
                <c:pt idx="116">
                  <c:v>4.0454449382620633E-2</c:v>
                </c:pt>
                <c:pt idx="117">
                  <c:v>4.1477678734305454E-2</c:v>
                </c:pt>
                <c:pt idx="118">
                  <c:v>4.3972310393376769E-2</c:v>
                </c:pt>
                <c:pt idx="119">
                  <c:v>4.3822276764097466E-2</c:v>
                </c:pt>
                <c:pt idx="120">
                  <c:v>4.9154651989038921E-2</c:v>
                </c:pt>
                <c:pt idx="121">
                  <c:v>1.7980065666595615E-2</c:v>
                </c:pt>
                <c:pt idx="122">
                  <c:v>2.3346344179787686E-2</c:v>
                </c:pt>
                <c:pt idx="123">
                  <c:v>2.307328297449936E-2</c:v>
                </c:pt>
                <c:pt idx="124">
                  <c:v>2.307328297449936E-2</c:v>
                </c:pt>
                <c:pt idx="125">
                  <c:v>2.307328297449936E-2</c:v>
                </c:pt>
                <c:pt idx="126">
                  <c:v>2.307328297449936E-2</c:v>
                </c:pt>
                <c:pt idx="127">
                  <c:v>2.307328297449936E-2</c:v>
                </c:pt>
                <c:pt idx="128">
                  <c:v>2.307328297449936E-2</c:v>
                </c:pt>
                <c:pt idx="129">
                  <c:v>2.307328297449936E-2</c:v>
                </c:pt>
                <c:pt idx="130">
                  <c:v>2.307328297449936E-2</c:v>
                </c:pt>
                <c:pt idx="131">
                  <c:v>2.307328297449936E-2</c:v>
                </c:pt>
                <c:pt idx="132">
                  <c:v>2.307328297449936E-2</c:v>
                </c:pt>
                <c:pt idx="133">
                  <c:v>2.3073282974499325E-2</c:v>
                </c:pt>
                <c:pt idx="134">
                  <c:v>2.3073282974499325E-2</c:v>
                </c:pt>
                <c:pt idx="135">
                  <c:v>2.3073282974499325E-2</c:v>
                </c:pt>
                <c:pt idx="136">
                  <c:v>2.3073282974499325E-2</c:v>
                </c:pt>
                <c:pt idx="137">
                  <c:v>2.3073282974499325E-2</c:v>
                </c:pt>
                <c:pt idx="138">
                  <c:v>2.3073282974499325E-2</c:v>
                </c:pt>
                <c:pt idx="139">
                  <c:v>2.3073282974499325E-2</c:v>
                </c:pt>
                <c:pt idx="140">
                  <c:v>2.3073282974499325E-2</c:v>
                </c:pt>
                <c:pt idx="141">
                  <c:v>2.3073282974499325E-2</c:v>
                </c:pt>
                <c:pt idx="142">
                  <c:v>2.3073282974499332E-2</c:v>
                </c:pt>
                <c:pt idx="143">
                  <c:v>2.3073282974499332E-2</c:v>
                </c:pt>
                <c:pt idx="144">
                  <c:v>2.3073282974499332E-2</c:v>
                </c:pt>
                <c:pt idx="145">
                  <c:v>4.8694108542555466E-2</c:v>
                </c:pt>
                <c:pt idx="146">
                  <c:v>5.9737659805723972E-2</c:v>
                </c:pt>
                <c:pt idx="147">
                  <c:v>5.9737659805723972E-2</c:v>
                </c:pt>
                <c:pt idx="148">
                  <c:v>5.9737659805723972E-2</c:v>
                </c:pt>
                <c:pt idx="149">
                  <c:v>5.9737659805723972E-2</c:v>
                </c:pt>
                <c:pt idx="150">
                  <c:v>5.9737659805723972E-2</c:v>
                </c:pt>
                <c:pt idx="151">
                  <c:v>5.9737659805723972E-2</c:v>
                </c:pt>
                <c:pt idx="152">
                  <c:v>5.9737659805723972E-2</c:v>
                </c:pt>
                <c:pt idx="153">
                  <c:v>5.9737659805723972E-2</c:v>
                </c:pt>
                <c:pt idx="154">
                  <c:v>5.9737659805723972E-2</c:v>
                </c:pt>
                <c:pt idx="155">
                  <c:v>5.9737659805723972E-2</c:v>
                </c:pt>
                <c:pt idx="156">
                  <c:v>5.9737659805723972E-2</c:v>
                </c:pt>
                <c:pt idx="157">
                  <c:v>5.3531492924801492E-2</c:v>
                </c:pt>
                <c:pt idx="158">
                  <c:v>4.8082875844836039E-2</c:v>
                </c:pt>
                <c:pt idx="159">
                  <c:v>0.10802080716099006</c:v>
                </c:pt>
                <c:pt idx="160">
                  <c:v>0.11307393853703522</c:v>
                </c:pt>
                <c:pt idx="161">
                  <c:v>0.12088014810442677</c:v>
                </c:pt>
                <c:pt idx="162">
                  <c:v>0.12845283480982211</c:v>
                </c:pt>
                <c:pt idx="163">
                  <c:v>0.12156078128724181</c:v>
                </c:pt>
                <c:pt idx="164">
                  <c:v>0.12246667786082979</c:v>
                </c:pt>
                <c:pt idx="165">
                  <c:v>0.1279053041055519</c:v>
                </c:pt>
                <c:pt idx="166">
                  <c:v>0.13298728761572792</c:v>
                </c:pt>
                <c:pt idx="167">
                  <c:v>2.4474532561448773E-2</c:v>
                </c:pt>
                <c:pt idx="168">
                  <c:v>2.4474532561448773E-2</c:v>
                </c:pt>
                <c:pt idx="169">
                  <c:v>2.4474532561448773E-2</c:v>
                </c:pt>
                <c:pt idx="170">
                  <c:v>2.4474532561448773E-2</c:v>
                </c:pt>
                <c:pt idx="171">
                  <c:v>2.4474532561448773E-2</c:v>
                </c:pt>
                <c:pt idx="172">
                  <c:v>2.4474532561448773E-2</c:v>
                </c:pt>
                <c:pt idx="173">
                  <c:v>2.4474532561448773E-2</c:v>
                </c:pt>
                <c:pt idx="174">
                  <c:v>2.4474532561448773E-2</c:v>
                </c:pt>
                <c:pt idx="175">
                  <c:v>2.4474532561448773E-2</c:v>
                </c:pt>
                <c:pt idx="176">
                  <c:v>2.4474532561448773E-2</c:v>
                </c:pt>
                <c:pt idx="177">
                  <c:v>2.4474532561448773E-2</c:v>
                </c:pt>
                <c:pt idx="178">
                  <c:v>0.16893518410665634</c:v>
                </c:pt>
                <c:pt idx="179">
                  <c:v>0.17111518696866321</c:v>
                </c:pt>
                <c:pt idx="180">
                  <c:v>0.173739182266924</c:v>
                </c:pt>
                <c:pt idx="181">
                  <c:v>0.17771373737774554</c:v>
                </c:pt>
                <c:pt idx="182">
                  <c:v>0.18011434126388132</c:v>
                </c:pt>
                <c:pt idx="183">
                  <c:v>0.17636805246354967</c:v>
                </c:pt>
                <c:pt idx="184">
                  <c:v>0.18733690618793777</c:v>
                </c:pt>
                <c:pt idx="185">
                  <c:v>0.1921603626695812</c:v>
                </c:pt>
                <c:pt idx="186">
                  <c:v>0.19742593248593066</c:v>
                </c:pt>
                <c:pt idx="187">
                  <c:v>0.20313361563698618</c:v>
                </c:pt>
                <c:pt idx="188">
                  <c:v>5.9737659805723972E-2</c:v>
                </c:pt>
                <c:pt idx="189">
                  <c:v>5.9737659805723972E-2</c:v>
                </c:pt>
                <c:pt idx="190">
                  <c:v>5.9737659805723972E-2</c:v>
                </c:pt>
                <c:pt idx="191">
                  <c:v>5.9737659805723972E-2</c:v>
                </c:pt>
                <c:pt idx="192">
                  <c:v>5.9737659805723972E-2</c:v>
                </c:pt>
                <c:pt idx="193">
                  <c:v>5.9737659805723972E-2</c:v>
                </c:pt>
                <c:pt idx="194">
                  <c:v>5.9737659805723972E-2</c:v>
                </c:pt>
                <c:pt idx="195">
                  <c:v>5.9737659805723972E-2</c:v>
                </c:pt>
                <c:pt idx="196">
                  <c:v>5.9737659805723972E-2</c:v>
                </c:pt>
                <c:pt idx="197">
                  <c:v>5.9737659805723972E-2</c:v>
                </c:pt>
                <c:pt idx="198">
                  <c:v>5.9737659805723972E-2</c:v>
                </c:pt>
                <c:pt idx="199">
                  <c:v>5.9737659805723972E-2</c:v>
                </c:pt>
                <c:pt idx="200">
                  <c:v>5.9737659805723972E-2</c:v>
                </c:pt>
                <c:pt idx="201">
                  <c:v>5.9737659805723972E-2</c:v>
                </c:pt>
                <c:pt idx="202">
                  <c:v>5.9737659805723972E-2</c:v>
                </c:pt>
                <c:pt idx="203">
                  <c:v>5.9737659805723972E-2</c:v>
                </c:pt>
                <c:pt idx="204">
                  <c:v>5.9737659805723972E-2</c:v>
                </c:pt>
                <c:pt idx="205">
                  <c:v>5.9737659805723972E-2</c:v>
                </c:pt>
                <c:pt idx="206">
                  <c:v>5.9737659805723972E-2</c:v>
                </c:pt>
                <c:pt idx="207">
                  <c:v>5.9737659805723972E-2</c:v>
                </c:pt>
                <c:pt idx="208">
                  <c:v>5.9737659805723972E-2</c:v>
                </c:pt>
                <c:pt idx="209">
                  <c:v>5.9737659805723972E-2</c:v>
                </c:pt>
                <c:pt idx="210">
                  <c:v>5.9737659805723972E-2</c:v>
                </c:pt>
                <c:pt idx="211">
                  <c:v>5.9737659805723972E-2</c:v>
                </c:pt>
                <c:pt idx="212">
                  <c:v>5.9737659805723972E-2</c:v>
                </c:pt>
                <c:pt idx="213">
                  <c:v>5.9737659805723972E-2</c:v>
                </c:pt>
                <c:pt idx="214">
                  <c:v>5.3531492924801492E-2</c:v>
                </c:pt>
                <c:pt idx="215">
                  <c:v>4.8082875844836039E-2</c:v>
                </c:pt>
                <c:pt idx="216">
                  <c:v>4.3091741307269046E-2</c:v>
                </c:pt>
                <c:pt idx="217">
                  <c:v>0.11619654690500357</c:v>
                </c:pt>
                <c:pt idx="218">
                  <c:v>0.12088014810442677</c:v>
                </c:pt>
                <c:pt idx="219">
                  <c:v>0.11771924441687411</c:v>
                </c:pt>
                <c:pt idx="220">
                  <c:v>0.11982111903399162</c:v>
                </c:pt>
                <c:pt idx="221">
                  <c:v>0.12864875805170717</c:v>
                </c:pt>
                <c:pt idx="222">
                  <c:v>0.12050473753945619</c:v>
                </c:pt>
                <c:pt idx="223">
                  <c:v>0.11157166184640568</c:v>
                </c:pt>
                <c:pt idx="224">
                  <c:v>2.7196863641449482E-2</c:v>
                </c:pt>
                <c:pt idx="225">
                  <c:v>2.7196863641449482E-2</c:v>
                </c:pt>
                <c:pt idx="226">
                  <c:v>2.7196863641449482E-2</c:v>
                </c:pt>
                <c:pt idx="227">
                  <c:v>2.7196863641449482E-2</c:v>
                </c:pt>
                <c:pt idx="228">
                  <c:v>2.7196863641449482E-2</c:v>
                </c:pt>
                <c:pt idx="229">
                  <c:v>2.7196863641449482E-2</c:v>
                </c:pt>
                <c:pt idx="230">
                  <c:v>2.7196863641449482E-2</c:v>
                </c:pt>
                <c:pt idx="231">
                  <c:v>2.7196863641449482E-2</c:v>
                </c:pt>
                <c:pt idx="232">
                  <c:v>2.7196863641449482E-2</c:v>
                </c:pt>
                <c:pt idx="233">
                  <c:v>2.7196863641449482E-2</c:v>
                </c:pt>
                <c:pt idx="234">
                  <c:v>2.7196863641449482E-2</c:v>
                </c:pt>
                <c:pt idx="235">
                  <c:v>2.7196863641449482E-2</c:v>
                </c:pt>
                <c:pt idx="236">
                  <c:v>0.10295712515834116</c:v>
                </c:pt>
                <c:pt idx="237">
                  <c:v>0.10392667722870878</c:v>
                </c:pt>
                <c:pt idx="238">
                  <c:v>0.10255106714733879</c:v>
                </c:pt>
                <c:pt idx="239">
                  <c:v>0.10315672138336468</c:v>
                </c:pt>
                <c:pt idx="240">
                  <c:v>0.1022213485733915</c:v>
                </c:pt>
                <c:pt idx="241">
                  <c:v>0.10211135625017792</c:v>
                </c:pt>
                <c:pt idx="242">
                  <c:v>0.1025007681603074</c:v>
                </c:pt>
                <c:pt idx="243">
                  <c:v>0.10671102528665732</c:v>
                </c:pt>
                <c:pt idx="244">
                  <c:v>0.10735413892172363</c:v>
                </c:pt>
                <c:pt idx="245">
                  <c:v>0.12004799704629088</c:v>
                </c:pt>
                <c:pt idx="246">
                  <c:v>0.120589628214909</c:v>
                </c:pt>
                <c:pt idx="247">
                  <c:v>0.12190685878134022</c:v>
                </c:pt>
                <c:pt idx="248">
                  <c:v>0.12152912505822436</c:v>
                </c:pt>
                <c:pt idx="249">
                  <c:v>0.12299891316577032</c:v>
                </c:pt>
                <c:pt idx="250">
                  <c:v>0.12265852822747385</c:v>
                </c:pt>
                <c:pt idx="251">
                  <c:v>5.0532235647039764E-2</c:v>
                </c:pt>
                <c:pt idx="252">
                  <c:v>5.4614527070210889E-2</c:v>
                </c:pt>
                <c:pt idx="253">
                  <c:v>5.9687391818091351E-2</c:v>
                </c:pt>
                <c:pt idx="254">
                  <c:v>5.9389075527499745E-2</c:v>
                </c:pt>
                <c:pt idx="255">
                  <c:v>5.9389075527499745E-2</c:v>
                </c:pt>
                <c:pt idx="256">
                  <c:v>5.9389075527499745E-2</c:v>
                </c:pt>
                <c:pt idx="257">
                  <c:v>5.9389075527499745E-2</c:v>
                </c:pt>
                <c:pt idx="258">
                  <c:v>5.9389075527499745E-2</c:v>
                </c:pt>
                <c:pt idx="259">
                  <c:v>5.9389075527499745E-2</c:v>
                </c:pt>
                <c:pt idx="260">
                  <c:v>5.9389075527499745E-2</c:v>
                </c:pt>
                <c:pt idx="261">
                  <c:v>5.9389075527499745E-2</c:v>
                </c:pt>
                <c:pt idx="262">
                  <c:v>5.9389075527499745E-2</c:v>
                </c:pt>
                <c:pt idx="263">
                  <c:v>5.9389075527499745E-2</c:v>
                </c:pt>
                <c:pt idx="264">
                  <c:v>5.9389075527499745E-2</c:v>
                </c:pt>
                <c:pt idx="265">
                  <c:v>6.1000617420397141E-2</c:v>
                </c:pt>
                <c:pt idx="266">
                  <c:v>5.9737659805723972E-2</c:v>
                </c:pt>
                <c:pt idx="267">
                  <c:v>4.7817141542029047E-2</c:v>
                </c:pt>
                <c:pt idx="268">
                  <c:v>1.3093695597798981E-2</c:v>
                </c:pt>
                <c:pt idx="269">
                  <c:v>1.0714104860959101E-2</c:v>
                </c:pt>
                <c:pt idx="270">
                  <c:v>7.818837721457781E-3</c:v>
                </c:pt>
                <c:pt idx="271">
                  <c:v>8.4041607473836308E-2</c:v>
                </c:pt>
                <c:pt idx="272">
                  <c:v>8.4041607473836308E-2</c:v>
                </c:pt>
                <c:pt idx="273">
                  <c:v>8.4041607473836308E-2</c:v>
                </c:pt>
                <c:pt idx="274">
                  <c:v>8.4041607473836308E-2</c:v>
                </c:pt>
                <c:pt idx="275">
                  <c:v>8.4041607473836308E-2</c:v>
                </c:pt>
                <c:pt idx="276">
                  <c:v>8.4041607473836308E-2</c:v>
                </c:pt>
                <c:pt idx="277">
                  <c:v>8.4041607473836308E-2</c:v>
                </c:pt>
                <c:pt idx="278">
                  <c:v>8.404160747383628E-2</c:v>
                </c:pt>
                <c:pt idx="279">
                  <c:v>8.404160747383628E-2</c:v>
                </c:pt>
                <c:pt idx="280">
                  <c:v>8.404160747383628E-2</c:v>
                </c:pt>
                <c:pt idx="281">
                  <c:v>8.404160747383628E-2</c:v>
                </c:pt>
                <c:pt idx="282">
                  <c:v>8.404160747383628E-2</c:v>
                </c:pt>
                <c:pt idx="283">
                  <c:v>8.404160747383628E-2</c:v>
                </c:pt>
                <c:pt idx="284">
                  <c:v>8.404160747383628E-2</c:v>
                </c:pt>
                <c:pt idx="285">
                  <c:v>0.21472337371178674</c:v>
                </c:pt>
                <c:pt idx="286">
                  <c:v>5.4980544812169387E-2</c:v>
                </c:pt>
                <c:pt idx="287">
                  <c:v>5.7410860076330984E-2</c:v>
                </c:pt>
                <c:pt idx="288">
                  <c:v>5.95113852066423E-2</c:v>
                </c:pt>
                <c:pt idx="289">
                  <c:v>5.9389075527499745E-2</c:v>
                </c:pt>
                <c:pt idx="290">
                  <c:v>5.9389075527499745E-2</c:v>
                </c:pt>
                <c:pt idx="291">
                  <c:v>5.9389075527499745E-2</c:v>
                </c:pt>
                <c:pt idx="292">
                  <c:v>5.9389075527499745E-2</c:v>
                </c:pt>
                <c:pt idx="293">
                  <c:v>5.9389075527499745E-2</c:v>
                </c:pt>
                <c:pt idx="294">
                  <c:v>5.9389075527499745E-2</c:v>
                </c:pt>
                <c:pt idx="295">
                  <c:v>5.9389075527499745E-2</c:v>
                </c:pt>
                <c:pt idx="296">
                  <c:v>9.6625939561975141E-2</c:v>
                </c:pt>
                <c:pt idx="297">
                  <c:v>0.10298514750701984</c:v>
                </c:pt>
                <c:pt idx="298">
                  <c:v>0.10848038204766046</c:v>
                </c:pt>
                <c:pt idx="299">
                  <c:v>0.11662057789844452</c:v>
                </c:pt>
                <c:pt idx="300">
                  <c:v>0.12455632857794051</c:v>
                </c:pt>
                <c:pt idx="301">
                  <c:v>0.11842267173451758</c:v>
                </c:pt>
                <c:pt idx="302">
                  <c:v>0.11982111903399162</c:v>
                </c:pt>
                <c:pt idx="303">
                  <c:v>0.12621085716667596</c:v>
                </c:pt>
                <c:pt idx="304">
                  <c:v>0.12846591070053393</c:v>
                </c:pt>
                <c:pt idx="305">
                  <c:v>2.6144649760067567E-2</c:v>
                </c:pt>
                <c:pt idx="306">
                  <c:v>2.6144649760067567E-2</c:v>
                </c:pt>
                <c:pt idx="307">
                  <c:v>2.6144649760067567E-2</c:v>
                </c:pt>
                <c:pt idx="308">
                  <c:v>2.6144649760067567E-2</c:v>
                </c:pt>
                <c:pt idx="309">
                  <c:v>2.6144649760067567E-2</c:v>
                </c:pt>
                <c:pt idx="310">
                  <c:v>2.6144649760067567E-2</c:v>
                </c:pt>
                <c:pt idx="311">
                  <c:v>2.6144649760067567E-2</c:v>
                </c:pt>
                <c:pt idx="312">
                  <c:v>2.6144649760067567E-2</c:v>
                </c:pt>
                <c:pt idx="313">
                  <c:v>9.7482851821240252E-2</c:v>
                </c:pt>
                <c:pt idx="314">
                  <c:v>0.11174922446559366</c:v>
                </c:pt>
                <c:pt idx="315">
                  <c:v>0.1096390171485716</c:v>
                </c:pt>
                <c:pt idx="316">
                  <c:v>0.10787555321952036</c:v>
                </c:pt>
                <c:pt idx="317">
                  <c:v>0.10613841185196254</c:v>
                </c:pt>
                <c:pt idx="318">
                  <c:v>0.1073411566166934</c:v>
                </c:pt>
                <c:pt idx="319">
                  <c:v>0.10814420821757097</c:v>
                </c:pt>
                <c:pt idx="320">
                  <c:v>0.10936879665550697</c:v>
                </c:pt>
                <c:pt idx="321">
                  <c:v>0.11133813701754064</c:v>
                </c:pt>
                <c:pt idx="322">
                  <c:v>0.11342118063373331</c:v>
                </c:pt>
                <c:pt idx="323">
                  <c:v>5.9080366472173745E-3</c:v>
                </c:pt>
                <c:pt idx="324">
                  <c:v>9.4602663571913303E-4</c:v>
                </c:pt>
                <c:pt idx="325">
                  <c:v>4.470796392415077E-3</c:v>
                </c:pt>
                <c:pt idx="326">
                  <c:v>1.0342432437185235E-2</c:v>
                </c:pt>
                <c:pt idx="327">
                  <c:v>1.0044116146593634E-2</c:v>
                </c:pt>
                <c:pt idx="328">
                  <c:v>0.14626052926456951</c:v>
                </c:pt>
                <c:pt idx="329">
                  <c:v>0.15306251948035854</c:v>
                </c:pt>
                <c:pt idx="330">
                  <c:v>0.14598329529353682</c:v>
                </c:pt>
                <c:pt idx="331">
                  <c:v>0.15348992430014236</c:v>
                </c:pt>
                <c:pt idx="332">
                  <c:v>0.16073635643044573</c:v>
                </c:pt>
                <c:pt idx="333">
                  <c:v>0.16769464594449945</c:v>
                </c:pt>
                <c:pt idx="334">
                  <c:v>0.16838795962465528</c:v>
                </c:pt>
                <c:pt idx="335">
                  <c:v>0.12232326622487232</c:v>
                </c:pt>
                <c:pt idx="336">
                  <c:v>7.6642861778470781E-2</c:v>
                </c:pt>
                <c:pt idx="337">
                  <c:v>8.0423533982997716E-2</c:v>
                </c:pt>
                <c:pt idx="338">
                  <c:v>8.1827757222783765E-2</c:v>
                </c:pt>
                <c:pt idx="339">
                  <c:v>7.6874272756979098E-2</c:v>
                </c:pt>
                <c:pt idx="340">
                  <c:v>7.6874272756979098E-2</c:v>
                </c:pt>
                <c:pt idx="341">
                  <c:v>7.6874272756979098E-2</c:v>
                </c:pt>
                <c:pt idx="342">
                  <c:v>7.6874272756979098E-2</c:v>
                </c:pt>
                <c:pt idx="343">
                  <c:v>0.14004907085044999</c:v>
                </c:pt>
                <c:pt idx="344">
                  <c:v>0.14878345416547958</c:v>
                </c:pt>
                <c:pt idx="345">
                  <c:v>0.14584654212950734</c:v>
                </c:pt>
                <c:pt idx="346">
                  <c:v>0.1458559686914013</c:v>
                </c:pt>
                <c:pt idx="347">
                  <c:v>0.15289299653711333</c:v>
                </c:pt>
                <c:pt idx="348">
                  <c:v>0.15181132290427557</c:v>
                </c:pt>
                <c:pt idx="349">
                  <c:v>0.15144091865795659</c:v>
                </c:pt>
                <c:pt idx="350">
                  <c:v>9.0740120924749201E-2</c:v>
                </c:pt>
                <c:pt idx="351">
                  <c:v>9.1593263798875724E-2</c:v>
                </c:pt>
                <c:pt idx="352">
                  <c:v>9.1949868323396397E-2</c:v>
                </c:pt>
                <c:pt idx="353">
                  <c:v>9.261766401259601E-2</c:v>
                </c:pt>
                <c:pt idx="354">
                  <c:v>9.3904262086782361E-2</c:v>
                </c:pt>
                <c:pt idx="355">
                  <c:v>9.5062888977292509E-2</c:v>
                </c:pt>
                <c:pt idx="356">
                  <c:v>9.7719923946271936E-2</c:v>
                </c:pt>
                <c:pt idx="357">
                  <c:v>9.9062192043257891E-2</c:v>
                </c:pt>
                <c:pt idx="358">
                  <c:v>0.10574006675713445</c:v>
                </c:pt>
                <c:pt idx="359">
                  <c:v>0.10803544281067312</c:v>
                </c:pt>
                <c:pt idx="360">
                  <c:v>0.11232699356690833</c:v>
                </c:pt>
                <c:pt idx="361">
                  <c:v>0.11202867727631674</c:v>
                </c:pt>
                <c:pt idx="362">
                  <c:v>0.11202867727631674</c:v>
                </c:pt>
                <c:pt idx="363">
                  <c:v>0.11202867727631674</c:v>
                </c:pt>
                <c:pt idx="364">
                  <c:v>0.11202867727631674</c:v>
                </c:pt>
                <c:pt idx="365">
                  <c:v>0.11202867727631674</c:v>
                </c:pt>
                <c:pt idx="366">
                  <c:v>0.11202867727631674</c:v>
                </c:pt>
                <c:pt idx="367">
                  <c:v>4.6293587290014192E-3</c:v>
                </c:pt>
                <c:pt idx="368">
                  <c:v>8.9233887775409595E-3</c:v>
                </c:pt>
                <c:pt idx="369">
                  <c:v>1.2971444745342012E-2</c:v>
                </c:pt>
                <c:pt idx="370">
                  <c:v>1.7245261051227666E-2</c:v>
                </c:pt>
                <c:pt idx="371">
                  <c:v>2.1477189166837843E-2</c:v>
                </c:pt>
                <c:pt idx="372">
                  <c:v>2.5642694790637584E-2</c:v>
                </c:pt>
                <c:pt idx="373">
                  <c:v>2.9116671139915448E-2</c:v>
                </c:pt>
                <c:pt idx="374">
                  <c:v>3.2585641114544386E-2</c:v>
                </c:pt>
                <c:pt idx="375">
                  <c:v>3.5848512146440754E-2</c:v>
                </c:pt>
                <c:pt idx="376">
                  <c:v>3.8892264428660742E-2</c:v>
                </c:pt>
                <c:pt idx="377">
                  <c:v>4.4094971597291477E-2</c:v>
                </c:pt>
                <c:pt idx="378">
                  <c:v>4.3543655760845651E-2</c:v>
                </c:pt>
                <c:pt idx="379">
                  <c:v>4.5161538383945203E-2</c:v>
                </c:pt>
                <c:pt idx="380">
                  <c:v>4.6478699329888719E-2</c:v>
                </c:pt>
                <c:pt idx="381">
                  <c:v>7.364709729355623E-2</c:v>
                </c:pt>
                <c:pt idx="382">
                  <c:v>7.364709729355623E-2</c:v>
                </c:pt>
                <c:pt idx="383">
                  <c:v>7.364709729355623E-2</c:v>
                </c:pt>
                <c:pt idx="384">
                  <c:v>7.364709729355623E-2</c:v>
                </c:pt>
                <c:pt idx="385">
                  <c:v>7.364709729355623E-2</c:v>
                </c:pt>
                <c:pt idx="386">
                  <c:v>7.364709729355623E-2</c:v>
                </c:pt>
                <c:pt idx="387">
                  <c:v>7.364709729355623E-2</c:v>
                </c:pt>
                <c:pt idx="388">
                  <c:v>7.364709729355623E-2</c:v>
                </c:pt>
                <c:pt idx="389">
                  <c:v>7.364709729355623E-2</c:v>
                </c:pt>
                <c:pt idx="390">
                  <c:v>7.364709729355623E-2</c:v>
                </c:pt>
                <c:pt idx="391">
                  <c:v>0.15228914883543851</c:v>
                </c:pt>
                <c:pt idx="392">
                  <c:v>0.17201231800773609</c:v>
                </c:pt>
                <c:pt idx="393">
                  <c:v>0.18527509967608663</c:v>
                </c:pt>
                <c:pt idx="394">
                  <c:v>0.18242646595208734</c:v>
                </c:pt>
                <c:pt idx="395">
                  <c:v>0.17232047397092654</c:v>
                </c:pt>
                <c:pt idx="396">
                  <c:v>0.20643426778062157</c:v>
                </c:pt>
                <c:pt idx="397">
                  <c:v>0.22767723807571491</c:v>
                </c:pt>
                <c:pt idx="398">
                  <c:v>0.2317900190890648</c:v>
                </c:pt>
                <c:pt idx="399">
                  <c:v>0.24427284510413272</c:v>
                </c:pt>
                <c:pt idx="400">
                  <c:v>0.24930156417681051</c:v>
                </c:pt>
                <c:pt idx="401">
                  <c:v>0.25478088531693255</c:v>
                </c:pt>
                <c:pt idx="402">
                  <c:v>0.22272073691107322</c:v>
                </c:pt>
                <c:pt idx="403">
                  <c:v>4.6293587290014192E-3</c:v>
                </c:pt>
                <c:pt idx="404">
                  <c:v>9.2123833566214522E-3</c:v>
                </c:pt>
                <c:pt idx="405">
                  <c:v>1.2916491488944257E-2</c:v>
                </c:pt>
                <c:pt idx="406">
                  <c:v>1.7182557493180914E-2</c:v>
                </c:pt>
                <c:pt idx="407">
                  <c:v>2.0209425026026892E-2</c:v>
                </c:pt>
                <c:pt idx="408">
                  <c:v>2.3985471814070999E-2</c:v>
                </c:pt>
                <c:pt idx="409">
                  <c:v>2.7232662405405703E-2</c:v>
                </c:pt>
                <c:pt idx="410">
                  <c:v>3.0700604556800626E-2</c:v>
                </c:pt>
                <c:pt idx="411">
                  <c:v>9.0569434293743603E-2</c:v>
                </c:pt>
                <c:pt idx="412">
                  <c:v>9.0569434293743603E-2</c:v>
                </c:pt>
                <c:pt idx="413">
                  <c:v>9.0569434293743603E-2</c:v>
                </c:pt>
                <c:pt idx="414">
                  <c:v>9.0569434293743603E-2</c:v>
                </c:pt>
                <c:pt idx="415">
                  <c:v>9.0569434293743603E-2</c:v>
                </c:pt>
                <c:pt idx="416">
                  <c:v>9.0569434293743603E-2</c:v>
                </c:pt>
                <c:pt idx="417">
                  <c:v>0.19410293089297737</c:v>
                </c:pt>
                <c:pt idx="418">
                  <c:v>0.1928259566572289</c:v>
                </c:pt>
                <c:pt idx="419">
                  <c:v>0.19166945842277414</c:v>
                </c:pt>
                <c:pt idx="420">
                  <c:v>9.7426873803727596E-2</c:v>
                </c:pt>
                <c:pt idx="421">
                  <c:v>0.1002658909039708</c:v>
                </c:pt>
                <c:pt idx="422">
                  <c:v>0.10361551530834369</c:v>
                </c:pt>
                <c:pt idx="423">
                  <c:v>0.10780604874037319</c:v>
                </c:pt>
                <c:pt idx="424">
                  <c:v>0.11225241449426043</c:v>
                </c:pt>
                <c:pt idx="425">
                  <c:v>0.11202867727631674</c:v>
                </c:pt>
                <c:pt idx="426">
                  <c:v>0.11202867727631674</c:v>
                </c:pt>
                <c:pt idx="427">
                  <c:v>0.11202867727631674</c:v>
                </c:pt>
                <c:pt idx="428">
                  <c:v>0.11202867727631674</c:v>
                </c:pt>
                <c:pt idx="429">
                  <c:v>0.11202867727631674</c:v>
                </c:pt>
                <c:pt idx="430">
                  <c:v>0.11202867727631674</c:v>
                </c:pt>
                <c:pt idx="431">
                  <c:v>0.11202867727631674</c:v>
                </c:pt>
                <c:pt idx="432">
                  <c:v>0.11202867727631674</c:v>
                </c:pt>
                <c:pt idx="433">
                  <c:v>0.11202867727631674</c:v>
                </c:pt>
                <c:pt idx="434">
                  <c:v>0.11202867727631674</c:v>
                </c:pt>
                <c:pt idx="435">
                  <c:v>0.11202867727631674</c:v>
                </c:pt>
                <c:pt idx="436">
                  <c:v>0.11202867727631674</c:v>
                </c:pt>
                <c:pt idx="437">
                  <c:v>0.11202867727631674</c:v>
                </c:pt>
                <c:pt idx="438">
                  <c:v>0.11202867727631674</c:v>
                </c:pt>
                <c:pt idx="439">
                  <c:v>0.11202867727631674</c:v>
                </c:pt>
                <c:pt idx="440">
                  <c:v>0.11202867727631674</c:v>
                </c:pt>
                <c:pt idx="441">
                  <c:v>0.11202867727631674</c:v>
                </c:pt>
                <c:pt idx="442">
                  <c:v>0.11202867727631674</c:v>
                </c:pt>
                <c:pt idx="443">
                  <c:v>0.11202867727631674</c:v>
                </c:pt>
                <c:pt idx="444">
                  <c:v>0.11202867727631674</c:v>
                </c:pt>
                <c:pt idx="445">
                  <c:v>0.11202867727631674</c:v>
                </c:pt>
                <c:pt idx="446">
                  <c:v>0.11202867727631674</c:v>
                </c:pt>
                <c:pt idx="447">
                  <c:v>0.11202867727631674</c:v>
                </c:pt>
                <c:pt idx="448">
                  <c:v>0.11202867727631674</c:v>
                </c:pt>
                <c:pt idx="449">
                  <c:v>0.11202867727631674</c:v>
                </c:pt>
                <c:pt idx="450">
                  <c:v>0.11202867727631674</c:v>
                </c:pt>
                <c:pt idx="451">
                  <c:v>0.11202867727631674</c:v>
                </c:pt>
                <c:pt idx="452">
                  <c:v>0.11202867727631674</c:v>
                </c:pt>
                <c:pt idx="453">
                  <c:v>0.11202867727631674</c:v>
                </c:pt>
                <c:pt idx="454">
                  <c:v>0.11202867727631674</c:v>
                </c:pt>
                <c:pt idx="455">
                  <c:v>0.11202867727631674</c:v>
                </c:pt>
                <c:pt idx="456">
                  <c:v>0.11202867727631674</c:v>
                </c:pt>
                <c:pt idx="457">
                  <c:v>0.11202867727631674</c:v>
                </c:pt>
                <c:pt idx="458">
                  <c:v>0.11202867727631674</c:v>
                </c:pt>
                <c:pt idx="459">
                  <c:v>0.11202867727631674</c:v>
                </c:pt>
                <c:pt idx="460">
                  <c:v>0.11202867727631674</c:v>
                </c:pt>
                <c:pt idx="461">
                  <c:v>0.11202867727631674</c:v>
                </c:pt>
                <c:pt idx="462">
                  <c:v>0.11202867727631674</c:v>
                </c:pt>
                <c:pt idx="463">
                  <c:v>0.11202867727631674</c:v>
                </c:pt>
                <c:pt idx="464">
                  <c:v>0.11202867727631674</c:v>
                </c:pt>
                <c:pt idx="465">
                  <c:v>0.11202867727631674</c:v>
                </c:pt>
                <c:pt idx="466">
                  <c:v>0.11202867727631674</c:v>
                </c:pt>
                <c:pt idx="467">
                  <c:v>0.11202867727631674</c:v>
                </c:pt>
                <c:pt idx="468">
                  <c:v>0.11202867727631674</c:v>
                </c:pt>
                <c:pt idx="469">
                  <c:v>0.11202867727631674</c:v>
                </c:pt>
                <c:pt idx="470">
                  <c:v>0.11202867727631674</c:v>
                </c:pt>
                <c:pt idx="471">
                  <c:v>0.11202867727631674</c:v>
                </c:pt>
                <c:pt idx="472">
                  <c:v>0.11202867727631674</c:v>
                </c:pt>
                <c:pt idx="473">
                  <c:v>4.6293587290014192E-3</c:v>
                </c:pt>
                <c:pt idx="474">
                  <c:v>8.9233887775409595E-3</c:v>
                </c:pt>
                <c:pt idx="475">
                  <c:v>1.2971444745342012E-2</c:v>
                </c:pt>
                <c:pt idx="476">
                  <c:v>1.7245261051227666E-2</c:v>
                </c:pt>
                <c:pt idx="477">
                  <c:v>2.1477189166837843E-2</c:v>
                </c:pt>
                <c:pt idx="478">
                  <c:v>2.5642694790637584E-2</c:v>
                </c:pt>
                <c:pt idx="479">
                  <c:v>2.9116671139915448E-2</c:v>
                </c:pt>
                <c:pt idx="480">
                  <c:v>3.2585641114544386E-2</c:v>
                </c:pt>
                <c:pt idx="481">
                  <c:v>3.6330571788737477E-2</c:v>
                </c:pt>
                <c:pt idx="482">
                  <c:v>3.9381387325620333E-2</c:v>
                </c:pt>
                <c:pt idx="483">
                  <c:v>4.4619606600823543E-2</c:v>
                </c:pt>
                <c:pt idx="484">
                  <c:v>4.3543655760845651E-2</c:v>
                </c:pt>
                <c:pt idx="485">
                  <c:v>4.5161538383945203E-2</c:v>
                </c:pt>
                <c:pt idx="486">
                  <c:v>7.4776642762750783E-2</c:v>
                </c:pt>
                <c:pt idx="487">
                  <c:v>7.4776642762750783E-2</c:v>
                </c:pt>
                <c:pt idx="488">
                  <c:v>7.4776642762750783E-2</c:v>
                </c:pt>
                <c:pt idx="489">
                  <c:v>7.4776642762750783E-2</c:v>
                </c:pt>
                <c:pt idx="490">
                  <c:v>7.4776642762750783E-2</c:v>
                </c:pt>
                <c:pt idx="491">
                  <c:v>7.4776642762750783E-2</c:v>
                </c:pt>
                <c:pt idx="492">
                  <c:v>7.4776642762750783E-2</c:v>
                </c:pt>
                <c:pt idx="493">
                  <c:v>0.15341135314687732</c:v>
                </c:pt>
                <c:pt idx="494">
                  <c:v>0.17312382866908954</c:v>
                </c:pt>
                <c:pt idx="495">
                  <c:v>0.18671176153576632</c:v>
                </c:pt>
                <c:pt idx="496">
                  <c:v>0.18407058897848302</c:v>
                </c:pt>
                <c:pt idx="497">
                  <c:v>0.17445855999700377</c:v>
                </c:pt>
                <c:pt idx="498">
                  <c:v>0.19816771235272956</c:v>
                </c:pt>
                <c:pt idx="499">
                  <c:v>0.19695036733959398</c:v>
                </c:pt>
                <c:pt idx="500">
                  <c:v>0.19585873815399221</c:v>
                </c:pt>
                <c:pt idx="501">
                  <c:v>9.7841376765367832E-2</c:v>
                </c:pt>
                <c:pt idx="502">
                  <c:v>0.1025382194853949</c:v>
                </c:pt>
                <c:pt idx="503">
                  <c:v>0.1070801974213175</c:v>
                </c:pt>
                <c:pt idx="504">
                  <c:v>0.11232699356690833</c:v>
                </c:pt>
                <c:pt idx="505">
                  <c:v>0.11202867727631674</c:v>
                </c:pt>
                <c:pt idx="506">
                  <c:v>0.11202867727631674</c:v>
                </c:pt>
                <c:pt idx="507">
                  <c:v>0.11202867727631674</c:v>
                </c:pt>
                <c:pt idx="508">
                  <c:v>0.11202867727631674</c:v>
                </c:pt>
                <c:pt idx="509">
                  <c:v>0.11202867727631674</c:v>
                </c:pt>
                <c:pt idx="510">
                  <c:v>0.11202867727631674</c:v>
                </c:pt>
                <c:pt idx="511">
                  <c:v>0.11202867727631674</c:v>
                </c:pt>
                <c:pt idx="512">
                  <c:v>0.11202867727631674</c:v>
                </c:pt>
                <c:pt idx="513">
                  <c:v>0.11202867727631674</c:v>
                </c:pt>
                <c:pt idx="514">
                  <c:v>0.11202867727631674</c:v>
                </c:pt>
                <c:pt idx="515">
                  <c:v>0.11202867727631674</c:v>
                </c:pt>
                <c:pt idx="516">
                  <c:v>0.11202867727631674</c:v>
                </c:pt>
                <c:pt idx="517">
                  <c:v>0.11202867727631674</c:v>
                </c:pt>
                <c:pt idx="518">
                  <c:v>0.11202867727631674</c:v>
                </c:pt>
                <c:pt idx="519">
                  <c:v>0.11202867727631674</c:v>
                </c:pt>
                <c:pt idx="520">
                  <c:v>0.11202867727631674</c:v>
                </c:pt>
                <c:pt idx="521">
                  <c:v>0.11202867727631674</c:v>
                </c:pt>
                <c:pt idx="522">
                  <c:v>0.11202867727631674</c:v>
                </c:pt>
                <c:pt idx="523">
                  <c:v>0.11202867727631674</c:v>
                </c:pt>
                <c:pt idx="524">
                  <c:v>0.11202867727631674</c:v>
                </c:pt>
                <c:pt idx="525">
                  <c:v>0.11202867727631674</c:v>
                </c:pt>
                <c:pt idx="526">
                  <c:v>0.11202867727631674</c:v>
                </c:pt>
                <c:pt idx="527">
                  <c:v>0.10798871563608106</c:v>
                </c:pt>
                <c:pt idx="528">
                  <c:v>0.10469933349524084</c:v>
                </c:pt>
                <c:pt idx="529">
                  <c:v>0.10113468578075777</c:v>
                </c:pt>
                <c:pt idx="530">
                  <c:v>1.7245261051227666E-2</c:v>
                </c:pt>
                <c:pt idx="531">
                  <c:v>2.1477189166837843E-2</c:v>
                </c:pt>
                <c:pt idx="532">
                  <c:v>2.5642694790637584E-2</c:v>
                </c:pt>
                <c:pt idx="533">
                  <c:v>2.9116671139915448E-2</c:v>
                </c:pt>
                <c:pt idx="534">
                  <c:v>3.2585641114544386E-2</c:v>
                </c:pt>
                <c:pt idx="535">
                  <c:v>3.5848512146440754E-2</c:v>
                </c:pt>
                <c:pt idx="536">
                  <c:v>3.8330634683288838E-2</c:v>
                </c:pt>
                <c:pt idx="537">
                  <c:v>8.1876977821414509E-2</c:v>
                </c:pt>
                <c:pt idx="538">
                  <c:v>8.1876977821414509E-2</c:v>
                </c:pt>
                <c:pt idx="539">
                  <c:v>8.1876977821414509E-2</c:v>
                </c:pt>
                <c:pt idx="540">
                  <c:v>8.1876977821414509E-2</c:v>
                </c:pt>
                <c:pt idx="541">
                  <c:v>8.1876977821414509E-2</c:v>
                </c:pt>
                <c:pt idx="542">
                  <c:v>8.1876977821414509E-2</c:v>
                </c:pt>
                <c:pt idx="543">
                  <c:v>8.1876977821414509E-2</c:v>
                </c:pt>
                <c:pt idx="544">
                  <c:v>0.18407058897848302</c:v>
                </c:pt>
                <c:pt idx="545">
                  <c:v>0.17445855999700377</c:v>
                </c:pt>
                <c:pt idx="546">
                  <c:v>0.19816771235272956</c:v>
                </c:pt>
                <c:pt idx="547">
                  <c:v>0.19695036733959398</c:v>
                </c:pt>
                <c:pt idx="548">
                  <c:v>9.7312190640496371E-2</c:v>
                </c:pt>
                <c:pt idx="549">
                  <c:v>9.7841376765367832E-2</c:v>
                </c:pt>
                <c:pt idx="550">
                  <c:v>0.1025382194853949</c:v>
                </c:pt>
                <c:pt idx="551">
                  <c:v>0.1070801974213175</c:v>
                </c:pt>
                <c:pt idx="552">
                  <c:v>0.11232699356690833</c:v>
                </c:pt>
                <c:pt idx="553">
                  <c:v>0.11202867727631674</c:v>
                </c:pt>
                <c:pt idx="554">
                  <c:v>0.11202867727631674</c:v>
                </c:pt>
                <c:pt idx="555">
                  <c:v>0.11202867727631674</c:v>
                </c:pt>
                <c:pt idx="556">
                  <c:v>0.11202867727631674</c:v>
                </c:pt>
                <c:pt idx="557">
                  <c:v>0.11202867727631674</c:v>
                </c:pt>
                <c:pt idx="558">
                  <c:v>0.11202867727631674</c:v>
                </c:pt>
                <c:pt idx="559">
                  <c:v>0.10735857430448581</c:v>
                </c:pt>
                <c:pt idx="560">
                  <c:v>8.8444885040250571E-3</c:v>
                </c:pt>
                <c:pt idx="561">
                  <c:v>1.2916491488944257E-2</c:v>
                </c:pt>
                <c:pt idx="562">
                  <c:v>1.6720801965667956E-2</c:v>
                </c:pt>
                <c:pt idx="563">
                  <c:v>2.0843307096432361E-2</c:v>
                </c:pt>
                <c:pt idx="564">
                  <c:v>2.4907567835897971E-2</c:v>
                </c:pt>
                <c:pt idx="565">
                  <c:v>2.8889049882529893E-2</c:v>
                </c:pt>
                <c:pt idx="566">
                  <c:v>3.2101088626279875E-2</c:v>
                </c:pt>
                <c:pt idx="567">
                  <c:v>3.5323251061798566E-2</c:v>
                </c:pt>
                <c:pt idx="568">
                  <c:v>3.8330634683288838E-2</c:v>
                </c:pt>
                <c:pt idx="569">
                  <c:v>4.1110219683806834E-2</c:v>
                </c:pt>
                <c:pt idx="570">
                  <c:v>4.6151602546591459E-2</c:v>
                </c:pt>
                <c:pt idx="571">
                  <c:v>4.4672113203319652E-2</c:v>
                </c:pt>
                <c:pt idx="572">
                  <c:v>4.5989274149263161E-2</c:v>
                </c:pt>
                <c:pt idx="573">
                  <c:v>7.364709729355623E-2</c:v>
                </c:pt>
                <c:pt idx="574">
                  <c:v>7.364709729355623E-2</c:v>
                </c:pt>
                <c:pt idx="575">
                  <c:v>7.364709729355623E-2</c:v>
                </c:pt>
                <c:pt idx="576">
                  <c:v>7.364709729355623E-2</c:v>
                </c:pt>
                <c:pt idx="577">
                  <c:v>7.364709729355623E-2</c:v>
                </c:pt>
                <c:pt idx="578">
                  <c:v>7.364709729355623E-2</c:v>
                </c:pt>
                <c:pt idx="579">
                  <c:v>7.364709729355623E-2</c:v>
                </c:pt>
                <c:pt idx="580">
                  <c:v>7.364709729355623E-2</c:v>
                </c:pt>
                <c:pt idx="581">
                  <c:v>7.364709729355623E-2</c:v>
                </c:pt>
                <c:pt idx="582">
                  <c:v>7.364709729355623E-2</c:v>
                </c:pt>
                <c:pt idx="583">
                  <c:v>7.364709729355623E-2</c:v>
                </c:pt>
                <c:pt idx="584">
                  <c:v>0.10236561674377671</c:v>
                </c:pt>
                <c:pt idx="585">
                  <c:v>0.11776057758529132</c:v>
                </c:pt>
                <c:pt idx="586">
                  <c:v>0.11097127345128036</c:v>
                </c:pt>
                <c:pt idx="587">
                  <c:v>0.11352620844364664</c:v>
                </c:pt>
                <c:pt idx="588">
                  <c:v>0.12773390140963864</c:v>
                </c:pt>
                <c:pt idx="589">
                  <c:v>0.1876154714865845</c:v>
                </c:pt>
                <c:pt idx="590">
                  <c:v>0.1870903195428848</c:v>
                </c:pt>
                <c:pt idx="591">
                  <c:v>0.18421242306892632</c:v>
                </c:pt>
                <c:pt idx="592">
                  <c:v>0.22540821966083294</c:v>
                </c:pt>
                <c:pt idx="593">
                  <c:v>0.23610920862172771</c:v>
                </c:pt>
                <c:pt idx="594">
                  <c:v>0.23865874532018977</c:v>
                </c:pt>
                <c:pt idx="595">
                  <c:v>0.23827407057910946</c:v>
                </c:pt>
                <c:pt idx="596">
                  <c:v>0.15996504280451479</c:v>
                </c:pt>
                <c:pt idx="597">
                  <c:v>0.16076782027873499</c:v>
                </c:pt>
                <c:pt idx="598">
                  <c:v>0.16277624984393116</c:v>
                </c:pt>
                <c:pt idx="599">
                  <c:v>0.16429959725373661</c:v>
                </c:pt>
                <c:pt idx="600">
                  <c:v>0.16668888491252978</c:v>
                </c:pt>
                <c:pt idx="601">
                  <c:v>0.1684952050009707</c:v>
                </c:pt>
                <c:pt idx="602">
                  <c:v>0.18334226400853251</c:v>
                </c:pt>
                <c:pt idx="603">
                  <c:v>0.18316327423417753</c:v>
                </c:pt>
                <c:pt idx="604">
                  <c:v>0.18316327423417753</c:v>
                </c:pt>
                <c:pt idx="605">
                  <c:v>0.18316327423417753</c:v>
                </c:pt>
                <c:pt idx="606">
                  <c:v>0.18316327423417753</c:v>
                </c:pt>
                <c:pt idx="607">
                  <c:v>0.18316327423417753</c:v>
                </c:pt>
                <c:pt idx="608">
                  <c:v>0.22053995399553974</c:v>
                </c:pt>
                <c:pt idx="609">
                  <c:v>0.21480999763627015</c:v>
                </c:pt>
                <c:pt idx="610">
                  <c:v>0.2149529013509128</c:v>
                </c:pt>
                <c:pt idx="611">
                  <c:v>0.22094883488359929</c:v>
                </c:pt>
                <c:pt idx="612">
                  <c:v>0.2280637190110012</c:v>
                </c:pt>
                <c:pt idx="613">
                  <c:v>0.23047670124833014</c:v>
                </c:pt>
                <c:pt idx="614">
                  <c:v>0.23035552399026102</c:v>
                </c:pt>
                <c:pt idx="615">
                  <c:v>0.18316327423417753</c:v>
                </c:pt>
                <c:pt idx="616">
                  <c:v>0.18316327423417753</c:v>
                </c:pt>
                <c:pt idx="617">
                  <c:v>0.18316327423417753</c:v>
                </c:pt>
                <c:pt idx="618">
                  <c:v>0.18316327423417753</c:v>
                </c:pt>
                <c:pt idx="619">
                  <c:v>0.18316327423417753</c:v>
                </c:pt>
                <c:pt idx="620">
                  <c:v>0.18316327423417753</c:v>
                </c:pt>
                <c:pt idx="621">
                  <c:v>0.18316327423417753</c:v>
                </c:pt>
                <c:pt idx="622">
                  <c:v>0.18316327423417753</c:v>
                </c:pt>
                <c:pt idx="623">
                  <c:v>0.18316327423417753</c:v>
                </c:pt>
                <c:pt idx="624">
                  <c:v>0.18316327423417753</c:v>
                </c:pt>
                <c:pt idx="625">
                  <c:v>0.18316327423417753</c:v>
                </c:pt>
                <c:pt idx="626">
                  <c:v>0.18316327423417753</c:v>
                </c:pt>
                <c:pt idx="627">
                  <c:v>0.14671284326852277</c:v>
                </c:pt>
                <c:pt idx="628">
                  <c:v>0.14671284326852277</c:v>
                </c:pt>
                <c:pt idx="629">
                  <c:v>0.14671284326852277</c:v>
                </c:pt>
                <c:pt idx="630">
                  <c:v>0.14671284326852277</c:v>
                </c:pt>
                <c:pt idx="631">
                  <c:v>0.14671284326852277</c:v>
                </c:pt>
                <c:pt idx="632">
                  <c:v>0.14671284326852277</c:v>
                </c:pt>
                <c:pt idx="633">
                  <c:v>0.14671284326852277</c:v>
                </c:pt>
                <c:pt idx="634">
                  <c:v>0.14671284326852277</c:v>
                </c:pt>
                <c:pt idx="635">
                  <c:v>0.14671284326852277</c:v>
                </c:pt>
                <c:pt idx="636">
                  <c:v>0.14671284326852282</c:v>
                </c:pt>
                <c:pt idx="637">
                  <c:v>0.18316327423417753</c:v>
                </c:pt>
                <c:pt idx="638">
                  <c:v>0.18316327423417753</c:v>
                </c:pt>
                <c:pt idx="639">
                  <c:v>0.18316327423417753</c:v>
                </c:pt>
                <c:pt idx="640">
                  <c:v>0.18316327423417753</c:v>
                </c:pt>
                <c:pt idx="641">
                  <c:v>0.18316327423417753</c:v>
                </c:pt>
                <c:pt idx="642">
                  <c:v>0.18316327423417753</c:v>
                </c:pt>
                <c:pt idx="643">
                  <c:v>0.18316327423417753</c:v>
                </c:pt>
                <c:pt idx="644">
                  <c:v>0.18316327423417753</c:v>
                </c:pt>
                <c:pt idx="645">
                  <c:v>0.18316327423417753</c:v>
                </c:pt>
                <c:pt idx="646">
                  <c:v>0.18316327423417753</c:v>
                </c:pt>
                <c:pt idx="647">
                  <c:v>0.18316327423417753</c:v>
                </c:pt>
                <c:pt idx="648">
                  <c:v>0.18316327423417753</c:v>
                </c:pt>
                <c:pt idx="649">
                  <c:v>0.18316327423417753</c:v>
                </c:pt>
                <c:pt idx="650">
                  <c:v>0.18316327423417753</c:v>
                </c:pt>
                <c:pt idx="651">
                  <c:v>0.18316327423417753</c:v>
                </c:pt>
                <c:pt idx="652">
                  <c:v>0.18316327423417753</c:v>
                </c:pt>
                <c:pt idx="653">
                  <c:v>0.18316327423417753</c:v>
                </c:pt>
                <c:pt idx="654">
                  <c:v>0.18316327423417753</c:v>
                </c:pt>
                <c:pt idx="655">
                  <c:v>0.18316327423417753</c:v>
                </c:pt>
                <c:pt idx="656">
                  <c:v>0.18316327423417753</c:v>
                </c:pt>
                <c:pt idx="657">
                  <c:v>0.18316327423417753</c:v>
                </c:pt>
                <c:pt idx="658">
                  <c:v>0.18316327423417753</c:v>
                </c:pt>
                <c:pt idx="659">
                  <c:v>0.18316327423417753</c:v>
                </c:pt>
                <c:pt idx="660">
                  <c:v>0.18316327423417753</c:v>
                </c:pt>
                <c:pt idx="661">
                  <c:v>0.18316327423417753</c:v>
                </c:pt>
                <c:pt idx="662">
                  <c:v>0.18316327423417753</c:v>
                </c:pt>
                <c:pt idx="663">
                  <c:v>0.18316327423417753</c:v>
                </c:pt>
                <c:pt idx="664">
                  <c:v>0.18316327423417753</c:v>
                </c:pt>
                <c:pt idx="665">
                  <c:v>0.18316327423417753</c:v>
                </c:pt>
                <c:pt idx="666">
                  <c:v>0.18316327423417753</c:v>
                </c:pt>
                <c:pt idx="667">
                  <c:v>0.18316327423417753</c:v>
                </c:pt>
                <c:pt idx="668">
                  <c:v>0.18316327423417753</c:v>
                </c:pt>
                <c:pt idx="669">
                  <c:v>0.18316327423417753</c:v>
                </c:pt>
                <c:pt idx="670">
                  <c:v>0.18316327423417753</c:v>
                </c:pt>
                <c:pt idx="671">
                  <c:v>0.18316327423417753</c:v>
                </c:pt>
                <c:pt idx="672">
                  <c:v>0.18316327423417753</c:v>
                </c:pt>
                <c:pt idx="673">
                  <c:v>0.18316327423417753</c:v>
                </c:pt>
                <c:pt idx="674">
                  <c:v>0.18316327423417753</c:v>
                </c:pt>
                <c:pt idx="675">
                  <c:v>0.18316327423417753</c:v>
                </c:pt>
                <c:pt idx="676">
                  <c:v>0.18316327423417753</c:v>
                </c:pt>
                <c:pt idx="677">
                  <c:v>0.18316327423417753</c:v>
                </c:pt>
                <c:pt idx="678">
                  <c:v>0.18316327423417753</c:v>
                </c:pt>
                <c:pt idx="679">
                  <c:v>0.18316327423417753</c:v>
                </c:pt>
                <c:pt idx="680">
                  <c:v>0.18316327423417753</c:v>
                </c:pt>
                <c:pt idx="681">
                  <c:v>0.18316327423417753</c:v>
                </c:pt>
                <c:pt idx="682">
                  <c:v>0.18316327423417753</c:v>
                </c:pt>
                <c:pt idx="683">
                  <c:v>0.18316327423417753</c:v>
                </c:pt>
                <c:pt idx="684">
                  <c:v>0.18316327423417753</c:v>
                </c:pt>
                <c:pt idx="685">
                  <c:v>0.18316327423417753</c:v>
                </c:pt>
                <c:pt idx="686">
                  <c:v>0.18316327423417753</c:v>
                </c:pt>
                <c:pt idx="687">
                  <c:v>0.18316327423417753</c:v>
                </c:pt>
                <c:pt idx="688">
                  <c:v>0.18316327423417753</c:v>
                </c:pt>
                <c:pt idx="689">
                  <c:v>0.18316327423417753</c:v>
                </c:pt>
                <c:pt idx="690">
                  <c:v>0.18490638697739159</c:v>
                </c:pt>
                <c:pt idx="691">
                  <c:v>0.17219615469602018</c:v>
                </c:pt>
                <c:pt idx="692">
                  <c:v>0.1727965486093026</c:v>
                </c:pt>
                <c:pt idx="693">
                  <c:v>9.8526048480324785E-2</c:v>
                </c:pt>
                <c:pt idx="694">
                  <c:v>9.9019752738686226E-2</c:v>
                </c:pt>
                <c:pt idx="695">
                  <c:v>9.3888143999444576E-2</c:v>
                </c:pt>
                <c:pt idx="696">
                  <c:v>9.3674231962147789E-2</c:v>
                </c:pt>
                <c:pt idx="697">
                  <c:v>9.2095371695368994E-2</c:v>
                </c:pt>
                <c:pt idx="698">
                  <c:v>9.1931983975341913E-2</c:v>
                </c:pt>
                <c:pt idx="699">
                  <c:v>9.0507044562581587E-2</c:v>
                </c:pt>
                <c:pt idx="700">
                  <c:v>8.9686089083663309E-2</c:v>
                </c:pt>
                <c:pt idx="701">
                  <c:v>8.9166779137144422E-2</c:v>
                </c:pt>
                <c:pt idx="702">
                  <c:v>8.816311807458467E-2</c:v>
                </c:pt>
                <c:pt idx="703">
                  <c:v>8.6337361880364061E-2</c:v>
                </c:pt>
                <c:pt idx="704">
                  <c:v>8.5572354230869924E-2</c:v>
                </c:pt>
                <c:pt idx="705">
                  <c:v>8.4574153744144356E-2</c:v>
                </c:pt>
                <c:pt idx="706">
                  <c:v>8.3709952000276033E-2</c:v>
                </c:pt>
                <c:pt idx="707">
                  <c:v>7.4160120839490626E-2</c:v>
                </c:pt>
                <c:pt idx="708">
                  <c:v>7.4964326800452244E-2</c:v>
                </c:pt>
                <c:pt idx="709">
                  <c:v>7.4105894438924069E-2</c:v>
                </c:pt>
                <c:pt idx="710">
                  <c:v>7.2159683465823368E-2</c:v>
                </c:pt>
                <c:pt idx="711">
                  <c:v>7.1528249397199761E-2</c:v>
                </c:pt>
                <c:pt idx="712">
                  <c:v>0.12880956481556216</c:v>
                </c:pt>
                <c:pt idx="713">
                  <c:v>0.12880956481556216</c:v>
                </c:pt>
                <c:pt idx="714">
                  <c:v>0.12880956481556216</c:v>
                </c:pt>
                <c:pt idx="715">
                  <c:v>0.12880956481556216</c:v>
                </c:pt>
                <c:pt idx="716">
                  <c:v>0.12880956481556216</c:v>
                </c:pt>
                <c:pt idx="717">
                  <c:v>0.12880956481556216</c:v>
                </c:pt>
                <c:pt idx="718">
                  <c:v>0.12880956481556216</c:v>
                </c:pt>
                <c:pt idx="719">
                  <c:v>0.12880956481556216</c:v>
                </c:pt>
                <c:pt idx="720">
                  <c:v>0.12880956481556216</c:v>
                </c:pt>
                <c:pt idx="721">
                  <c:v>0.12880956481556216</c:v>
                </c:pt>
                <c:pt idx="722">
                  <c:v>0.12880956481556216</c:v>
                </c:pt>
                <c:pt idx="723">
                  <c:v>0.16308158091580044</c:v>
                </c:pt>
                <c:pt idx="724">
                  <c:v>0.17312002649235472</c:v>
                </c:pt>
                <c:pt idx="725">
                  <c:v>0.17884052615349436</c:v>
                </c:pt>
                <c:pt idx="726">
                  <c:v>0.18574634679481425</c:v>
                </c:pt>
                <c:pt idx="727">
                  <c:v>0.18508723068237581</c:v>
                </c:pt>
                <c:pt idx="728">
                  <c:v>0.18194596875454694</c:v>
                </c:pt>
                <c:pt idx="729">
                  <c:v>0.17291924852484328</c:v>
                </c:pt>
                <c:pt idx="730">
                  <c:v>0.17142802640728949</c:v>
                </c:pt>
                <c:pt idx="731">
                  <c:v>0.19479668446825632</c:v>
                </c:pt>
                <c:pt idx="732">
                  <c:v>0.19351216899316018</c:v>
                </c:pt>
                <c:pt idx="733">
                  <c:v>0.19311571866274282</c:v>
                </c:pt>
                <c:pt idx="734">
                  <c:v>0.19106685189693484</c:v>
                </c:pt>
                <c:pt idx="735">
                  <c:v>0.22901406100002117</c:v>
                </c:pt>
                <c:pt idx="736">
                  <c:v>0.25593570539255656</c:v>
                </c:pt>
                <c:pt idx="737">
                  <c:v>0.27328782411673841</c:v>
                </c:pt>
                <c:pt idx="738">
                  <c:v>0.19706603030737616</c:v>
                </c:pt>
                <c:pt idx="739">
                  <c:v>0.20607481570957265</c:v>
                </c:pt>
                <c:pt idx="740">
                  <c:v>0.20785988525781074</c:v>
                </c:pt>
                <c:pt idx="741">
                  <c:v>0.2186699178399443</c:v>
                </c:pt>
                <c:pt idx="742">
                  <c:v>0.17181311416662867</c:v>
                </c:pt>
                <c:pt idx="743">
                  <c:v>0.18133659580720229</c:v>
                </c:pt>
                <c:pt idx="744">
                  <c:v>0.18320802167776629</c:v>
                </c:pt>
                <c:pt idx="745">
                  <c:v>0.18316327423417753</c:v>
                </c:pt>
                <c:pt idx="746">
                  <c:v>0.18316327423417753</c:v>
                </c:pt>
                <c:pt idx="747">
                  <c:v>0.18316327423417753</c:v>
                </c:pt>
                <c:pt idx="748">
                  <c:v>0.18316327423417753</c:v>
                </c:pt>
                <c:pt idx="749">
                  <c:v>0.18316327423417753</c:v>
                </c:pt>
                <c:pt idx="750">
                  <c:v>0.18316327423417753</c:v>
                </c:pt>
                <c:pt idx="751">
                  <c:v>0.18316327423417753</c:v>
                </c:pt>
                <c:pt idx="752">
                  <c:v>0.18316327423417753</c:v>
                </c:pt>
                <c:pt idx="753">
                  <c:v>0.18316327423417753</c:v>
                </c:pt>
                <c:pt idx="754">
                  <c:v>0.18316327423417753</c:v>
                </c:pt>
                <c:pt idx="755">
                  <c:v>0.17499473210470967</c:v>
                </c:pt>
                <c:pt idx="756">
                  <c:v>0.16971462315465458</c:v>
                </c:pt>
                <c:pt idx="757">
                  <c:v>0.10164759260006355</c:v>
                </c:pt>
                <c:pt idx="758">
                  <c:v>0.1020487108298864</c:v>
                </c:pt>
                <c:pt idx="759">
                  <c:v>0.10240345739443256</c:v>
                </c:pt>
                <c:pt idx="760">
                  <c:v>0.10272273642771755</c:v>
                </c:pt>
                <c:pt idx="761">
                  <c:v>0.10093551446620309</c:v>
                </c:pt>
                <c:pt idx="762">
                  <c:v>8.8475921080245282E-2</c:v>
                </c:pt>
                <c:pt idx="763">
                  <c:v>8.8560828394818117E-2</c:v>
                </c:pt>
                <c:pt idx="764">
                  <c:v>8.8659782023717451E-2</c:v>
                </c:pt>
                <c:pt idx="765">
                  <c:v>8.6690974182367944E-2</c:v>
                </c:pt>
                <c:pt idx="766">
                  <c:v>8.4842804076395259E-2</c:v>
                </c:pt>
                <c:pt idx="767">
                  <c:v>8.311527170579934E-2</c:v>
                </c:pt>
                <c:pt idx="768">
                  <c:v>8.1508377070580285E-2</c:v>
                </c:pt>
                <c:pt idx="769">
                  <c:v>8.0022120170738009E-2</c:v>
                </c:pt>
                <c:pt idx="770">
                  <c:v>7.8656501006272514E-2</c:v>
                </c:pt>
                <c:pt idx="771">
                  <c:v>7.7411519577183882E-2</c:v>
                </c:pt>
                <c:pt idx="772">
                  <c:v>7.6287175883472003E-2</c:v>
                </c:pt>
                <c:pt idx="773">
                  <c:v>0.13895193275295278</c:v>
                </c:pt>
                <c:pt idx="774">
                  <c:v>0.13895193275295278</c:v>
                </c:pt>
                <c:pt idx="775">
                  <c:v>0.13895193275295278</c:v>
                </c:pt>
                <c:pt idx="776">
                  <c:v>0.13895193275295278</c:v>
                </c:pt>
                <c:pt idx="777">
                  <c:v>0.13895193275295278</c:v>
                </c:pt>
                <c:pt idx="778">
                  <c:v>0.13895193275295278</c:v>
                </c:pt>
                <c:pt idx="779">
                  <c:v>0.13895193275295278</c:v>
                </c:pt>
                <c:pt idx="780">
                  <c:v>0.13895193275295278</c:v>
                </c:pt>
                <c:pt idx="781">
                  <c:v>0.13895193275295278</c:v>
                </c:pt>
                <c:pt idx="782">
                  <c:v>0.13895193275295278</c:v>
                </c:pt>
                <c:pt idx="783">
                  <c:v>0.18108946883499499</c:v>
                </c:pt>
                <c:pt idx="784">
                  <c:v>0.18826281245864274</c:v>
                </c:pt>
                <c:pt idx="785">
                  <c:v>0.18777333935676033</c:v>
                </c:pt>
                <c:pt idx="786">
                  <c:v>0.18492144754695411</c:v>
                </c:pt>
                <c:pt idx="787">
                  <c:v>0.17591058075280794</c:v>
                </c:pt>
                <c:pt idx="788">
                  <c:v>0.24249887747646476</c:v>
                </c:pt>
                <c:pt idx="789">
                  <c:v>0.24517967530367712</c:v>
                </c:pt>
                <c:pt idx="790">
                  <c:v>0.24487039044578615</c:v>
                </c:pt>
                <c:pt idx="791">
                  <c:v>0.16018491594941359</c:v>
                </c:pt>
                <c:pt idx="792">
                  <c:v>0.16122100604749934</c:v>
                </c:pt>
                <c:pt idx="793">
                  <c:v>0.16349431578512491</c:v>
                </c:pt>
                <c:pt idx="794">
                  <c:v>0.16530771341568939</c:v>
                </c:pt>
                <c:pt idx="795">
                  <c:v>0.16801845391825254</c:v>
                </c:pt>
                <c:pt idx="796">
                  <c:v>0.14045566714504246</c:v>
                </c:pt>
                <c:pt idx="797">
                  <c:v>0.1587161382942798</c:v>
                </c:pt>
                <c:pt idx="798">
                  <c:v>0.15370572833889479</c:v>
                </c:pt>
                <c:pt idx="799">
                  <c:v>0.15868367151395393</c:v>
                </c:pt>
                <c:pt idx="800">
                  <c:v>0.15234666797413485</c:v>
                </c:pt>
                <c:pt idx="801">
                  <c:v>0.15556754045246357</c:v>
                </c:pt>
                <c:pt idx="802">
                  <c:v>0.15145768682776359</c:v>
                </c:pt>
                <c:pt idx="803">
                  <c:v>0.15145768682776359</c:v>
                </c:pt>
                <c:pt idx="804">
                  <c:v>0.17218416487179067</c:v>
                </c:pt>
                <c:pt idx="805">
                  <c:v>0.18316327423417753</c:v>
                </c:pt>
                <c:pt idx="806">
                  <c:v>0.18316327423417753</c:v>
                </c:pt>
                <c:pt idx="807">
                  <c:v>0.18316327423417753</c:v>
                </c:pt>
                <c:pt idx="808">
                  <c:v>0.18316327423417753</c:v>
                </c:pt>
                <c:pt idx="809">
                  <c:v>0.18316327423417753</c:v>
                </c:pt>
                <c:pt idx="810">
                  <c:v>0.18316327423417753</c:v>
                </c:pt>
                <c:pt idx="811">
                  <c:v>0.18316327423417753</c:v>
                </c:pt>
                <c:pt idx="812">
                  <c:v>0.18316327423417753</c:v>
                </c:pt>
                <c:pt idx="813">
                  <c:v>0.18316327423417753</c:v>
                </c:pt>
                <c:pt idx="814">
                  <c:v>0.18316327423417753</c:v>
                </c:pt>
                <c:pt idx="815">
                  <c:v>0.18316327423417753</c:v>
                </c:pt>
                <c:pt idx="816">
                  <c:v>0.18316327423417753</c:v>
                </c:pt>
                <c:pt idx="817">
                  <c:v>0.18316327423417753</c:v>
                </c:pt>
                <c:pt idx="818">
                  <c:v>0.18316327423417753</c:v>
                </c:pt>
                <c:pt idx="819">
                  <c:v>0.18316327423417753</c:v>
                </c:pt>
                <c:pt idx="820">
                  <c:v>0.18316327423417753</c:v>
                </c:pt>
                <c:pt idx="821">
                  <c:v>0.18490638697739159</c:v>
                </c:pt>
                <c:pt idx="822">
                  <c:v>0.17219615469602018</c:v>
                </c:pt>
                <c:pt idx="823">
                  <c:v>0.10449499670012637</c:v>
                </c:pt>
                <c:pt idx="824">
                  <c:v>9.8526048480324785E-2</c:v>
                </c:pt>
                <c:pt idx="825">
                  <c:v>9.9019752738686226E-2</c:v>
                </c:pt>
                <c:pt idx="826">
                  <c:v>9.3888143999444576E-2</c:v>
                </c:pt>
                <c:pt idx="827">
                  <c:v>9.3674231962147789E-2</c:v>
                </c:pt>
                <c:pt idx="828">
                  <c:v>9.2095371695368994E-2</c:v>
                </c:pt>
                <c:pt idx="829">
                  <c:v>9.1931983975341913E-2</c:v>
                </c:pt>
                <c:pt idx="830">
                  <c:v>9.0507044562581587E-2</c:v>
                </c:pt>
                <c:pt idx="831">
                  <c:v>8.9686089083663309E-2</c:v>
                </c:pt>
                <c:pt idx="832">
                  <c:v>8.9166779137144422E-2</c:v>
                </c:pt>
                <c:pt idx="833">
                  <c:v>8.816311807458467E-2</c:v>
                </c:pt>
                <c:pt idx="834">
                  <c:v>8.6337361880364061E-2</c:v>
                </c:pt>
                <c:pt idx="835">
                  <c:v>8.5257420312585555E-2</c:v>
                </c:pt>
                <c:pt idx="836">
                  <c:v>8.4257489485721773E-2</c:v>
                </c:pt>
                <c:pt idx="837">
                  <c:v>4.0053377315782769E-2</c:v>
                </c:pt>
                <c:pt idx="838">
                  <c:v>4.0053377315782769E-2</c:v>
                </c:pt>
                <c:pt idx="839">
                  <c:v>4.0053377315782769E-2</c:v>
                </c:pt>
                <c:pt idx="840">
                  <c:v>4.0053377315782769E-2</c:v>
                </c:pt>
                <c:pt idx="841">
                  <c:v>4.0053377315782769E-2</c:v>
                </c:pt>
                <c:pt idx="842">
                  <c:v>4.0053377315782769E-2</c:v>
                </c:pt>
                <c:pt idx="843">
                  <c:v>4.0053377315782769E-2</c:v>
                </c:pt>
                <c:pt idx="844">
                  <c:v>4.0053377315782769E-2</c:v>
                </c:pt>
                <c:pt idx="845">
                  <c:v>4.0053377315782769E-2</c:v>
                </c:pt>
                <c:pt idx="846">
                  <c:v>4.0053377315782769E-2</c:v>
                </c:pt>
                <c:pt idx="847">
                  <c:v>4.0053377315782769E-2</c:v>
                </c:pt>
                <c:pt idx="848">
                  <c:v>4.0053377315782769E-2</c:v>
                </c:pt>
                <c:pt idx="849">
                  <c:v>4.0053377315782769E-2</c:v>
                </c:pt>
                <c:pt idx="850">
                  <c:v>4.0053377315782769E-2</c:v>
                </c:pt>
                <c:pt idx="851">
                  <c:v>4.0053377315782769E-2</c:v>
                </c:pt>
                <c:pt idx="852">
                  <c:v>4.0053377315782769E-2</c:v>
                </c:pt>
                <c:pt idx="853">
                  <c:v>4.0053377315782769E-2</c:v>
                </c:pt>
                <c:pt idx="854">
                  <c:v>4.0053377315782769E-2</c:v>
                </c:pt>
                <c:pt idx="855">
                  <c:v>4.0053377315782769E-2</c:v>
                </c:pt>
                <c:pt idx="856">
                  <c:v>4.0053377315782769E-2</c:v>
                </c:pt>
                <c:pt idx="857">
                  <c:v>4.0053377315782769E-2</c:v>
                </c:pt>
                <c:pt idx="858">
                  <c:v>9.1797017754404561E-2</c:v>
                </c:pt>
                <c:pt idx="859">
                  <c:v>9.1827428664385244E-2</c:v>
                </c:pt>
                <c:pt idx="860">
                  <c:v>9.2902323054924046E-2</c:v>
                </c:pt>
                <c:pt idx="861">
                  <c:v>9.3029609364978963E-2</c:v>
                </c:pt>
                <c:pt idx="862">
                  <c:v>9.2406176243606059E-2</c:v>
                </c:pt>
                <c:pt idx="863">
                  <c:v>9.2224583235538046E-2</c:v>
                </c:pt>
                <c:pt idx="864">
                  <c:v>9.2599076847785289E-2</c:v>
                </c:pt>
                <c:pt idx="865">
                  <c:v>9.1656814862604991E-2</c:v>
                </c:pt>
                <c:pt idx="866">
                  <c:v>9.2080659420944219E-2</c:v>
                </c:pt>
                <c:pt idx="867">
                  <c:v>9.1124892277720457E-2</c:v>
                </c:pt>
                <c:pt idx="868">
                  <c:v>9.4864574141962255E-2</c:v>
                </c:pt>
                <c:pt idx="869">
                  <c:v>9.3150975309444564E-2</c:v>
                </c:pt>
                <c:pt idx="870">
                  <c:v>9.7477235516164301E-2</c:v>
                </c:pt>
                <c:pt idx="871">
                  <c:v>4.9835605566998037E-2</c:v>
                </c:pt>
                <c:pt idx="872">
                  <c:v>5.2257045023714706E-2</c:v>
                </c:pt>
                <c:pt idx="873">
                  <c:v>5.2249120464071812E-2</c:v>
                </c:pt>
                <c:pt idx="874">
                  <c:v>5.2159625576894311E-2</c:v>
                </c:pt>
                <c:pt idx="875">
                  <c:v>5.2159625576894311E-2</c:v>
                </c:pt>
                <c:pt idx="876">
                  <c:v>5.2159625576894311E-2</c:v>
                </c:pt>
                <c:pt idx="877">
                  <c:v>5.2159625576894311E-2</c:v>
                </c:pt>
                <c:pt idx="878">
                  <c:v>5.2159625576894311E-2</c:v>
                </c:pt>
                <c:pt idx="879">
                  <c:v>5.2159625576894311E-2</c:v>
                </c:pt>
                <c:pt idx="880">
                  <c:v>5.2159625576894311E-2</c:v>
                </c:pt>
                <c:pt idx="881">
                  <c:v>5.2159625576894311E-2</c:v>
                </c:pt>
                <c:pt idx="882">
                  <c:v>5.2159625576894311E-2</c:v>
                </c:pt>
                <c:pt idx="883">
                  <c:v>5.2159625576894311E-2</c:v>
                </c:pt>
                <c:pt idx="884">
                  <c:v>5.2159625576894311E-2</c:v>
                </c:pt>
                <c:pt idx="885">
                  <c:v>5.2159625576894311E-2</c:v>
                </c:pt>
                <c:pt idx="886">
                  <c:v>5.2159625576894311E-2</c:v>
                </c:pt>
                <c:pt idx="887">
                  <c:v>5.2159625576894311E-2</c:v>
                </c:pt>
                <c:pt idx="888">
                  <c:v>5.2159625576894311E-2</c:v>
                </c:pt>
                <c:pt idx="889">
                  <c:v>5.2159625576894311E-2</c:v>
                </c:pt>
                <c:pt idx="890">
                  <c:v>5.2159625576894311E-2</c:v>
                </c:pt>
                <c:pt idx="891">
                  <c:v>5.2159625576894311E-2</c:v>
                </c:pt>
                <c:pt idx="892">
                  <c:v>5.2159625576894311E-2</c:v>
                </c:pt>
                <c:pt idx="893">
                  <c:v>5.2159625576894311E-2</c:v>
                </c:pt>
                <c:pt idx="894">
                  <c:v>5.2159625576894311E-2</c:v>
                </c:pt>
                <c:pt idx="895">
                  <c:v>5.2159625576894311E-2</c:v>
                </c:pt>
                <c:pt idx="896">
                  <c:v>5.2159625576894311E-2</c:v>
                </c:pt>
                <c:pt idx="897">
                  <c:v>5.2159625576894311E-2</c:v>
                </c:pt>
                <c:pt idx="898">
                  <c:v>5.2159625576894311E-2</c:v>
                </c:pt>
                <c:pt idx="899">
                  <c:v>5.2159625576894311E-2</c:v>
                </c:pt>
                <c:pt idx="900">
                  <c:v>5.2159625576894311E-2</c:v>
                </c:pt>
                <c:pt idx="901">
                  <c:v>5.2159625576894311E-2</c:v>
                </c:pt>
                <c:pt idx="902">
                  <c:v>5.2159625576894311E-2</c:v>
                </c:pt>
                <c:pt idx="903">
                  <c:v>5.2159625576894311E-2</c:v>
                </c:pt>
                <c:pt idx="904">
                  <c:v>5.2159625576894311E-2</c:v>
                </c:pt>
                <c:pt idx="905">
                  <c:v>5.2159625576894311E-2</c:v>
                </c:pt>
                <c:pt idx="906">
                  <c:v>5.2159625576894311E-2</c:v>
                </c:pt>
                <c:pt idx="907">
                  <c:v>5.2159625576894311E-2</c:v>
                </c:pt>
                <c:pt idx="908">
                  <c:v>5.2159625576894311E-2</c:v>
                </c:pt>
                <c:pt idx="909">
                  <c:v>5.2159625576894311E-2</c:v>
                </c:pt>
                <c:pt idx="910">
                  <c:v>5.2159625576894311E-2</c:v>
                </c:pt>
                <c:pt idx="911">
                  <c:v>5.2159625576894311E-2</c:v>
                </c:pt>
                <c:pt idx="912">
                  <c:v>5.2159625576894311E-2</c:v>
                </c:pt>
                <c:pt idx="913">
                  <c:v>5.2159625576894311E-2</c:v>
                </c:pt>
                <c:pt idx="914">
                  <c:v>5.2159625576894311E-2</c:v>
                </c:pt>
                <c:pt idx="915">
                  <c:v>5.2159625576894311E-2</c:v>
                </c:pt>
                <c:pt idx="916">
                  <c:v>5.2159625576894311E-2</c:v>
                </c:pt>
                <c:pt idx="917">
                  <c:v>5.2159625576894311E-2</c:v>
                </c:pt>
                <c:pt idx="918">
                  <c:v>5.2159625576894311E-2</c:v>
                </c:pt>
                <c:pt idx="919">
                  <c:v>5.2159625576894311E-2</c:v>
                </c:pt>
                <c:pt idx="920">
                  <c:v>5.2159625576894311E-2</c:v>
                </c:pt>
                <c:pt idx="921">
                  <c:v>5.2159625576894311E-2</c:v>
                </c:pt>
                <c:pt idx="922">
                  <c:v>5.2159625576894311E-2</c:v>
                </c:pt>
                <c:pt idx="923">
                  <c:v>5.2159625576894311E-2</c:v>
                </c:pt>
                <c:pt idx="924">
                  <c:v>5.2159625576894311E-2</c:v>
                </c:pt>
                <c:pt idx="925">
                  <c:v>5.2159625576894311E-2</c:v>
                </c:pt>
                <c:pt idx="926">
                  <c:v>5.2159625576894311E-2</c:v>
                </c:pt>
                <c:pt idx="927">
                  <c:v>5.2159625576894311E-2</c:v>
                </c:pt>
                <c:pt idx="928">
                  <c:v>5.2159625576894311E-2</c:v>
                </c:pt>
                <c:pt idx="929">
                  <c:v>5.2159625576894311E-2</c:v>
                </c:pt>
                <c:pt idx="930">
                  <c:v>5.2159625576894311E-2</c:v>
                </c:pt>
                <c:pt idx="931">
                  <c:v>5.2159625576894311E-2</c:v>
                </c:pt>
                <c:pt idx="932">
                  <c:v>5.2159625576894311E-2</c:v>
                </c:pt>
                <c:pt idx="933">
                  <c:v>5.2159625576894311E-2</c:v>
                </c:pt>
                <c:pt idx="934">
                  <c:v>5.2159625576894311E-2</c:v>
                </c:pt>
                <c:pt idx="935">
                  <c:v>5.468745579919615E-2</c:v>
                </c:pt>
                <c:pt idx="936">
                  <c:v>5.7179831130361174E-2</c:v>
                </c:pt>
                <c:pt idx="937">
                  <c:v>5.9785909715685183E-2</c:v>
                </c:pt>
                <c:pt idx="938">
                  <c:v>6.2505691555168191E-2</c:v>
                </c:pt>
                <c:pt idx="939">
                  <c:v>6.5339176648810171E-2</c:v>
                </c:pt>
                <c:pt idx="940">
                  <c:v>6.8286364996611171E-2</c:v>
                </c:pt>
                <c:pt idx="941">
                  <c:v>6.9407582359718584E-2</c:v>
                </c:pt>
                <c:pt idx="942">
                  <c:v>6.9347919101600264E-2</c:v>
                </c:pt>
                <c:pt idx="943">
                  <c:v>6.9347919101600264E-2</c:v>
                </c:pt>
                <c:pt idx="944">
                  <c:v>6.9347919101600264E-2</c:v>
                </c:pt>
                <c:pt idx="945">
                  <c:v>6.9347919101600264E-2</c:v>
                </c:pt>
                <c:pt idx="946">
                  <c:v>6.9347919101600264E-2</c:v>
                </c:pt>
                <c:pt idx="947">
                  <c:v>6.9347919101600264E-2</c:v>
                </c:pt>
                <c:pt idx="948">
                  <c:v>6.9347919101600264E-2</c:v>
                </c:pt>
                <c:pt idx="949">
                  <c:v>6.9347919101600264E-2</c:v>
                </c:pt>
                <c:pt idx="950">
                  <c:v>6.9347919101600264E-2</c:v>
                </c:pt>
                <c:pt idx="951">
                  <c:v>6.9347919101600264E-2</c:v>
                </c:pt>
                <c:pt idx="952">
                  <c:v>6.9347919101600264E-2</c:v>
                </c:pt>
                <c:pt idx="953">
                  <c:v>6.9347919101600264E-2</c:v>
                </c:pt>
                <c:pt idx="954">
                  <c:v>6.9347919101600264E-2</c:v>
                </c:pt>
                <c:pt idx="955">
                  <c:v>6.9347919101600264E-2</c:v>
                </c:pt>
                <c:pt idx="956">
                  <c:v>6.9347919101600264E-2</c:v>
                </c:pt>
                <c:pt idx="957">
                  <c:v>6.9347919101600264E-2</c:v>
                </c:pt>
                <c:pt idx="958">
                  <c:v>6.9347919101600264E-2</c:v>
                </c:pt>
                <c:pt idx="959">
                  <c:v>6.9347919101600264E-2</c:v>
                </c:pt>
                <c:pt idx="960">
                  <c:v>6.9347919101600264E-2</c:v>
                </c:pt>
                <c:pt idx="961">
                  <c:v>6.9347919101600264E-2</c:v>
                </c:pt>
                <c:pt idx="962">
                  <c:v>6.9347919101600264E-2</c:v>
                </c:pt>
                <c:pt idx="963">
                  <c:v>6.9347919101600264E-2</c:v>
                </c:pt>
                <c:pt idx="964">
                  <c:v>6.9347919101600264E-2</c:v>
                </c:pt>
                <c:pt idx="965">
                  <c:v>6.9347919101600264E-2</c:v>
                </c:pt>
                <c:pt idx="966">
                  <c:v>6.9347919101600264E-2</c:v>
                </c:pt>
                <c:pt idx="967">
                  <c:v>6.9347919101600264E-2</c:v>
                </c:pt>
                <c:pt idx="968">
                  <c:v>6.9347919101600264E-2</c:v>
                </c:pt>
                <c:pt idx="969">
                  <c:v>6.9347919101600264E-2</c:v>
                </c:pt>
                <c:pt idx="970">
                  <c:v>6.5057442679811756E-2</c:v>
                </c:pt>
                <c:pt idx="971">
                  <c:v>6.1385077489460635E-2</c:v>
                </c:pt>
                <c:pt idx="972">
                  <c:v>5.6469981398695981E-2</c:v>
                </c:pt>
                <c:pt idx="973">
                  <c:v>6.2108158265949731E-2</c:v>
                </c:pt>
                <c:pt idx="974">
                  <c:v>6.7704446942928001E-2</c:v>
                </c:pt>
                <c:pt idx="975">
                  <c:v>7.3234313128095863E-2</c:v>
                </c:pt>
                <c:pt idx="976">
                  <c:v>7.755120427471357E-2</c:v>
                </c:pt>
                <c:pt idx="977">
                  <c:v>8.1751273241704545E-2</c:v>
                </c:pt>
                <c:pt idx="978">
                  <c:v>7.6682323677038144E-2</c:v>
                </c:pt>
                <c:pt idx="979">
                  <c:v>8.0851821331556745E-2</c:v>
                </c:pt>
                <c:pt idx="980">
                  <c:v>4.2756604321815779E-2</c:v>
                </c:pt>
                <c:pt idx="981">
                  <c:v>4.2756604321815779E-2</c:v>
                </c:pt>
                <c:pt idx="982">
                  <c:v>4.2756604321815779E-2</c:v>
                </c:pt>
                <c:pt idx="983">
                  <c:v>4.2756604321815779E-2</c:v>
                </c:pt>
                <c:pt idx="984">
                  <c:v>4.2756604321815779E-2</c:v>
                </c:pt>
                <c:pt idx="985">
                  <c:v>4.2756604321815779E-2</c:v>
                </c:pt>
                <c:pt idx="986">
                  <c:v>4.2756604321815779E-2</c:v>
                </c:pt>
                <c:pt idx="987">
                  <c:v>4.2756604321815779E-2</c:v>
                </c:pt>
                <c:pt idx="988">
                  <c:v>4.2756604321815779E-2</c:v>
                </c:pt>
                <c:pt idx="989">
                  <c:v>4.2756604321815779E-2</c:v>
                </c:pt>
                <c:pt idx="990">
                  <c:v>4.2756604321815779E-2</c:v>
                </c:pt>
                <c:pt idx="991">
                  <c:v>4.2756604321815779E-2</c:v>
                </c:pt>
                <c:pt idx="992">
                  <c:v>0.14754576399387584</c:v>
                </c:pt>
                <c:pt idx="993">
                  <c:v>0.15504856660151534</c:v>
                </c:pt>
                <c:pt idx="994">
                  <c:v>0.15373379963487591</c:v>
                </c:pt>
                <c:pt idx="995">
                  <c:v>0.15887289994398934</c:v>
                </c:pt>
                <c:pt idx="996">
                  <c:v>0.15871177735001407</c:v>
                </c:pt>
                <c:pt idx="997">
                  <c:v>0.15826719477181361</c:v>
                </c:pt>
                <c:pt idx="998">
                  <c:v>0.15832935287777483</c:v>
                </c:pt>
                <c:pt idx="999">
                  <c:v>0.16564589480666991</c:v>
                </c:pt>
                <c:pt idx="1000">
                  <c:v>0.17214145599513134</c:v>
                </c:pt>
                <c:pt idx="1001">
                  <c:v>5.147363686256419E-2</c:v>
                </c:pt>
                <c:pt idx="1002">
                  <c:v>5.5408337972735984E-2</c:v>
                </c:pt>
                <c:pt idx="1003">
                  <c:v>5.9434019220044286E-2</c:v>
                </c:pt>
                <c:pt idx="1004">
                  <c:v>6.3438064222198789E-2</c:v>
                </c:pt>
                <c:pt idx="1005">
                  <c:v>6.6935850579772735E-2</c:v>
                </c:pt>
                <c:pt idx="1006">
                  <c:v>7.2095559620127772E-2</c:v>
                </c:pt>
                <c:pt idx="1007">
                  <c:v>7.7164311867137472E-2</c:v>
                </c:pt>
                <c:pt idx="1008">
                  <c:v>8.2117573019266935E-2</c:v>
                </c:pt>
                <c:pt idx="1009">
                  <c:v>8.5173975194372115E-2</c:v>
                </c:pt>
                <c:pt idx="1010">
                  <c:v>8.8613538482425702E-2</c:v>
                </c:pt>
                <c:pt idx="1011">
                  <c:v>8.2115865012625577E-2</c:v>
                </c:pt>
                <c:pt idx="1012">
                  <c:v>8.5605324510677011E-2</c:v>
                </c:pt>
                <c:pt idx="1013">
                  <c:v>8.1082461339785708E-2</c:v>
                </c:pt>
                <c:pt idx="1014">
                  <c:v>3.8279077864937484E-2</c:v>
                </c:pt>
                <c:pt idx="1015">
                  <c:v>3.8279077864937484E-2</c:v>
                </c:pt>
                <c:pt idx="1016">
                  <c:v>3.8279077864937484E-2</c:v>
                </c:pt>
                <c:pt idx="1017">
                  <c:v>3.8279077864937484E-2</c:v>
                </c:pt>
                <c:pt idx="1018">
                  <c:v>3.8279077864937484E-2</c:v>
                </c:pt>
                <c:pt idx="1019">
                  <c:v>3.8279077864937484E-2</c:v>
                </c:pt>
                <c:pt idx="1020">
                  <c:v>0.13610351856886085</c:v>
                </c:pt>
                <c:pt idx="1021">
                  <c:v>0.14160993144955891</c:v>
                </c:pt>
                <c:pt idx="1022">
                  <c:v>0.14813335080280046</c:v>
                </c:pt>
                <c:pt idx="1023">
                  <c:v>0.14623839879996475</c:v>
                </c:pt>
                <c:pt idx="1024">
                  <c:v>0.15050231289564178</c:v>
                </c:pt>
                <c:pt idx="1025">
                  <c:v>0.14976224402233554</c:v>
                </c:pt>
                <c:pt idx="1026">
                  <c:v>0.14916885028152368</c:v>
                </c:pt>
                <c:pt idx="1027">
                  <c:v>0.14870641219448572</c:v>
                </c:pt>
                <c:pt idx="1028">
                  <c:v>5.0638774216765596E-2</c:v>
                </c:pt>
                <c:pt idx="1029">
                  <c:v>5.36341560328761E-2</c:v>
                </c:pt>
                <c:pt idx="1030">
                  <c:v>5.7000056023455412E-2</c:v>
                </c:pt>
                <c:pt idx="1031">
                  <c:v>6.0934757133627206E-2</c:v>
                </c:pt>
                <c:pt idx="1032">
                  <c:v>6.5125290565656732E-2</c:v>
                </c:pt>
                <c:pt idx="1033">
                  <c:v>6.9571656319543956E-2</c:v>
                </c:pt>
                <c:pt idx="1034">
                  <c:v>6.9347919101600264E-2</c:v>
                </c:pt>
                <c:pt idx="1035">
                  <c:v>6.9347919101600264E-2</c:v>
                </c:pt>
                <c:pt idx="1036">
                  <c:v>6.9347919101600264E-2</c:v>
                </c:pt>
                <c:pt idx="1037">
                  <c:v>6.5057442679811756E-2</c:v>
                </c:pt>
                <c:pt idx="1038">
                  <c:v>6.1385077489460635E-2</c:v>
                </c:pt>
                <c:pt idx="1039">
                  <c:v>5.7636149127403814E-2</c:v>
                </c:pt>
                <c:pt idx="1040">
                  <c:v>6.2108158265949731E-2</c:v>
                </c:pt>
                <c:pt idx="1041">
                  <c:v>6.7704446942928001E-2</c:v>
                </c:pt>
                <c:pt idx="1042">
                  <c:v>7.3234313128095863E-2</c:v>
                </c:pt>
                <c:pt idx="1043">
                  <c:v>7.7083271141742571E-2</c:v>
                </c:pt>
                <c:pt idx="1044">
                  <c:v>8.127627685407067E-2</c:v>
                </c:pt>
                <c:pt idx="1045">
                  <c:v>7.6251215756478891E-2</c:v>
                </c:pt>
                <c:pt idx="1046">
                  <c:v>8.0410060436674771E-2</c:v>
                </c:pt>
                <c:pt idx="1047">
                  <c:v>8.3783680831151189E-2</c:v>
                </c:pt>
                <c:pt idx="1048">
                  <c:v>8.5544232469136325E-2</c:v>
                </c:pt>
                <c:pt idx="1049">
                  <c:v>6.8173404947535307E-2</c:v>
                </c:pt>
                <c:pt idx="1050">
                  <c:v>0</c:v>
                </c:pt>
                <c:pt idx="1051">
                  <c:v>3.1144626671722027E-2</c:v>
                </c:pt>
                <c:pt idx="1052">
                  <c:v>3.1144626671722027E-2</c:v>
                </c:pt>
                <c:pt idx="1053">
                  <c:v>3.1144626671722027E-2</c:v>
                </c:pt>
                <c:pt idx="1054">
                  <c:v>3.1144626671722027E-2</c:v>
                </c:pt>
                <c:pt idx="1055">
                  <c:v>3.1144626671722027E-2</c:v>
                </c:pt>
                <c:pt idx="1056">
                  <c:v>3.1144626671722027E-2</c:v>
                </c:pt>
                <c:pt idx="1057">
                  <c:v>3.1144626671722027E-2</c:v>
                </c:pt>
                <c:pt idx="1058">
                  <c:v>3.1144626671722027E-2</c:v>
                </c:pt>
                <c:pt idx="1059">
                  <c:v>0.10939378305849973</c:v>
                </c:pt>
                <c:pt idx="1060">
                  <c:v>0.12805985811705675</c:v>
                </c:pt>
                <c:pt idx="1061">
                  <c:v>0.14637602752028978</c:v>
                </c:pt>
                <c:pt idx="1062">
                  <c:v>0.15288115455099066</c:v>
                </c:pt>
                <c:pt idx="1063">
                  <c:v>0.16053629224431618</c:v>
                </c:pt>
                <c:pt idx="1064">
                  <c:v>0.15908662466238099</c:v>
                </c:pt>
                <c:pt idx="1065">
                  <c:v>5.0357565195454625E-2</c:v>
                </c:pt>
                <c:pt idx="1066">
                  <c:v>5.2425199288833338E-2</c:v>
                </c:pt>
                <c:pt idx="1067">
                  <c:v>5.4591529996989643E-2</c:v>
                </c:pt>
                <c:pt idx="1068">
                  <c:v>5.6828642736843807E-2</c:v>
                </c:pt>
                <c:pt idx="1069">
                  <c:v>6.076411746955318E-2</c:v>
                </c:pt>
                <c:pt idx="1070">
                  <c:v>6.4658934261164952E-2</c:v>
                </c:pt>
                <c:pt idx="1071">
                  <c:v>6.8978941943847932E-2</c:v>
                </c:pt>
                <c:pt idx="1072">
                  <c:v>6.937775073065941E-2</c:v>
                </c:pt>
                <c:pt idx="1073">
                  <c:v>6.9347919101600264E-2</c:v>
                </c:pt>
                <c:pt idx="1074">
                  <c:v>6.9347919101600264E-2</c:v>
                </c:pt>
                <c:pt idx="1075">
                  <c:v>6.9347919101600264E-2</c:v>
                </c:pt>
                <c:pt idx="1076">
                  <c:v>6.9347919101600264E-2</c:v>
                </c:pt>
                <c:pt idx="1077">
                  <c:v>6.9347919101600264E-2</c:v>
                </c:pt>
                <c:pt idx="1078">
                  <c:v>6.9347919101600264E-2</c:v>
                </c:pt>
                <c:pt idx="1079">
                  <c:v>6.9347919101600264E-2</c:v>
                </c:pt>
                <c:pt idx="1080">
                  <c:v>6.9347919101600264E-2</c:v>
                </c:pt>
                <c:pt idx="1081">
                  <c:v>6.9347919101600264E-2</c:v>
                </c:pt>
                <c:pt idx="1082">
                  <c:v>6.9347919101600264E-2</c:v>
                </c:pt>
                <c:pt idx="1083">
                  <c:v>4.7560631685270728E-2</c:v>
                </c:pt>
                <c:pt idx="1084">
                  <c:v>5.2237644783321158E-2</c:v>
                </c:pt>
                <c:pt idx="1085">
                  <c:v>5.6469981398695981E-2</c:v>
                </c:pt>
                <c:pt idx="1086">
                  <c:v>6.2108158265949731E-2</c:v>
                </c:pt>
                <c:pt idx="1087">
                  <c:v>6.7704446942928001E-2</c:v>
                </c:pt>
                <c:pt idx="1088">
                  <c:v>7.3234313128095863E-2</c:v>
                </c:pt>
                <c:pt idx="1089">
                  <c:v>7.755120427471357E-2</c:v>
                </c:pt>
                <c:pt idx="1090">
                  <c:v>8.1751273241704545E-2</c:v>
                </c:pt>
                <c:pt idx="1091">
                  <c:v>7.6682323677038144E-2</c:v>
                </c:pt>
                <c:pt idx="1092">
                  <c:v>8.0851821331556745E-2</c:v>
                </c:pt>
                <c:pt idx="1093">
                  <c:v>3.1057572638333395E-2</c:v>
                </c:pt>
                <c:pt idx="1094">
                  <c:v>3.1057572638333395E-2</c:v>
                </c:pt>
                <c:pt idx="1095">
                  <c:v>3.1057572638333395E-2</c:v>
                </c:pt>
                <c:pt idx="1096">
                  <c:v>3.1057572638333395E-2</c:v>
                </c:pt>
                <c:pt idx="1097">
                  <c:v>3.1057572638333395E-2</c:v>
                </c:pt>
                <c:pt idx="1098">
                  <c:v>3.1057572638333395E-2</c:v>
                </c:pt>
                <c:pt idx="1099">
                  <c:v>3.1057572638333395E-2</c:v>
                </c:pt>
                <c:pt idx="1100">
                  <c:v>3.1057572638333395E-2</c:v>
                </c:pt>
                <c:pt idx="1101">
                  <c:v>3.1057572638333395E-2</c:v>
                </c:pt>
                <c:pt idx="1102">
                  <c:v>3.1057572638333395E-2</c:v>
                </c:pt>
                <c:pt idx="1103">
                  <c:v>3.1057572638333395E-2</c:v>
                </c:pt>
                <c:pt idx="1104">
                  <c:v>0.17082431118770053</c:v>
                </c:pt>
                <c:pt idx="1105">
                  <c:v>0.18203329000940777</c:v>
                </c:pt>
                <c:pt idx="1106">
                  <c:v>0.17822825756025759</c:v>
                </c:pt>
                <c:pt idx="1107">
                  <c:v>4.1736900640717833E-2</c:v>
                </c:pt>
                <c:pt idx="1108">
                  <c:v>4.5861076112358373E-2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B2-45F2-9725-7F5B52686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77712"/>
        <c:axId val="1496667872"/>
      </c:scatterChart>
      <c:valAx>
        <c:axId val="149667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67872"/>
        <c:crosses val="autoZero"/>
        <c:crossBetween val="midCat"/>
      </c:valAx>
      <c:valAx>
        <c:axId val="149666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Consumtion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7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&amp; Torque Demand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Torque Demand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Cycle'!$T$3:$T$1111</c:f>
              <c:numCache>
                <c:formatCode>General</c:formatCode>
                <c:ptCount val="1109"/>
                <c:pt idx="0">
                  <c:v>0</c:v>
                </c:pt>
                <c:pt idx="1">
                  <c:v>8.4105294004096063</c:v>
                </c:pt>
                <c:pt idx="2">
                  <c:v>4.2222548869939818</c:v>
                </c:pt>
                <c:pt idx="3">
                  <c:v>2.8337145766506295</c:v>
                </c:pt>
                <c:pt idx="4">
                  <c:v>2.1451078170753464</c:v>
                </c:pt>
                <c:pt idx="5">
                  <c:v>1.7364744778072909</c:v>
                </c:pt>
                <c:pt idx="6">
                  <c:v>1.4678278486928489</c:v>
                </c:pt>
                <c:pt idx="7">
                  <c:v>1.2752234016972332</c:v>
                </c:pt>
                <c:pt idx="8">
                  <c:v>1.1370582099715514</c:v>
                </c:pt>
                <c:pt idx="9">
                  <c:v>1.0321134588944181</c:v>
                </c:pt>
                <c:pt idx="10">
                  <c:v>1.0183103745763591</c:v>
                </c:pt>
                <c:pt idx="11">
                  <c:v>0.24713673828508664</c:v>
                </c:pt>
                <c:pt idx="12">
                  <c:v>0.27504918801016476</c:v>
                </c:pt>
                <c:pt idx="13">
                  <c:v>0.3053888072765541</c:v>
                </c:pt>
                <c:pt idx="14">
                  <c:v>0.31759034207768627</c:v>
                </c:pt>
                <c:pt idx="15">
                  <c:v>0.31693762037236189</c:v>
                </c:pt>
                <c:pt idx="16">
                  <c:v>0.31693762037236189</c:v>
                </c:pt>
                <c:pt idx="17">
                  <c:v>0.31693762037236189</c:v>
                </c:pt>
                <c:pt idx="18">
                  <c:v>0.31693762037236189</c:v>
                </c:pt>
                <c:pt idx="19">
                  <c:v>0.31693762037236189</c:v>
                </c:pt>
                <c:pt idx="20">
                  <c:v>0.31693762037236189</c:v>
                </c:pt>
                <c:pt idx="21">
                  <c:v>0.31693762037236189</c:v>
                </c:pt>
                <c:pt idx="22">
                  <c:v>0.31693762037236189</c:v>
                </c:pt>
                <c:pt idx="23">
                  <c:v>0.31693762037236189</c:v>
                </c:pt>
                <c:pt idx="24">
                  <c:v>0.31693762037236189</c:v>
                </c:pt>
                <c:pt idx="25">
                  <c:v>0.31693762037236189</c:v>
                </c:pt>
                <c:pt idx="26">
                  <c:v>0.31693762037236189</c:v>
                </c:pt>
                <c:pt idx="27">
                  <c:v>0.31693762037236189</c:v>
                </c:pt>
                <c:pt idx="28">
                  <c:v>0.31693762037236189</c:v>
                </c:pt>
                <c:pt idx="29">
                  <c:v>0.31693762037236189</c:v>
                </c:pt>
                <c:pt idx="30">
                  <c:v>0.31693762037236189</c:v>
                </c:pt>
                <c:pt idx="31">
                  <c:v>0.31693762037236189</c:v>
                </c:pt>
                <c:pt idx="32">
                  <c:v>0.31693762037236189</c:v>
                </c:pt>
                <c:pt idx="33">
                  <c:v>0.31693762037236189</c:v>
                </c:pt>
                <c:pt idx="34">
                  <c:v>0.31693762037236189</c:v>
                </c:pt>
                <c:pt idx="35">
                  <c:v>0.31693762037236189</c:v>
                </c:pt>
                <c:pt idx="36">
                  <c:v>0.31693762037236189</c:v>
                </c:pt>
                <c:pt idx="37">
                  <c:v>0.31693762037236189</c:v>
                </c:pt>
                <c:pt idx="38">
                  <c:v>0.31693762037236189</c:v>
                </c:pt>
                <c:pt idx="39">
                  <c:v>0.31693762037236189</c:v>
                </c:pt>
                <c:pt idx="40">
                  <c:v>0.31693762037236189</c:v>
                </c:pt>
                <c:pt idx="41">
                  <c:v>0.31693762037236189</c:v>
                </c:pt>
                <c:pt idx="42">
                  <c:v>0.31693762037236189</c:v>
                </c:pt>
                <c:pt idx="43">
                  <c:v>0.31693762037236189</c:v>
                </c:pt>
                <c:pt idx="44">
                  <c:v>0.31693762037236189</c:v>
                </c:pt>
                <c:pt idx="45">
                  <c:v>0.31693762037236189</c:v>
                </c:pt>
                <c:pt idx="46">
                  <c:v>0.31693762037236189</c:v>
                </c:pt>
                <c:pt idx="47">
                  <c:v>0.31693762037236189</c:v>
                </c:pt>
                <c:pt idx="48">
                  <c:v>0.31693762037236189</c:v>
                </c:pt>
                <c:pt idx="49">
                  <c:v>0.31693762037236189</c:v>
                </c:pt>
                <c:pt idx="50">
                  <c:v>0.31693762037236189</c:v>
                </c:pt>
                <c:pt idx="51">
                  <c:v>0.31693762037236189</c:v>
                </c:pt>
                <c:pt idx="52">
                  <c:v>0.31693762037236189</c:v>
                </c:pt>
                <c:pt idx="53">
                  <c:v>0.31693762037236189</c:v>
                </c:pt>
                <c:pt idx="54">
                  <c:v>0.31693762037236189</c:v>
                </c:pt>
                <c:pt idx="55">
                  <c:v>0.31693762037236189</c:v>
                </c:pt>
                <c:pt idx="56">
                  <c:v>0.31693762037236189</c:v>
                </c:pt>
                <c:pt idx="57">
                  <c:v>0.31693762037236189</c:v>
                </c:pt>
                <c:pt idx="58">
                  <c:v>0.31693762037236189</c:v>
                </c:pt>
                <c:pt idx="59">
                  <c:v>0.31693762037236189</c:v>
                </c:pt>
                <c:pt idx="60">
                  <c:v>0.31693762037236189</c:v>
                </c:pt>
                <c:pt idx="61">
                  <c:v>0.31693762037236189</c:v>
                </c:pt>
                <c:pt idx="62">
                  <c:v>0.31693762037236189</c:v>
                </c:pt>
                <c:pt idx="63">
                  <c:v>0.31693762037236189</c:v>
                </c:pt>
                <c:pt idx="64">
                  <c:v>0.31693762037236189</c:v>
                </c:pt>
                <c:pt idx="65">
                  <c:v>0.31693762037236189</c:v>
                </c:pt>
                <c:pt idx="66">
                  <c:v>0.31693762037236189</c:v>
                </c:pt>
                <c:pt idx="67">
                  <c:v>0.31693762037236189</c:v>
                </c:pt>
                <c:pt idx="68">
                  <c:v>0.31693762037236189</c:v>
                </c:pt>
                <c:pt idx="69">
                  <c:v>0.31693762037236189</c:v>
                </c:pt>
                <c:pt idx="70">
                  <c:v>0.31693762037236189</c:v>
                </c:pt>
                <c:pt idx="71">
                  <c:v>0.31693762037236189</c:v>
                </c:pt>
                <c:pt idx="72">
                  <c:v>0.31693762037236189</c:v>
                </c:pt>
                <c:pt idx="73">
                  <c:v>0.31693762037236189</c:v>
                </c:pt>
                <c:pt idx="74">
                  <c:v>0.31693762037236189</c:v>
                </c:pt>
                <c:pt idx="75">
                  <c:v>0.31693762037236189</c:v>
                </c:pt>
                <c:pt idx="76">
                  <c:v>0.31693762037236189</c:v>
                </c:pt>
                <c:pt idx="77">
                  <c:v>0.31693762037236189</c:v>
                </c:pt>
                <c:pt idx="78">
                  <c:v>0.31693762037236189</c:v>
                </c:pt>
                <c:pt idx="79">
                  <c:v>0.31693762037236189</c:v>
                </c:pt>
                <c:pt idx="80">
                  <c:v>0.31693762037236189</c:v>
                </c:pt>
                <c:pt idx="81">
                  <c:v>0.31693762037236189</c:v>
                </c:pt>
                <c:pt idx="82">
                  <c:v>0.31693762037236189</c:v>
                </c:pt>
                <c:pt idx="83">
                  <c:v>0.31693762037236189</c:v>
                </c:pt>
                <c:pt idx="84">
                  <c:v>0.31693762037236189</c:v>
                </c:pt>
                <c:pt idx="85">
                  <c:v>0.31693762037236189</c:v>
                </c:pt>
                <c:pt idx="86">
                  <c:v>0.31693762037236189</c:v>
                </c:pt>
                <c:pt idx="87">
                  <c:v>0.31693762037236189</c:v>
                </c:pt>
                <c:pt idx="88">
                  <c:v>0.31693762037236189</c:v>
                </c:pt>
                <c:pt idx="89">
                  <c:v>0.31693762037236189</c:v>
                </c:pt>
                <c:pt idx="90">
                  <c:v>0.31693762037236189</c:v>
                </c:pt>
                <c:pt idx="91">
                  <c:v>0.31693762037236189</c:v>
                </c:pt>
                <c:pt idx="92">
                  <c:v>0.31693762037236189</c:v>
                </c:pt>
                <c:pt idx="93">
                  <c:v>0.25829978231438322</c:v>
                </c:pt>
                <c:pt idx="94">
                  <c:v>0.17795634404380509</c:v>
                </c:pt>
                <c:pt idx="95">
                  <c:v>0.17521330366893006</c:v>
                </c:pt>
                <c:pt idx="96">
                  <c:v>0.16454396624622752</c:v>
                </c:pt>
                <c:pt idx="97">
                  <c:v>0.146340194686394</c:v>
                </c:pt>
                <c:pt idx="98">
                  <c:v>0.67850747510930554</c:v>
                </c:pt>
                <c:pt idx="99">
                  <c:v>0.67850747510930554</c:v>
                </c:pt>
                <c:pt idx="100">
                  <c:v>0.67850747510930554</c:v>
                </c:pt>
                <c:pt idx="101">
                  <c:v>0.67850747510930554</c:v>
                </c:pt>
                <c:pt idx="102">
                  <c:v>0.67850747510930554</c:v>
                </c:pt>
                <c:pt idx="103">
                  <c:v>0.67850747510930554</c:v>
                </c:pt>
                <c:pt idx="104">
                  <c:v>0.67850747510930554</c:v>
                </c:pt>
                <c:pt idx="105">
                  <c:v>0.67850747510930554</c:v>
                </c:pt>
                <c:pt idx="106">
                  <c:v>0.67850747510930554</c:v>
                </c:pt>
                <c:pt idx="107">
                  <c:v>0.67850747510930554</c:v>
                </c:pt>
                <c:pt idx="108">
                  <c:v>0.67850747510930554</c:v>
                </c:pt>
                <c:pt idx="109">
                  <c:v>0.6476662262407008</c:v>
                </c:pt>
                <c:pt idx="110">
                  <c:v>0.3208907193451922</c:v>
                </c:pt>
                <c:pt idx="111">
                  <c:v>0.32888025399013515</c:v>
                </c:pt>
                <c:pt idx="112">
                  <c:v>0.34202036839135441</c:v>
                </c:pt>
                <c:pt idx="113">
                  <c:v>0.34131743732408198</c:v>
                </c:pt>
                <c:pt idx="114">
                  <c:v>0.34131743732408198</c:v>
                </c:pt>
                <c:pt idx="115">
                  <c:v>0.34131743732408198</c:v>
                </c:pt>
                <c:pt idx="116">
                  <c:v>0.23114077512473666</c:v>
                </c:pt>
                <c:pt idx="117">
                  <c:v>0.23698710424522193</c:v>
                </c:pt>
                <c:pt idx="118">
                  <c:v>0.25124044606863494</c:v>
                </c:pt>
                <c:pt idx="119">
                  <c:v>0.25038321305976613</c:v>
                </c:pt>
                <c:pt idx="120">
                  <c:v>0.28085030287457419</c:v>
                </c:pt>
                <c:pt idx="121">
                  <c:v>0.10273100680875849</c:v>
                </c:pt>
                <c:pt idx="122">
                  <c:v>0.13339180664669426</c:v>
                </c:pt>
                <c:pt idx="123">
                  <c:v>0.13183164257055302</c:v>
                </c:pt>
                <c:pt idx="124">
                  <c:v>0.13183164257055302</c:v>
                </c:pt>
                <c:pt idx="125">
                  <c:v>0.13183164257055302</c:v>
                </c:pt>
                <c:pt idx="126">
                  <c:v>0.13183164257055302</c:v>
                </c:pt>
                <c:pt idx="127">
                  <c:v>0.13183164257055302</c:v>
                </c:pt>
                <c:pt idx="128">
                  <c:v>0.13183164257055302</c:v>
                </c:pt>
                <c:pt idx="129">
                  <c:v>0.13183164257055302</c:v>
                </c:pt>
                <c:pt idx="130">
                  <c:v>0.13183164257055302</c:v>
                </c:pt>
                <c:pt idx="131">
                  <c:v>0.13183164257055302</c:v>
                </c:pt>
                <c:pt idx="132">
                  <c:v>0.13183164257055302</c:v>
                </c:pt>
                <c:pt idx="133">
                  <c:v>0.1318316425705528</c:v>
                </c:pt>
                <c:pt idx="134">
                  <c:v>0.1318316425705528</c:v>
                </c:pt>
                <c:pt idx="135">
                  <c:v>0.1318316425705528</c:v>
                </c:pt>
                <c:pt idx="136">
                  <c:v>0.1318316425705528</c:v>
                </c:pt>
                <c:pt idx="137">
                  <c:v>0.1318316425705528</c:v>
                </c:pt>
                <c:pt idx="138">
                  <c:v>0.1318316425705528</c:v>
                </c:pt>
                <c:pt idx="139">
                  <c:v>0.1318316425705528</c:v>
                </c:pt>
                <c:pt idx="140">
                  <c:v>0.1318316425705528</c:v>
                </c:pt>
                <c:pt idx="141">
                  <c:v>0.1318316425705528</c:v>
                </c:pt>
                <c:pt idx="142">
                  <c:v>0.13183164257055285</c:v>
                </c:pt>
                <c:pt idx="143">
                  <c:v>0.13183164257055285</c:v>
                </c:pt>
                <c:pt idx="144">
                  <c:v>0.13183164257055285</c:v>
                </c:pt>
                <c:pt idx="145">
                  <c:v>0.27821893918471186</c:v>
                </c:pt>
                <c:pt idx="146">
                  <c:v>0.34131743732408198</c:v>
                </c:pt>
                <c:pt idx="147">
                  <c:v>0.34131743732408198</c:v>
                </c:pt>
                <c:pt idx="148">
                  <c:v>0.34131743732408198</c:v>
                </c:pt>
                <c:pt idx="149">
                  <c:v>0.34131743732408198</c:v>
                </c:pt>
                <c:pt idx="150">
                  <c:v>0.34131743732408198</c:v>
                </c:pt>
                <c:pt idx="151">
                  <c:v>0.34131743732408198</c:v>
                </c:pt>
                <c:pt idx="152">
                  <c:v>0.34131743732408198</c:v>
                </c:pt>
                <c:pt idx="153">
                  <c:v>0.34131743732408198</c:v>
                </c:pt>
                <c:pt idx="154">
                  <c:v>0.34131743732408198</c:v>
                </c:pt>
                <c:pt idx="155">
                  <c:v>0.34131743732408198</c:v>
                </c:pt>
                <c:pt idx="156">
                  <c:v>0.34131743732408198</c:v>
                </c:pt>
                <c:pt idx="157">
                  <c:v>0.30585784646814623</c:v>
                </c:pt>
                <c:pt idx="158">
                  <c:v>0.27472659652059078</c:v>
                </c:pt>
                <c:pt idx="159">
                  <c:v>0.66270874596856133</c:v>
                </c:pt>
                <c:pt idx="160">
                  <c:v>0.75356822307129501</c:v>
                </c:pt>
                <c:pt idx="161">
                  <c:v>0.8592015582367396</c:v>
                </c:pt>
                <c:pt idx="162">
                  <c:v>0.98453337081913228</c:v>
                </c:pt>
                <c:pt idx="163">
                  <c:v>1.1369505898498291</c:v>
                </c:pt>
                <c:pt idx="164">
                  <c:v>1.3280612466638166</c:v>
                </c:pt>
                <c:pt idx="165">
                  <c:v>1.5772120601527406</c:v>
                </c:pt>
                <c:pt idx="166">
                  <c:v>1.9192271243215635</c:v>
                </c:pt>
                <c:pt idx="167">
                  <c:v>0.315875453454665</c:v>
                </c:pt>
                <c:pt idx="168">
                  <c:v>0.315875453454665</c:v>
                </c:pt>
                <c:pt idx="169">
                  <c:v>0.315875453454665</c:v>
                </c:pt>
                <c:pt idx="170">
                  <c:v>0.315875453454665</c:v>
                </c:pt>
                <c:pt idx="171">
                  <c:v>0.315875453454665</c:v>
                </c:pt>
                <c:pt idx="172">
                  <c:v>0.315875453454665</c:v>
                </c:pt>
                <c:pt idx="173">
                  <c:v>0.315875453454665</c:v>
                </c:pt>
                <c:pt idx="174">
                  <c:v>0.315875453454665</c:v>
                </c:pt>
                <c:pt idx="175">
                  <c:v>0.315875453454665</c:v>
                </c:pt>
                <c:pt idx="176">
                  <c:v>0.315875453454665</c:v>
                </c:pt>
                <c:pt idx="177">
                  <c:v>0.315875453454665</c:v>
                </c:pt>
                <c:pt idx="178">
                  <c:v>2.5858461531039687</c:v>
                </c:pt>
                <c:pt idx="179">
                  <c:v>2.6192148799579145</c:v>
                </c:pt>
                <c:pt idx="180">
                  <c:v>2.6593796815275317</c:v>
                </c:pt>
                <c:pt idx="181">
                  <c:v>1.9271750629128703</c:v>
                </c:pt>
                <c:pt idx="182">
                  <c:v>1.5287789105994318</c:v>
                </c:pt>
                <c:pt idx="183">
                  <c:v>1.2783432112707309</c:v>
                </c:pt>
                <c:pt idx="184">
                  <c:v>1.1075785250876573</c:v>
                </c:pt>
                <c:pt idx="185">
                  <c:v>1.1360959001445701</c:v>
                </c:pt>
                <c:pt idx="186">
                  <c:v>1.1672271500921254</c:v>
                </c:pt>
                <c:pt idx="187">
                  <c:v>1.2009722749303235</c:v>
                </c:pt>
                <c:pt idx="188">
                  <c:v>0.34131743732408198</c:v>
                </c:pt>
                <c:pt idx="189">
                  <c:v>0.34131743732408198</c:v>
                </c:pt>
                <c:pt idx="190">
                  <c:v>0.34131743732408198</c:v>
                </c:pt>
                <c:pt idx="191">
                  <c:v>0.34131743732408198</c:v>
                </c:pt>
                <c:pt idx="192">
                  <c:v>0.34131743732408198</c:v>
                </c:pt>
                <c:pt idx="193">
                  <c:v>0.34131743732408198</c:v>
                </c:pt>
                <c:pt idx="194">
                  <c:v>0.34131743732408198</c:v>
                </c:pt>
                <c:pt idx="195">
                  <c:v>0.34131743732408198</c:v>
                </c:pt>
                <c:pt idx="196">
                  <c:v>0.34131743732408198</c:v>
                </c:pt>
                <c:pt idx="197">
                  <c:v>0.34131743732408198</c:v>
                </c:pt>
                <c:pt idx="198">
                  <c:v>0.34131743732408198</c:v>
                </c:pt>
                <c:pt idx="199">
                  <c:v>0.34131743732408198</c:v>
                </c:pt>
                <c:pt idx="200">
                  <c:v>0.34131743732408198</c:v>
                </c:pt>
                <c:pt idx="201">
                  <c:v>0.34131743732408198</c:v>
                </c:pt>
                <c:pt idx="202">
                  <c:v>0.34131743732408198</c:v>
                </c:pt>
                <c:pt idx="203">
                  <c:v>0.34131743732408198</c:v>
                </c:pt>
                <c:pt idx="204">
                  <c:v>0.34131743732408198</c:v>
                </c:pt>
                <c:pt idx="205">
                  <c:v>0.34131743732408198</c:v>
                </c:pt>
                <c:pt idx="206">
                  <c:v>0.34131743732408198</c:v>
                </c:pt>
                <c:pt idx="207">
                  <c:v>0.34131743732408198</c:v>
                </c:pt>
                <c:pt idx="208">
                  <c:v>0.34131743732408198</c:v>
                </c:pt>
                <c:pt idx="209">
                  <c:v>0.34131743732408198</c:v>
                </c:pt>
                <c:pt idx="210">
                  <c:v>0.34131743732408198</c:v>
                </c:pt>
                <c:pt idx="211">
                  <c:v>0.34131743732408198</c:v>
                </c:pt>
                <c:pt idx="212">
                  <c:v>0.34131743732408198</c:v>
                </c:pt>
                <c:pt idx="213">
                  <c:v>0.34131743732408198</c:v>
                </c:pt>
                <c:pt idx="214">
                  <c:v>0.30585784646814623</c:v>
                </c:pt>
                <c:pt idx="215">
                  <c:v>0.27472659652059078</c:v>
                </c:pt>
                <c:pt idx="216">
                  <c:v>0.24620922146367819</c:v>
                </c:pt>
                <c:pt idx="217">
                  <c:v>0.72080438728558638</c:v>
                </c:pt>
                <c:pt idx="218">
                  <c:v>0.8592015582367396</c:v>
                </c:pt>
                <c:pt idx="219">
                  <c:v>1.0424470985143754</c:v>
                </c:pt>
                <c:pt idx="220">
                  <c:v>1.2993721026855189</c:v>
                </c:pt>
                <c:pt idx="221">
                  <c:v>1.697801104603768</c:v>
                </c:pt>
                <c:pt idx="222">
                  <c:v>2.3761874273976127</c:v>
                </c:pt>
                <c:pt idx="223">
                  <c:v>3.8550451881127294</c:v>
                </c:pt>
                <c:pt idx="224">
                  <c:v>0.63175090690933</c:v>
                </c:pt>
                <c:pt idx="225">
                  <c:v>0.63175090690933</c:v>
                </c:pt>
                <c:pt idx="226">
                  <c:v>0.63175090690933</c:v>
                </c:pt>
                <c:pt idx="227">
                  <c:v>0.63175090690933</c:v>
                </c:pt>
                <c:pt idx="228">
                  <c:v>0.63175090690933</c:v>
                </c:pt>
                <c:pt idx="229">
                  <c:v>0.63175090690933</c:v>
                </c:pt>
                <c:pt idx="230">
                  <c:v>0.63175090690933</c:v>
                </c:pt>
                <c:pt idx="231">
                  <c:v>0.63175090690933</c:v>
                </c:pt>
                <c:pt idx="232">
                  <c:v>0.63175090690933</c:v>
                </c:pt>
                <c:pt idx="233">
                  <c:v>0.63175090690933</c:v>
                </c:pt>
                <c:pt idx="234">
                  <c:v>0.63175090690933</c:v>
                </c:pt>
                <c:pt idx="235">
                  <c:v>0.63175090690933</c:v>
                </c:pt>
                <c:pt idx="236">
                  <c:v>1.8125141174248227</c:v>
                </c:pt>
                <c:pt idx="237">
                  <c:v>1.6268301437205044</c:v>
                </c:pt>
                <c:pt idx="238">
                  <c:v>1.479981983435968</c:v>
                </c:pt>
                <c:pt idx="239">
                  <c:v>1.3613780510930911</c:v>
                </c:pt>
                <c:pt idx="240">
                  <c:v>1.2605008439836238</c:v>
                </c:pt>
                <c:pt idx="241">
                  <c:v>1.1796407099266275</c:v>
                </c:pt>
                <c:pt idx="242">
                  <c:v>1.1115456083627153</c:v>
                </c:pt>
                <c:pt idx="243">
                  <c:v>1.0536625327932692</c:v>
                </c:pt>
                <c:pt idx="244">
                  <c:v>1.0040767283443279</c:v>
                </c:pt>
                <c:pt idx="245">
                  <c:v>0.96132397070050779</c:v>
                </c:pt>
                <c:pt idx="246">
                  <c:v>0.92426541872762191</c:v>
                </c:pt>
                <c:pt idx="247">
                  <c:v>0.89200198731973346</c:v>
                </c:pt>
                <c:pt idx="248">
                  <c:v>0.86381440839209278</c:v>
                </c:pt>
                <c:pt idx="249">
                  <c:v>0.83912041730466458</c:v>
                </c:pt>
                <c:pt idx="250">
                  <c:v>0.81744361571560142</c:v>
                </c:pt>
                <c:pt idx="251">
                  <c:v>0.31346763844465764</c:v>
                </c:pt>
                <c:pt idx="252">
                  <c:v>0.33506067671225659</c:v>
                </c:pt>
                <c:pt idx="253">
                  <c:v>0.3185296245316897</c:v>
                </c:pt>
                <c:pt idx="254">
                  <c:v>0.31693762037236189</c:v>
                </c:pt>
                <c:pt idx="255">
                  <c:v>0.31693762037236189</c:v>
                </c:pt>
                <c:pt idx="256">
                  <c:v>0.31693762037236189</c:v>
                </c:pt>
                <c:pt idx="257">
                  <c:v>0.31693762037236189</c:v>
                </c:pt>
                <c:pt idx="258">
                  <c:v>0.31693762037236189</c:v>
                </c:pt>
                <c:pt idx="259">
                  <c:v>0.31693762037236189</c:v>
                </c:pt>
                <c:pt idx="260">
                  <c:v>0.31693762037236189</c:v>
                </c:pt>
                <c:pt idx="261">
                  <c:v>0.31693762037236189</c:v>
                </c:pt>
                <c:pt idx="262">
                  <c:v>0.31693762037236189</c:v>
                </c:pt>
                <c:pt idx="263">
                  <c:v>0.31693762037236189</c:v>
                </c:pt>
                <c:pt idx="264">
                  <c:v>0.31693762037236189</c:v>
                </c:pt>
                <c:pt idx="265">
                  <c:v>0.32867605075652345</c:v>
                </c:pt>
                <c:pt idx="266">
                  <c:v>0.34131743732408198</c:v>
                </c:pt>
                <c:pt idx="267">
                  <c:v>0.27278968280054505</c:v>
                </c:pt>
                <c:pt idx="268">
                  <c:v>8.0329955105585438E-2</c:v>
                </c:pt>
                <c:pt idx="269">
                  <c:v>6.6463023173407187E-2</c:v>
                </c:pt>
                <c:pt idx="270">
                  <c:v>5.2107742283266548E-2</c:v>
                </c:pt>
                <c:pt idx="271">
                  <c:v>0.56008560086877301</c:v>
                </c:pt>
                <c:pt idx="272">
                  <c:v>0.56008560086877301</c:v>
                </c:pt>
                <c:pt idx="273">
                  <c:v>0.56008560086877301</c:v>
                </c:pt>
                <c:pt idx="274">
                  <c:v>0.56008560086877301</c:v>
                </c:pt>
                <c:pt idx="275">
                  <c:v>0.56008560086877301</c:v>
                </c:pt>
                <c:pt idx="276">
                  <c:v>0.56008560086877301</c:v>
                </c:pt>
                <c:pt idx="277">
                  <c:v>0.56008560086877301</c:v>
                </c:pt>
                <c:pt idx="278">
                  <c:v>0.5600856008687729</c:v>
                </c:pt>
                <c:pt idx="279">
                  <c:v>0.5600856008687729</c:v>
                </c:pt>
                <c:pt idx="280">
                  <c:v>0.5600856008687729</c:v>
                </c:pt>
                <c:pt idx="281">
                  <c:v>0.5600856008687729</c:v>
                </c:pt>
                <c:pt idx="282">
                  <c:v>0.5600856008687729</c:v>
                </c:pt>
                <c:pt idx="283">
                  <c:v>0.5600856008687729</c:v>
                </c:pt>
                <c:pt idx="284">
                  <c:v>0.5600856008687729</c:v>
                </c:pt>
                <c:pt idx="285">
                  <c:v>1.4452729854104875</c:v>
                </c:pt>
                <c:pt idx="286">
                  <c:v>0.33730619926620353</c:v>
                </c:pt>
                <c:pt idx="287">
                  <c:v>0.32802302098126629</c:v>
                </c:pt>
                <c:pt idx="288">
                  <c:v>0.31759034207768627</c:v>
                </c:pt>
                <c:pt idx="289">
                  <c:v>0.31693762037236189</c:v>
                </c:pt>
                <c:pt idx="290">
                  <c:v>0.31693762037236189</c:v>
                </c:pt>
                <c:pt idx="291">
                  <c:v>0.31693762037236189</c:v>
                </c:pt>
                <c:pt idx="292">
                  <c:v>0.31693762037236189</c:v>
                </c:pt>
                <c:pt idx="293">
                  <c:v>0.31693762037236189</c:v>
                </c:pt>
                <c:pt idx="294">
                  <c:v>0.31693762037236189</c:v>
                </c:pt>
                <c:pt idx="295">
                  <c:v>0.31693762037236189</c:v>
                </c:pt>
                <c:pt idx="296">
                  <c:v>0.55208252512035783</c:v>
                </c:pt>
                <c:pt idx="297">
                  <c:v>0.63181492299023934</c:v>
                </c:pt>
                <c:pt idx="298">
                  <c:v>0.72295499560206711</c:v>
                </c:pt>
                <c:pt idx="299">
                  <c:v>0.82892504537842437</c:v>
                </c:pt>
                <c:pt idx="300">
                  <c:v>0.95466839804082171</c:v>
                </c:pt>
                <c:pt idx="301">
                  <c:v>1.107600042171524</c:v>
                </c:pt>
                <c:pt idx="302">
                  <c:v>1.2993721026855189</c:v>
                </c:pt>
                <c:pt idx="303">
                  <c:v>1.5563176792201203</c:v>
                </c:pt>
                <c:pt idx="304">
                  <c:v>1.5841249515984084</c:v>
                </c:pt>
                <c:pt idx="305">
                  <c:v>0.28537342132744947</c:v>
                </c:pt>
                <c:pt idx="306">
                  <c:v>0.28537342132744947</c:v>
                </c:pt>
                <c:pt idx="307">
                  <c:v>0.28537342132744947</c:v>
                </c:pt>
                <c:pt idx="308">
                  <c:v>0.28537342132744947</c:v>
                </c:pt>
                <c:pt idx="309">
                  <c:v>0.28537342132744947</c:v>
                </c:pt>
                <c:pt idx="310">
                  <c:v>0.28537342132744947</c:v>
                </c:pt>
                <c:pt idx="311">
                  <c:v>0.28537342132744947</c:v>
                </c:pt>
                <c:pt idx="312">
                  <c:v>0.28537342132744947</c:v>
                </c:pt>
                <c:pt idx="313">
                  <c:v>1.0571299881685485</c:v>
                </c:pt>
                <c:pt idx="314">
                  <c:v>0.93594741012649996</c:v>
                </c:pt>
                <c:pt idx="315">
                  <c:v>0.84033389598908248</c:v>
                </c:pt>
                <c:pt idx="316">
                  <c:v>0.76676646145230798</c:v>
                </c:pt>
                <c:pt idx="317">
                  <c:v>0.7073472053217279</c:v>
                </c:pt>
                <c:pt idx="318">
                  <c:v>0.65853908299579322</c:v>
                </c:pt>
                <c:pt idx="319">
                  <c:v>0.61789337128881716</c:v>
                </c:pt>
                <c:pt idx="320">
                  <c:v>0.58366098221102258</c:v>
                </c:pt>
                <c:pt idx="321">
                  <c:v>0.59417062632489992</c:v>
                </c:pt>
                <c:pt idx="322">
                  <c:v>0.60528706282410494</c:v>
                </c:pt>
                <c:pt idx="323">
                  <c:v>3.1529015385577813E-2</c:v>
                </c:pt>
                <c:pt idx="324">
                  <c:v>5.04859568987327E-3</c:v>
                </c:pt>
                <c:pt idx="325">
                  <c:v>2.38589935471425E-2</c:v>
                </c:pt>
                <c:pt idx="326">
                  <c:v>5.5193752325469372E-2</c:v>
                </c:pt>
                <c:pt idx="327">
                  <c:v>5.3601748166141584E-2</c:v>
                </c:pt>
                <c:pt idx="328">
                  <c:v>0.8356750028809028</c:v>
                </c:pt>
                <c:pt idx="329">
                  <c:v>0.93904010723082965</c:v>
                </c:pt>
                <c:pt idx="330">
                  <c:v>1.0581097420463474</c:v>
                </c:pt>
                <c:pt idx="331">
                  <c:v>1.1975952664671328</c:v>
                </c:pt>
                <c:pt idx="332">
                  <c:v>1.3643019770282754</c:v>
                </c:pt>
                <c:pt idx="333">
                  <c:v>1.5684378185324095</c:v>
                </c:pt>
                <c:pt idx="334">
                  <c:v>1.8260438470979596</c:v>
                </c:pt>
                <c:pt idx="335">
                  <c:v>1.5083794380249524</c:v>
                </c:pt>
                <c:pt idx="336">
                  <c:v>1.106083610306472</c:v>
                </c:pt>
                <c:pt idx="337">
                  <c:v>1.4158203280559332</c:v>
                </c:pt>
                <c:pt idx="338">
                  <c:v>1.4405410498341871</c:v>
                </c:pt>
                <c:pt idx="339">
                  <c:v>1.3533371723860985</c:v>
                </c:pt>
                <c:pt idx="340">
                  <c:v>1.3533371723860985</c:v>
                </c:pt>
                <c:pt idx="341">
                  <c:v>1.3533371723860985</c:v>
                </c:pt>
                <c:pt idx="342">
                  <c:v>1.3533371723860985</c:v>
                </c:pt>
                <c:pt idx="343">
                  <c:v>2.761574757711045</c:v>
                </c:pt>
                <c:pt idx="344">
                  <c:v>2.4666640046884396</c:v>
                </c:pt>
                <c:pt idx="345">
                  <c:v>2.2324344209492746</c:v>
                </c:pt>
                <c:pt idx="346">
                  <c:v>2.0423365966889735</c:v>
                </c:pt>
                <c:pt idx="347">
                  <c:v>1.8853375920378204</c:v>
                </c:pt>
                <c:pt idx="348">
                  <c:v>1.7537992178552431</c:v>
                </c:pt>
                <c:pt idx="349">
                  <c:v>1.6422656247551184</c:v>
                </c:pt>
                <c:pt idx="350">
                  <c:v>0.80318753447758506</c:v>
                </c:pt>
                <c:pt idx="351">
                  <c:v>0.76713264407472692</c:v>
                </c:pt>
                <c:pt idx="352">
                  <c:v>0.73631892823627398</c:v>
                </c:pt>
                <c:pt idx="353">
                  <c:v>0.70987285786815912</c:v>
                </c:pt>
                <c:pt idx="354">
                  <c:v>0.68710480473822366</c:v>
                </c:pt>
                <c:pt idx="355">
                  <c:v>0.67569558459851653</c:v>
                </c:pt>
                <c:pt idx="356">
                  <c:v>0.66666266595594137</c:v>
                </c:pt>
                <c:pt idx="357">
                  <c:v>0.66018855447522073</c:v>
                </c:pt>
                <c:pt idx="358">
                  <c:v>0.65593949270046048</c:v>
                </c:pt>
                <c:pt idx="359">
                  <c:v>0.66279853582759696</c:v>
                </c:pt>
                <c:pt idx="360">
                  <c:v>0.59944778948769573</c:v>
                </c:pt>
                <c:pt idx="361">
                  <c:v>0.59785578532836803</c:v>
                </c:pt>
                <c:pt idx="362">
                  <c:v>0.59785578532836803</c:v>
                </c:pt>
                <c:pt idx="363">
                  <c:v>0.59785578532836803</c:v>
                </c:pt>
                <c:pt idx="364">
                  <c:v>0.59785578532836803</c:v>
                </c:pt>
                <c:pt idx="365">
                  <c:v>0.59785578532836803</c:v>
                </c:pt>
                <c:pt idx="366">
                  <c:v>0.59785578532836803</c:v>
                </c:pt>
                <c:pt idx="367">
                  <c:v>2.645033071223913E-2</c:v>
                </c:pt>
                <c:pt idx="368">
                  <c:v>5.4745080526390516E-2</c:v>
                </c:pt>
                <c:pt idx="369">
                  <c:v>8.6446697566949032E-2</c:v>
                </c:pt>
                <c:pt idx="370">
                  <c:v>0.12257724200183655</c:v>
                </c:pt>
                <c:pt idx="371">
                  <c:v>0.16461302296249647</c:v>
                </c:pt>
                <c:pt idx="372">
                  <c:v>0.21476850414609305</c:v>
                </c:pt>
                <c:pt idx="373">
                  <c:v>0.27652355707674231</c:v>
                </c:pt>
                <c:pt idx="374">
                  <c:v>0.35567796762797049</c:v>
                </c:pt>
                <c:pt idx="375">
                  <c:v>0.46267135037212465</c:v>
                </c:pt>
                <c:pt idx="376">
                  <c:v>0.6183829344538998</c:v>
                </c:pt>
                <c:pt idx="377">
                  <c:v>0.87153092121091635</c:v>
                </c:pt>
                <c:pt idx="378">
                  <c:v>1.3838239204087892</c:v>
                </c:pt>
                <c:pt idx="379">
                  <c:v>1.4352404731795392</c:v>
                </c:pt>
                <c:pt idx="380">
                  <c:v>1.4771000458813763</c:v>
                </c:pt>
                <c:pt idx="381">
                  <c:v>2.7292712932018039</c:v>
                </c:pt>
                <c:pt idx="382">
                  <c:v>2.7292712932018039</c:v>
                </c:pt>
                <c:pt idx="383">
                  <c:v>2.7292712932018039</c:v>
                </c:pt>
                <c:pt idx="384">
                  <c:v>2.7292712932018039</c:v>
                </c:pt>
                <c:pt idx="385">
                  <c:v>2.7292712932018039</c:v>
                </c:pt>
                <c:pt idx="386">
                  <c:v>2.7292712932018039</c:v>
                </c:pt>
                <c:pt idx="387">
                  <c:v>2.7292712932018039</c:v>
                </c:pt>
                <c:pt idx="388">
                  <c:v>2.7292712932018039</c:v>
                </c:pt>
                <c:pt idx="389">
                  <c:v>2.7292712932018039</c:v>
                </c:pt>
                <c:pt idx="390">
                  <c:v>2.7292712932018039</c:v>
                </c:pt>
                <c:pt idx="391">
                  <c:v>4.6516681366578805</c:v>
                </c:pt>
                <c:pt idx="392">
                  <c:v>3.5144593788787857</c:v>
                </c:pt>
                <c:pt idx="393">
                  <c:v>2.8359569162388936</c:v>
                </c:pt>
                <c:pt idx="394">
                  <c:v>2.386807601168603</c:v>
                </c:pt>
                <c:pt idx="395">
                  <c:v>2.0642732259230132</c:v>
                </c:pt>
                <c:pt idx="396">
                  <c:v>2.1858862848128005</c:v>
                </c:pt>
                <c:pt idx="397">
                  <c:v>1.776437012690179</c:v>
                </c:pt>
                <c:pt idx="398">
                  <c:v>1.5063025290732941</c:v>
                </c:pt>
                <c:pt idx="399">
                  <c:v>1.3157764960311162</c:v>
                </c:pt>
                <c:pt idx="400">
                  <c:v>1.3428637081121486</c:v>
                </c:pt>
                <c:pt idx="401">
                  <c:v>1.3723780897344924</c:v>
                </c:pt>
                <c:pt idx="402">
                  <c:v>1.2408604193524451</c:v>
                </c:pt>
                <c:pt idx="403">
                  <c:v>2.645033071223913E-2</c:v>
                </c:pt>
                <c:pt idx="404">
                  <c:v>5.2555277305334901E-2</c:v>
                </c:pt>
                <c:pt idx="405">
                  <c:v>7.9242806103036592E-2</c:v>
                </c:pt>
                <c:pt idx="406">
                  <c:v>0.10658890608855351</c:v>
                </c:pt>
                <c:pt idx="407">
                  <c:v>0.13468338242386077</c:v>
                </c:pt>
                <c:pt idx="408">
                  <c:v>0.1636331460160709</c:v>
                </c:pt>
                <c:pt idx="409">
                  <c:v>0.19356648995371958</c:v>
                </c:pt>
                <c:pt idx="410">
                  <c:v>0.22463871639661295</c:v>
                </c:pt>
                <c:pt idx="411">
                  <c:v>0.6941740956547815</c:v>
                </c:pt>
                <c:pt idx="412">
                  <c:v>0.6941740956547815</c:v>
                </c:pt>
                <c:pt idx="413">
                  <c:v>0.6941740956547815</c:v>
                </c:pt>
                <c:pt idx="414">
                  <c:v>0.6941740956547815</c:v>
                </c:pt>
                <c:pt idx="415">
                  <c:v>0.6941740956547815</c:v>
                </c:pt>
                <c:pt idx="416">
                  <c:v>0.6941740956547815</c:v>
                </c:pt>
                <c:pt idx="417">
                  <c:v>1.6475116037538353</c:v>
                </c:pt>
                <c:pt idx="418">
                  <c:v>1.5045121300152968</c:v>
                </c:pt>
                <c:pt idx="419">
                  <c:v>1.3892501933326589</c:v>
                </c:pt>
                <c:pt idx="420">
                  <c:v>0.59771485752628606</c:v>
                </c:pt>
                <c:pt idx="421">
                  <c:v>0.57287977208441221</c:v>
                </c:pt>
                <c:pt idx="422">
                  <c:v>0.55295783885836525</c:v>
                </c:pt>
                <c:pt idx="423">
                  <c:v>0.57532117221962076</c:v>
                </c:pt>
                <c:pt idx="424">
                  <c:v>0.59904978844786383</c:v>
                </c:pt>
                <c:pt idx="425">
                  <c:v>0.59785578532836803</c:v>
                </c:pt>
                <c:pt idx="426">
                  <c:v>0.59785578532836803</c:v>
                </c:pt>
                <c:pt idx="427">
                  <c:v>0.59785578532836803</c:v>
                </c:pt>
                <c:pt idx="428">
                  <c:v>0.59785578532836803</c:v>
                </c:pt>
                <c:pt idx="429">
                  <c:v>0.59785578532836803</c:v>
                </c:pt>
                <c:pt idx="430">
                  <c:v>0.59785578532836803</c:v>
                </c:pt>
                <c:pt idx="431">
                  <c:v>0.59785578532836803</c:v>
                </c:pt>
                <c:pt idx="432">
                  <c:v>0.59785578532836803</c:v>
                </c:pt>
                <c:pt idx="433">
                  <c:v>0.59785578532836803</c:v>
                </c:pt>
                <c:pt idx="434">
                  <c:v>0.59785578532836803</c:v>
                </c:pt>
                <c:pt idx="435">
                  <c:v>0.59785578532836803</c:v>
                </c:pt>
                <c:pt idx="436">
                  <c:v>0.59785578532836803</c:v>
                </c:pt>
                <c:pt idx="437">
                  <c:v>0.59785578532836803</c:v>
                </c:pt>
                <c:pt idx="438">
                  <c:v>0.59785578532836803</c:v>
                </c:pt>
                <c:pt idx="439">
                  <c:v>0.59785578532836803</c:v>
                </c:pt>
                <c:pt idx="440">
                  <c:v>0.59785578532836803</c:v>
                </c:pt>
                <c:pt idx="441">
                  <c:v>0.59785578532836803</c:v>
                </c:pt>
                <c:pt idx="442">
                  <c:v>0.59785578532836803</c:v>
                </c:pt>
                <c:pt idx="443">
                  <c:v>0.59785578532836803</c:v>
                </c:pt>
                <c:pt idx="444">
                  <c:v>0.59785578532836803</c:v>
                </c:pt>
                <c:pt idx="445">
                  <c:v>0.59785578532836803</c:v>
                </c:pt>
                <c:pt idx="446">
                  <c:v>0.59785578532836803</c:v>
                </c:pt>
                <c:pt idx="447">
                  <c:v>0.59785578532836803</c:v>
                </c:pt>
                <c:pt idx="448">
                  <c:v>0.59785578532836803</c:v>
                </c:pt>
                <c:pt idx="449">
                  <c:v>0.59785578532836803</c:v>
                </c:pt>
                <c:pt idx="450">
                  <c:v>0.59785578532836803</c:v>
                </c:pt>
                <c:pt idx="451">
                  <c:v>0.59785578532836803</c:v>
                </c:pt>
                <c:pt idx="452">
                  <c:v>0.59785578532836803</c:v>
                </c:pt>
                <c:pt idx="453">
                  <c:v>0.59785578532836803</c:v>
                </c:pt>
                <c:pt idx="454">
                  <c:v>0.59785578532836803</c:v>
                </c:pt>
                <c:pt idx="455">
                  <c:v>0.59785578532836803</c:v>
                </c:pt>
                <c:pt idx="456">
                  <c:v>0.59785578532836803</c:v>
                </c:pt>
                <c:pt idx="457">
                  <c:v>0.59785578532836803</c:v>
                </c:pt>
                <c:pt idx="458">
                  <c:v>0.59785578532836803</c:v>
                </c:pt>
                <c:pt idx="459">
                  <c:v>0.59785578532836803</c:v>
                </c:pt>
                <c:pt idx="460">
                  <c:v>0.59785578532836803</c:v>
                </c:pt>
                <c:pt idx="461">
                  <c:v>0.59785578532836803</c:v>
                </c:pt>
                <c:pt idx="462">
                  <c:v>0.59785578532836803</c:v>
                </c:pt>
                <c:pt idx="463">
                  <c:v>0.59785578532836803</c:v>
                </c:pt>
                <c:pt idx="464">
                  <c:v>0.59785578532836803</c:v>
                </c:pt>
                <c:pt idx="465">
                  <c:v>0.59785578532836803</c:v>
                </c:pt>
                <c:pt idx="466">
                  <c:v>0.59785578532836803</c:v>
                </c:pt>
                <c:pt idx="467">
                  <c:v>0.59785578532836803</c:v>
                </c:pt>
                <c:pt idx="468">
                  <c:v>0.59785578532836803</c:v>
                </c:pt>
                <c:pt idx="469">
                  <c:v>0.59785578532836803</c:v>
                </c:pt>
                <c:pt idx="470">
                  <c:v>0.59785578532836803</c:v>
                </c:pt>
                <c:pt idx="471">
                  <c:v>0.59785578532836803</c:v>
                </c:pt>
                <c:pt idx="472">
                  <c:v>0.59785578532836803</c:v>
                </c:pt>
                <c:pt idx="473">
                  <c:v>2.645033071223913E-2</c:v>
                </c:pt>
                <c:pt idx="474">
                  <c:v>5.4745080526390516E-2</c:v>
                </c:pt>
                <c:pt idx="475">
                  <c:v>8.6446697566949032E-2</c:v>
                </c:pt>
                <c:pt idx="476">
                  <c:v>0.12257724200183655</c:v>
                </c:pt>
                <c:pt idx="477">
                  <c:v>0.16461302296249647</c:v>
                </c:pt>
                <c:pt idx="478">
                  <c:v>0.21476850414609305</c:v>
                </c:pt>
                <c:pt idx="479">
                  <c:v>0.27652355707674231</c:v>
                </c:pt>
                <c:pt idx="480">
                  <c:v>0.35567796762797049</c:v>
                </c:pt>
                <c:pt idx="481">
                  <c:v>0.46889295267322539</c:v>
                </c:pt>
                <c:pt idx="482">
                  <c:v>0.62615993733027564</c:v>
                </c:pt>
                <c:pt idx="483">
                  <c:v>0.88190025837941755</c:v>
                </c:pt>
                <c:pt idx="484">
                  <c:v>1.3838239204087892</c:v>
                </c:pt>
                <c:pt idx="485">
                  <c:v>1.4352404731795392</c:v>
                </c:pt>
                <c:pt idx="486">
                  <c:v>2.7711308659036411</c:v>
                </c:pt>
                <c:pt idx="487">
                  <c:v>2.7711308659036411</c:v>
                </c:pt>
                <c:pt idx="488">
                  <c:v>2.7711308659036411</c:v>
                </c:pt>
                <c:pt idx="489">
                  <c:v>2.7711308659036411</c:v>
                </c:pt>
                <c:pt idx="490">
                  <c:v>2.7711308659036411</c:v>
                </c:pt>
                <c:pt idx="491">
                  <c:v>2.7711308659036411</c:v>
                </c:pt>
                <c:pt idx="492">
                  <c:v>2.7711308659036411</c:v>
                </c:pt>
                <c:pt idx="493">
                  <c:v>4.685945838505047</c:v>
                </c:pt>
                <c:pt idx="494">
                  <c:v>3.5371691424222411</c:v>
                </c:pt>
                <c:pt idx="495">
                  <c:v>2.8579475191012231</c:v>
                </c:pt>
                <c:pt idx="496">
                  <c:v>2.4083187635768484</c:v>
                </c:pt>
                <c:pt idx="497">
                  <c:v>2.0898859325076988</c:v>
                </c:pt>
                <c:pt idx="498">
                  <c:v>1.8534505542230648</c:v>
                </c:pt>
                <c:pt idx="499">
                  <c:v>1.6716801444614406</c:v>
                </c:pt>
                <c:pt idx="500">
                  <c:v>1.5281752126659245</c:v>
                </c:pt>
                <c:pt idx="501">
                  <c:v>0.65205257184685761</c:v>
                </c:pt>
                <c:pt idx="502">
                  <c:v>0.62907301505107849</c:v>
                </c:pt>
                <c:pt idx="503">
                  <c:v>0.61181403307162796</c:v>
                </c:pt>
                <c:pt idx="504">
                  <c:v>0.59944778948769573</c:v>
                </c:pt>
                <c:pt idx="505">
                  <c:v>0.59785578532836803</c:v>
                </c:pt>
                <c:pt idx="506">
                  <c:v>0.59785578532836803</c:v>
                </c:pt>
                <c:pt idx="507">
                  <c:v>0.59785578532836803</c:v>
                </c:pt>
                <c:pt idx="508">
                  <c:v>0.59785578532836803</c:v>
                </c:pt>
                <c:pt idx="509">
                  <c:v>0.59785578532836803</c:v>
                </c:pt>
                <c:pt idx="510">
                  <c:v>0.59785578532836803</c:v>
                </c:pt>
                <c:pt idx="511">
                  <c:v>0.59785578532836803</c:v>
                </c:pt>
                <c:pt idx="512">
                  <c:v>0.59785578532836803</c:v>
                </c:pt>
                <c:pt idx="513">
                  <c:v>0.59785578532836803</c:v>
                </c:pt>
                <c:pt idx="514">
                  <c:v>0.59785578532836803</c:v>
                </c:pt>
                <c:pt idx="515">
                  <c:v>0.59785578532836803</c:v>
                </c:pt>
                <c:pt idx="516">
                  <c:v>0.59785578532836803</c:v>
                </c:pt>
                <c:pt idx="517">
                  <c:v>0.59785578532836803</c:v>
                </c:pt>
                <c:pt idx="518">
                  <c:v>0.59785578532836803</c:v>
                </c:pt>
                <c:pt idx="519">
                  <c:v>0.59785578532836803</c:v>
                </c:pt>
                <c:pt idx="520">
                  <c:v>0.59785578532836803</c:v>
                </c:pt>
                <c:pt idx="521">
                  <c:v>0.59785578532836803</c:v>
                </c:pt>
                <c:pt idx="522">
                  <c:v>0.59785578532836803</c:v>
                </c:pt>
                <c:pt idx="523">
                  <c:v>0.59785578532836803</c:v>
                </c:pt>
                <c:pt idx="524">
                  <c:v>0.59785578532836803</c:v>
                </c:pt>
                <c:pt idx="525">
                  <c:v>0.59785578532836803</c:v>
                </c:pt>
                <c:pt idx="526">
                  <c:v>0.59785578532836803</c:v>
                </c:pt>
                <c:pt idx="527">
                  <c:v>0.61700494797913896</c:v>
                </c:pt>
                <c:pt idx="528">
                  <c:v>0.64233147138926905</c:v>
                </c:pt>
                <c:pt idx="529">
                  <c:v>0.67400044997740705</c:v>
                </c:pt>
                <c:pt idx="530">
                  <c:v>0.12257724200183655</c:v>
                </c:pt>
                <c:pt idx="531">
                  <c:v>0.16461302296249647</c:v>
                </c:pt>
                <c:pt idx="532">
                  <c:v>0.21476850414609305</c:v>
                </c:pt>
                <c:pt idx="533">
                  <c:v>0.27652355707674231</c:v>
                </c:pt>
                <c:pt idx="534">
                  <c:v>0.35567796762797049</c:v>
                </c:pt>
                <c:pt idx="535">
                  <c:v>0.46267135037212465</c:v>
                </c:pt>
                <c:pt idx="536">
                  <c:v>0.49470634756311982</c:v>
                </c:pt>
                <c:pt idx="537">
                  <c:v>1.1816205857690516</c:v>
                </c:pt>
                <c:pt idx="538">
                  <c:v>1.1816205857690516</c:v>
                </c:pt>
                <c:pt idx="539">
                  <c:v>1.1816205857690516</c:v>
                </c:pt>
                <c:pt idx="540">
                  <c:v>1.1816205857690516</c:v>
                </c:pt>
                <c:pt idx="541">
                  <c:v>1.1816205857690516</c:v>
                </c:pt>
                <c:pt idx="542">
                  <c:v>1.1816205857690516</c:v>
                </c:pt>
                <c:pt idx="543">
                  <c:v>1.1816205857690516</c:v>
                </c:pt>
                <c:pt idx="544">
                  <c:v>2.4083187635768484</c:v>
                </c:pt>
                <c:pt idx="545">
                  <c:v>2.0898859325076988</c:v>
                </c:pt>
                <c:pt idx="546">
                  <c:v>1.8534505542230648</c:v>
                </c:pt>
                <c:pt idx="547">
                  <c:v>1.6716801444614406</c:v>
                </c:pt>
                <c:pt idx="548">
                  <c:v>0.69168335036713302</c:v>
                </c:pt>
                <c:pt idx="549">
                  <c:v>0.65205257184685761</c:v>
                </c:pt>
                <c:pt idx="550">
                  <c:v>0.62907301505107849</c:v>
                </c:pt>
                <c:pt idx="551">
                  <c:v>0.61181403307162796</c:v>
                </c:pt>
                <c:pt idx="552">
                  <c:v>0.59944778948769573</c:v>
                </c:pt>
                <c:pt idx="553">
                  <c:v>0.59785578532836803</c:v>
                </c:pt>
                <c:pt idx="554">
                  <c:v>0.59785578532836803</c:v>
                </c:pt>
                <c:pt idx="555">
                  <c:v>0.59785578532836803</c:v>
                </c:pt>
                <c:pt idx="556">
                  <c:v>0.59785578532836803</c:v>
                </c:pt>
                <c:pt idx="557">
                  <c:v>0.59785578532836803</c:v>
                </c:pt>
                <c:pt idx="558">
                  <c:v>0.59785578532836803</c:v>
                </c:pt>
                <c:pt idx="559">
                  <c:v>0.57293316598062904</c:v>
                </c:pt>
                <c:pt idx="560">
                  <c:v>5.0533920485898942E-2</c:v>
                </c:pt>
                <c:pt idx="561">
                  <c:v>7.9242806103036592E-2</c:v>
                </c:pt>
                <c:pt idx="562">
                  <c:v>0.11143385636530598</c:v>
                </c:pt>
                <c:pt idx="563">
                  <c:v>0.14815172066624682</c:v>
                </c:pt>
                <c:pt idx="564">
                  <c:v>0.19090533701874937</c:v>
                </c:pt>
                <c:pt idx="565">
                  <c:v>0.24195811244214951</c:v>
                </c:pt>
                <c:pt idx="566">
                  <c:v>0.30486682939540333</c:v>
                </c:pt>
                <c:pt idx="567">
                  <c:v>0.38555945864343721</c:v>
                </c:pt>
                <c:pt idx="568">
                  <c:v>0.49470634756311982</c:v>
                </c:pt>
                <c:pt idx="569">
                  <c:v>0.65364819090818727</c:v>
                </c:pt>
                <c:pt idx="570">
                  <c:v>0.91217994310402484</c:v>
                </c:pt>
                <c:pt idx="571">
                  <c:v>1.4196864674267873</c:v>
                </c:pt>
                <c:pt idx="572">
                  <c:v>1.4615460401286244</c:v>
                </c:pt>
                <c:pt idx="573">
                  <c:v>2.7292712932018039</c:v>
                </c:pt>
                <c:pt idx="574">
                  <c:v>2.7292712932018039</c:v>
                </c:pt>
                <c:pt idx="575">
                  <c:v>2.7292712932018039</c:v>
                </c:pt>
                <c:pt idx="576">
                  <c:v>2.7292712932018039</c:v>
                </c:pt>
                <c:pt idx="577">
                  <c:v>2.7292712932018039</c:v>
                </c:pt>
                <c:pt idx="578">
                  <c:v>2.7292712932018039</c:v>
                </c:pt>
                <c:pt idx="579">
                  <c:v>2.7292712932018039</c:v>
                </c:pt>
                <c:pt idx="580">
                  <c:v>2.7292712932018039</c:v>
                </c:pt>
                <c:pt idx="581">
                  <c:v>2.7292712932018039</c:v>
                </c:pt>
                <c:pt idx="582">
                  <c:v>2.7292712932018039</c:v>
                </c:pt>
                <c:pt idx="583">
                  <c:v>2.7292712932018039</c:v>
                </c:pt>
                <c:pt idx="584">
                  <c:v>3.5369561744051512</c:v>
                </c:pt>
                <c:pt idx="585">
                  <c:v>2.9588808841932872</c:v>
                </c:pt>
                <c:pt idx="586">
                  <c:v>2.5468437436482567</c:v>
                </c:pt>
                <c:pt idx="587">
                  <c:v>2.2385804466449959</c:v>
                </c:pt>
                <c:pt idx="588">
                  <c:v>1.9994997120029159</c:v>
                </c:pt>
                <c:pt idx="589">
                  <c:v>2.871780368144496</c:v>
                </c:pt>
                <c:pt idx="590">
                  <c:v>2.6197173137090415</c:v>
                </c:pt>
                <c:pt idx="591">
                  <c:v>2.4101744739498363</c:v>
                </c:pt>
                <c:pt idx="592">
                  <c:v>3.0207556094677313</c:v>
                </c:pt>
                <c:pt idx="593">
                  <c:v>2.8284156056461134</c:v>
                </c:pt>
                <c:pt idx="594">
                  <c:v>2.6642694636857547</c:v>
                </c:pt>
                <c:pt idx="595">
                  <c:v>2.5230308344876691</c:v>
                </c:pt>
                <c:pt idx="596">
                  <c:v>1.4165491425069945</c:v>
                </c:pt>
                <c:pt idx="597">
                  <c:v>1.3645690366492549</c:v>
                </c:pt>
                <c:pt idx="598">
                  <c:v>1.3200725166857854</c:v>
                </c:pt>
                <c:pt idx="599">
                  <c:v>1.2819370447324454</c:v>
                </c:pt>
                <c:pt idx="600">
                  <c:v>1.2492538996449307</c:v>
                </c:pt>
                <c:pt idx="601">
                  <c:v>1.2212795823051743</c:v>
                </c:pt>
                <c:pt idx="602">
                  <c:v>0.9784301296564053</c:v>
                </c:pt>
                <c:pt idx="603">
                  <c:v>0.97747492716080864</c:v>
                </c:pt>
                <c:pt idx="604">
                  <c:v>0.97747492716080864</c:v>
                </c:pt>
                <c:pt idx="605">
                  <c:v>0.97747492716080864</c:v>
                </c:pt>
                <c:pt idx="606">
                  <c:v>0.97747492716080864</c:v>
                </c:pt>
                <c:pt idx="607">
                  <c:v>0.97747492716080864</c:v>
                </c:pt>
                <c:pt idx="608">
                  <c:v>1.30388251807805</c:v>
                </c:pt>
                <c:pt idx="609">
                  <c:v>1.3959567542268134</c:v>
                </c:pt>
                <c:pt idx="610">
                  <c:v>1.3968854233197545</c:v>
                </c:pt>
                <c:pt idx="611">
                  <c:v>1.3062999151630599</c:v>
                </c:pt>
                <c:pt idx="612">
                  <c:v>1.2284659841915573</c:v>
                </c:pt>
                <c:pt idx="613">
                  <c:v>1.2414635210723535</c:v>
                </c:pt>
                <c:pt idx="614">
                  <c:v>1.240810799367029</c:v>
                </c:pt>
                <c:pt idx="615">
                  <c:v>0.97747492716080864</c:v>
                </c:pt>
                <c:pt idx="616">
                  <c:v>0.97747492716080864</c:v>
                </c:pt>
                <c:pt idx="617">
                  <c:v>0.97747492716080864</c:v>
                </c:pt>
                <c:pt idx="618">
                  <c:v>0.97747492716080864</c:v>
                </c:pt>
                <c:pt idx="619">
                  <c:v>0.97747492716080864</c:v>
                </c:pt>
                <c:pt idx="620">
                  <c:v>0.97747492716080864</c:v>
                </c:pt>
                <c:pt idx="621">
                  <c:v>0.97747492716080864</c:v>
                </c:pt>
                <c:pt idx="622">
                  <c:v>0.97747492716080864</c:v>
                </c:pt>
                <c:pt idx="623">
                  <c:v>0.97747492716080864</c:v>
                </c:pt>
                <c:pt idx="624">
                  <c:v>0.97747492716080864</c:v>
                </c:pt>
                <c:pt idx="625">
                  <c:v>0.97747492716080864</c:v>
                </c:pt>
                <c:pt idx="626">
                  <c:v>0.97747492716080864</c:v>
                </c:pt>
                <c:pt idx="627">
                  <c:v>0.78295240346110295</c:v>
                </c:pt>
                <c:pt idx="628">
                  <c:v>0.78295240346110295</c:v>
                </c:pt>
                <c:pt idx="629">
                  <c:v>0.78295240346110295</c:v>
                </c:pt>
                <c:pt idx="630">
                  <c:v>0.78295240346110295</c:v>
                </c:pt>
                <c:pt idx="631">
                  <c:v>0.78295240346110295</c:v>
                </c:pt>
                <c:pt idx="632">
                  <c:v>0.78295240346110295</c:v>
                </c:pt>
                <c:pt idx="633">
                  <c:v>0.78295240346110295</c:v>
                </c:pt>
                <c:pt idx="634">
                  <c:v>0.78295240346110295</c:v>
                </c:pt>
                <c:pt idx="635">
                  <c:v>0.78295240346110295</c:v>
                </c:pt>
                <c:pt idx="636">
                  <c:v>0.78295240346110329</c:v>
                </c:pt>
                <c:pt idx="637">
                  <c:v>0.97747492716080864</c:v>
                </c:pt>
                <c:pt idx="638">
                  <c:v>0.97747492716080864</c:v>
                </c:pt>
                <c:pt idx="639">
                  <c:v>0.97747492716080864</c:v>
                </c:pt>
                <c:pt idx="640">
                  <c:v>0.97747492716080864</c:v>
                </c:pt>
                <c:pt idx="641">
                  <c:v>0.97747492716080864</c:v>
                </c:pt>
                <c:pt idx="642">
                  <c:v>0.97747492716080864</c:v>
                </c:pt>
                <c:pt idx="643">
                  <c:v>0.97747492716080864</c:v>
                </c:pt>
                <c:pt idx="644">
                  <c:v>0.97747492716080864</c:v>
                </c:pt>
                <c:pt idx="645">
                  <c:v>0.97747492716080864</c:v>
                </c:pt>
                <c:pt idx="646">
                  <c:v>0.97747492716080864</c:v>
                </c:pt>
                <c:pt idx="647">
                  <c:v>0.97747492716080864</c:v>
                </c:pt>
                <c:pt idx="648">
                  <c:v>0.97747492716080864</c:v>
                </c:pt>
                <c:pt idx="649">
                  <c:v>0.97747492716080864</c:v>
                </c:pt>
                <c:pt idx="650">
                  <c:v>0.97747492716080864</c:v>
                </c:pt>
                <c:pt idx="651">
                  <c:v>0.97747492716080864</c:v>
                </c:pt>
                <c:pt idx="652">
                  <c:v>0.97747492716080864</c:v>
                </c:pt>
                <c:pt idx="653">
                  <c:v>0.97747492716080864</c:v>
                </c:pt>
                <c:pt idx="654">
                  <c:v>0.97747492716080864</c:v>
                </c:pt>
                <c:pt idx="655">
                  <c:v>0.97747492716080864</c:v>
                </c:pt>
                <c:pt idx="656">
                  <c:v>0.97747492716080864</c:v>
                </c:pt>
                <c:pt idx="657">
                  <c:v>0.97747492716080864</c:v>
                </c:pt>
                <c:pt idx="658">
                  <c:v>0.97747492716080864</c:v>
                </c:pt>
                <c:pt idx="659">
                  <c:v>0.97747492716080864</c:v>
                </c:pt>
                <c:pt idx="660">
                  <c:v>0.97747492716080864</c:v>
                </c:pt>
                <c:pt idx="661">
                  <c:v>0.97747492716080864</c:v>
                </c:pt>
                <c:pt idx="662">
                  <c:v>0.97747492716080864</c:v>
                </c:pt>
                <c:pt idx="663">
                  <c:v>0.97747492716080864</c:v>
                </c:pt>
                <c:pt idx="664">
                  <c:v>0.97747492716080864</c:v>
                </c:pt>
                <c:pt idx="665">
                  <c:v>0.97747492716080864</c:v>
                </c:pt>
                <c:pt idx="666">
                  <c:v>0.97747492716080864</c:v>
                </c:pt>
                <c:pt idx="667">
                  <c:v>0.97747492716080864</c:v>
                </c:pt>
                <c:pt idx="668">
                  <c:v>0.97747492716080864</c:v>
                </c:pt>
                <c:pt idx="669">
                  <c:v>0.97747492716080864</c:v>
                </c:pt>
                <c:pt idx="670">
                  <c:v>0.97747492716080864</c:v>
                </c:pt>
                <c:pt idx="671">
                  <c:v>0.97747492716080864</c:v>
                </c:pt>
                <c:pt idx="672">
                  <c:v>0.97747492716080864</c:v>
                </c:pt>
                <c:pt idx="673">
                  <c:v>0.97747492716080864</c:v>
                </c:pt>
                <c:pt idx="674">
                  <c:v>0.97747492716080864</c:v>
                </c:pt>
                <c:pt idx="675">
                  <c:v>0.97747492716080864</c:v>
                </c:pt>
                <c:pt idx="676">
                  <c:v>0.97747492716080864</c:v>
                </c:pt>
                <c:pt idx="677">
                  <c:v>0.97747492716080864</c:v>
                </c:pt>
                <c:pt idx="678">
                  <c:v>0.97747492716080864</c:v>
                </c:pt>
                <c:pt idx="679">
                  <c:v>0.97747492716080864</c:v>
                </c:pt>
                <c:pt idx="680">
                  <c:v>0.97747492716080864</c:v>
                </c:pt>
                <c:pt idx="681">
                  <c:v>0.97747492716080864</c:v>
                </c:pt>
                <c:pt idx="682">
                  <c:v>0.97747492716080864</c:v>
                </c:pt>
                <c:pt idx="683">
                  <c:v>0.97747492716080864</c:v>
                </c:pt>
                <c:pt idx="684">
                  <c:v>0.97747492716080864</c:v>
                </c:pt>
                <c:pt idx="685">
                  <c:v>0.97747492716080864</c:v>
                </c:pt>
                <c:pt idx="686">
                  <c:v>0.97747492716080864</c:v>
                </c:pt>
                <c:pt idx="687">
                  <c:v>0.97747492716080864</c:v>
                </c:pt>
                <c:pt idx="688">
                  <c:v>0.97747492716080864</c:v>
                </c:pt>
                <c:pt idx="689">
                  <c:v>0.97747492716080864</c:v>
                </c:pt>
                <c:pt idx="690">
                  <c:v>0.99628993281410705</c:v>
                </c:pt>
                <c:pt idx="691">
                  <c:v>1.0180629483261117</c:v>
                </c:pt>
                <c:pt idx="692">
                  <c:v>1.0422574125506436</c:v>
                </c:pt>
                <c:pt idx="693">
                  <c:v>0.60445830529966271</c:v>
                </c:pt>
                <c:pt idx="694">
                  <c:v>0.61425123295901951</c:v>
                </c:pt>
                <c:pt idx="695">
                  <c:v>0.62570670798691719</c:v>
                </c:pt>
                <c:pt idx="696">
                  <c:v>0.63906223715028965</c:v>
                </c:pt>
                <c:pt idx="697">
                  <c:v>0.65460282856945795</c:v>
                </c:pt>
                <c:pt idx="698">
                  <c:v>0.67267349207428528</c:v>
                </c:pt>
                <c:pt idx="699">
                  <c:v>0.69369590634571421</c:v>
                </c:pt>
                <c:pt idx="700">
                  <c:v>0.71819096857785136</c:v>
                </c:pt>
                <c:pt idx="701">
                  <c:v>0.74680980026332922</c:v>
                </c:pt>
                <c:pt idx="702">
                  <c:v>0.78037715529281559</c:v>
                </c:pt>
                <c:pt idx="703">
                  <c:v>0.81995343152574196</c:v>
                </c:pt>
                <c:pt idx="704">
                  <c:v>0.86692530308597782</c:v>
                </c:pt>
                <c:pt idx="705">
                  <c:v>0.92314166880535131</c:v>
                </c:pt>
                <c:pt idx="706">
                  <c:v>0.98735308630235419</c:v>
                </c:pt>
                <c:pt idx="707">
                  <c:v>1.0702535408450753</c:v>
                </c:pt>
                <c:pt idx="708">
                  <c:v>1.1734641171516436</c:v>
                </c:pt>
                <c:pt idx="709">
                  <c:v>1.3046011108835012</c:v>
                </c:pt>
                <c:pt idx="710">
                  <c:v>1.4756329866514863</c:v>
                </c:pt>
                <c:pt idx="711">
                  <c:v>1.462720444691711</c:v>
                </c:pt>
                <c:pt idx="712">
                  <c:v>3.0651476214853037</c:v>
                </c:pt>
                <c:pt idx="713">
                  <c:v>3.0651476214853037</c:v>
                </c:pt>
                <c:pt idx="714">
                  <c:v>3.0651476214853037</c:v>
                </c:pt>
                <c:pt idx="715">
                  <c:v>3.0651476214853037</c:v>
                </c:pt>
                <c:pt idx="716">
                  <c:v>3.0651476214853037</c:v>
                </c:pt>
                <c:pt idx="717">
                  <c:v>3.0651476214853037</c:v>
                </c:pt>
                <c:pt idx="718">
                  <c:v>3.0651476214853037</c:v>
                </c:pt>
                <c:pt idx="719">
                  <c:v>3.0651476214853037</c:v>
                </c:pt>
                <c:pt idx="720">
                  <c:v>3.0651476214853037</c:v>
                </c:pt>
                <c:pt idx="721">
                  <c:v>3.0651476214853037</c:v>
                </c:pt>
                <c:pt idx="722">
                  <c:v>3.0651476214853037</c:v>
                </c:pt>
                <c:pt idx="723">
                  <c:v>4.0340601923923671</c:v>
                </c:pt>
                <c:pt idx="724">
                  <c:v>3.5370914584758784</c:v>
                </c:pt>
                <c:pt idx="725">
                  <c:v>3.1512398284568426</c:v>
                </c:pt>
                <c:pt idx="726">
                  <c:v>2.8431701711660256</c:v>
                </c:pt>
                <c:pt idx="727">
                  <c:v>2.5916692213139121</c:v>
                </c:pt>
                <c:pt idx="728">
                  <c:v>2.3805209346071248</c:v>
                </c:pt>
                <c:pt idx="729">
                  <c:v>2.204241836351267</c:v>
                </c:pt>
                <c:pt idx="730">
                  <c:v>2.0535823569351113</c:v>
                </c:pt>
                <c:pt idx="731">
                  <c:v>1.9234185725907162</c:v>
                </c:pt>
                <c:pt idx="732">
                  <c:v>1.8099075404921274</c:v>
                </c:pt>
                <c:pt idx="733">
                  <c:v>1.7101105396547902</c:v>
                </c:pt>
                <c:pt idx="734">
                  <c:v>1.6217418982018295</c:v>
                </c:pt>
                <c:pt idx="735">
                  <c:v>2.0828822523985617</c:v>
                </c:pt>
                <c:pt idx="736">
                  <c:v>1.9969218871897514</c:v>
                </c:pt>
                <c:pt idx="737">
                  <c:v>2.2720830968603432</c:v>
                </c:pt>
                <c:pt idx="738">
                  <c:v>1.4283653898575015</c:v>
                </c:pt>
                <c:pt idx="739">
                  <c:v>1.3870607515614926</c:v>
                </c:pt>
                <c:pt idx="740">
                  <c:v>1.3507909964683038</c:v>
                </c:pt>
                <c:pt idx="741">
                  <c:v>1.3189519385935962</c:v>
                </c:pt>
                <c:pt idx="742">
                  <c:v>1.0157983253363061</c:v>
                </c:pt>
                <c:pt idx="743">
                  <c:v>1.0102939108319855</c:v>
                </c:pt>
                <c:pt idx="744">
                  <c:v>0.97771372778470789</c:v>
                </c:pt>
                <c:pt idx="745">
                  <c:v>0.97747492716080864</c:v>
                </c:pt>
                <c:pt idx="746">
                  <c:v>0.97747492716080864</c:v>
                </c:pt>
                <c:pt idx="747">
                  <c:v>0.97747492716080864</c:v>
                </c:pt>
                <c:pt idx="748">
                  <c:v>0.97747492716080864</c:v>
                </c:pt>
                <c:pt idx="749">
                  <c:v>0.97747492716080864</c:v>
                </c:pt>
                <c:pt idx="750">
                  <c:v>0.97747492716080864</c:v>
                </c:pt>
                <c:pt idx="751">
                  <c:v>0.97747492716080864</c:v>
                </c:pt>
                <c:pt idx="752">
                  <c:v>0.97747492716080864</c:v>
                </c:pt>
                <c:pt idx="753">
                  <c:v>0.97747492716080864</c:v>
                </c:pt>
                <c:pt idx="754">
                  <c:v>0.97747492716080864</c:v>
                </c:pt>
                <c:pt idx="755">
                  <c:v>1.0346087763838803</c:v>
                </c:pt>
                <c:pt idx="756">
                  <c:v>1.1029015273532876</c:v>
                </c:pt>
                <c:pt idx="757">
                  <c:v>0.67741865832343362</c:v>
                </c:pt>
                <c:pt idx="758">
                  <c:v>0.72534996635959526</c:v>
                </c:pt>
                <c:pt idx="759">
                  <c:v>0.78487657544763612</c:v>
                </c:pt>
                <c:pt idx="760">
                  <c:v>0.86034672348201113</c:v>
                </c:pt>
                <c:pt idx="761">
                  <c:v>0.95859335572543447</c:v>
                </c:pt>
                <c:pt idx="762">
                  <c:v>1.09100471428243</c:v>
                </c:pt>
                <c:pt idx="763">
                  <c:v>1.2780796349411421</c:v>
                </c:pt>
                <c:pt idx="764">
                  <c:v>1.5608157892778571</c:v>
                </c:pt>
                <c:pt idx="765">
                  <c:v>1.5261558082279341</c:v>
                </c:pt>
                <c:pt idx="766">
                  <c:v>1.4936196005266584</c:v>
                </c:pt>
                <c:pt idx="767">
                  <c:v>1.4632071661740294</c:v>
                </c:pt>
                <c:pt idx="768">
                  <c:v>1.4349185051700484</c:v>
                </c:pt>
                <c:pt idx="769">
                  <c:v>1.408753617514714</c:v>
                </c:pt>
                <c:pt idx="770">
                  <c:v>1.3847125032080272</c:v>
                </c:pt>
                <c:pt idx="771">
                  <c:v>1.3627951622499876</c:v>
                </c:pt>
                <c:pt idx="772">
                  <c:v>1.3430015946405949</c:v>
                </c:pt>
                <c:pt idx="773">
                  <c:v>2.7399407057507377</c:v>
                </c:pt>
                <c:pt idx="774">
                  <c:v>2.7399407057507377</c:v>
                </c:pt>
                <c:pt idx="775">
                  <c:v>2.7399407057507377</c:v>
                </c:pt>
                <c:pt idx="776">
                  <c:v>2.7399407057507377</c:v>
                </c:pt>
                <c:pt idx="777">
                  <c:v>2.7399407057507377</c:v>
                </c:pt>
                <c:pt idx="778">
                  <c:v>2.7399407057507377</c:v>
                </c:pt>
                <c:pt idx="779">
                  <c:v>2.7399407057507377</c:v>
                </c:pt>
                <c:pt idx="780">
                  <c:v>2.7399407057507377</c:v>
                </c:pt>
                <c:pt idx="781">
                  <c:v>2.7399407057507377</c:v>
                </c:pt>
                <c:pt idx="782">
                  <c:v>2.7399407057507377</c:v>
                </c:pt>
                <c:pt idx="783">
                  <c:v>3.1908670757161066</c:v>
                </c:pt>
                <c:pt idx="784">
                  <c:v>2.8816890450799448</c:v>
                </c:pt>
                <c:pt idx="785">
                  <c:v>2.6292812443089133</c:v>
                </c:pt>
                <c:pt idx="786">
                  <c:v>2.4194511159367278</c:v>
                </c:pt>
                <c:pt idx="787">
                  <c:v>2.2423730432559639</c:v>
                </c:pt>
                <c:pt idx="788">
                  <c:v>2.9049591644896973</c:v>
                </c:pt>
                <c:pt idx="789">
                  <c:v>2.7370659355122089</c:v>
                </c:pt>
                <c:pt idx="790">
                  <c:v>2.5928777900431759</c:v>
                </c:pt>
                <c:pt idx="791">
                  <c:v>1.4184961998728174</c:v>
                </c:pt>
                <c:pt idx="792">
                  <c:v>1.3684155979003423</c:v>
                </c:pt>
                <c:pt idx="793">
                  <c:v>1.3258958423555118</c:v>
                </c:pt>
                <c:pt idx="794">
                  <c:v>1.2898028062741791</c:v>
                </c:pt>
                <c:pt idx="795">
                  <c:v>1.2592183868758446</c:v>
                </c:pt>
                <c:pt idx="796">
                  <c:v>1.018044629236208</c:v>
                </c:pt>
                <c:pt idx="797">
                  <c:v>0.98456702770240756</c:v>
                </c:pt>
                <c:pt idx="798">
                  <c:v>0.94298620009237588</c:v>
                </c:pt>
                <c:pt idx="799">
                  <c:v>0.90526675208868101</c:v>
                </c:pt>
                <c:pt idx="800">
                  <c:v>0.87044880008527004</c:v>
                </c:pt>
                <c:pt idx="801">
                  <c:v>0.83820995563766754</c:v>
                </c:pt>
                <c:pt idx="802">
                  <c:v>0.80827388579346537</c:v>
                </c:pt>
                <c:pt idx="803">
                  <c:v>0.80827388579346537</c:v>
                </c:pt>
                <c:pt idx="804">
                  <c:v>0.91888346460282411</c:v>
                </c:pt>
                <c:pt idx="805">
                  <c:v>0.97747492716080864</c:v>
                </c:pt>
                <c:pt idx="806">
                  <c:v>0.97747492716080864</c:v>
                </c:pt>
                <c:pt idx="807">
                  <c:v>0.97747492716080864</c:v>
                </c:pt>
                <c:pt idx="808">
                  <c:v>0.97747492716080864</c:v>
                </c:pt>
                <c:pt idx="809">
                  <c:v>0.97747492716080864</c:v>
                </c:pt>
                <c:pt idx="810">
                  <c:v>0.97747492716080864</c:v>
                </c:pt>
                <c:pt idx="811">
                  <c:v>0.97747492716080864</c:v>
                </c:pt>
                <c:pt idx="812">
                  <c:v>0.97747492716080864</c:v>
                </c:pt>
                <c:pt idx="813">
                  <c:v>0.97747492716080864</c:v>
                </c:pt>
                <c:pt idx="814">
                  <c:v>0.97747492716080864</c:v>
                </c:pt>
                <c:pt idx="815">
                  <c:v>0.97747492716080864</c:v>
                </c:pt>
                <c:pt idx="816">
                  <c:v>0.97747492716080864</c:v>
                </c:pt>
                <c:pt idx="817">
                  <c:v>0.97747492716080864</c:v>
                </c:pt>
                <c:pt idx="818">
                  <c:v>0.97747492716080864</c:v>
                </c:pt>
                <c:pt idx="819">
                  <c:v>0.97747492716080864</c:v>
                </c:pt>
                <c:pt idx="820">
                  <c:v>0.97747492716080864</c:v>
                </c:pt>
                <c:pt idx="821">
                  <c:v>0.99628993281410705</c:v>
                </c:pt>
                <c:pt idx="822">
                  <c:v>1.0180629483261117</c:v>
                </c:pt>
                <c:pt idx="823">
                  <c:v>0.59612841932462146</c:v>
                </c:pt>
                <c:pt idx="824">
                  <c:v>0.60445830529966271</c:v>
                </c:pt>
                <c:pt idx="825">
                  <c:v>0.61425123295901951</c:v>
                </c:pt>
                <c:pt idx="826">
                  <c:v>0.62570670798691719</c:v>
                </c:pt>
                <c:pt idx="827">
                  <c:v>0.63906223715028965</c:v>
                </c:pt>
                <c:pt idx="828">
                  <c:v>0.65460282856945795</c:v>
                </c:pt>
                <c:pt idx="829">
                  <c:v>0.67267349207428528</c:v>
                </c:pt>
                <c:pt idx="830">
                  <c:v>0.69369590634571421</c:v>
                </c:pt>
                <c:pt idx="831">
                  <c:v>0.71819096857785136</c:v>
                </c:pt>
                <c:pt idx="832">
                  <c:v>0.74680980026332922</c:v>
                </c:pt>
                <c:pt idx="833">
                  <c:v>0.78037715529281559</c:v>
                </c:pt>
                <c:pt idx="834">
                  <c:v>0.81995343152574196</c:v>
                </c:pt>
                <c:pt idx="835">
                  <c:v>0.86373473780336196</c:v>
                </c:pt>
                <c:pt idx="836">
                  <c:v>0.91968522308251754</c:v>
                </c:pt>
                <c:pt idx="837">
                  <c:v>0.43718961337100143</c:v>
                </c:pt>
                <c:pt idx="838">
                  <c:v>0.43718961337100143</c:v>
                </c:pt>
                <c:pt idx="839">
                  <c:v>0.43718961337100143</c:v>
                </c:pt>
                <c:pt idx="840">
                  <c:v>0.43718961337100143</c:v>
                </c:pt>
                <c:pt idx="841">
                  <c:v>0.43718961337100143</c:v>
                </c:pt>
                <c:pt idx="842">
                  <c:v>0.43718961337100143</c:v>
                </c:pt>
                <c:pt idx="843">
                  <c:v>0.43718961337100143</c:v>
                </c:pt>
                <c:pt idx="844">
                  <c:v>0.43718961337100143</c:v>
                </c:pt>
                <c:pt idx="845">
                  <c:v>0.43718961337100143</c:v>
                </c:pt>
                <c:pt idx="846">
                  <c:v>0.43718961337100143</c:v>
                </c:pt>
                <c:pt idx="847">
                  <c:v>0.43718961337100143</c:v>
                </c:pt>
                <c:pt idx="848">
                  <c:v>0.43718961337100143</c:v>
                </c:pt>
                <c:pt idx="849">
                  <c:v>0.43718961337100143</c:v>
                </c:pt>
                <c:pt idx="850">
                  <c:v>0.43718961337100143</c:v>
                </c:pt>
                <c:pt idx="851">
                  <c:v>0.43718961337100143</c:v>
                </c:pt>
                <c:pt idx="852">
                  <c:v>0.43718961337100143</c:v>
                </c:pt>
                <c:pt idx="853">
                  <c:v>0.43718961337100143</c:v>
                </c:pt>
                <c:pt idx="854">
                  <c:v>0.43718961337100143</c:v>
                </c:pt>
                <c:pt idx="855">
                  <c:v>0.43718961337100143</c:v>
                </c:pt>
                <c:pt idx="856">
                  <c:v>0.43718961337100143</c:v>
                </c:pt>
                <c:pt idx="857">
                  <c:v>0.43718961337100143</c:v>
                </c:pt>
                <c:pt idx="858">
                  <c:v>0.92998677148019193</c:v>
                </c:pt>
                <c:pt idx="859">
                  <c:v>0.87209307305314276</c:v>
                </c:pt>
                <c:pt idx="860">
                  <c:v>0.82232629889930664</c:v>
                </c:pt>
                <c:pt idx="861">
                  <c:v>0.77916265071745683</c:v>
                </c:pt>
                <c:pt idx="862">
                  <c:v>0.73997296455933625</c:v>
                </c:pt>
                <c:pt idx="863">
                  <c:v>0.70686006999925743</c:v>
                </c:pt>
                <c:pt idx="864">
                  <c:v>0.67755466261624497</c:v>
                </c:pt>
                <c:pt idx="865">
                  <c:v>0.65148561933373894</c:v>
                </c:pt>
                <c:pt idx="866">
                  <c:v>0.62819060242309654</c:v>
                </c:pt>
                <c:pt idx="867">
                  <c:v>0.60729133556088</c:v>
                </c:pt>
                <c:pt idx="868">
                  <c:v>0.58847532961033888</c:v>
                </c:pt>
                <c:pt idx="869">
                  <c:v>0.57148217695751402</c:v>
                </c:pt>
                <c:pt idx="870">
                  <c:v>0.55609313520667936</c:v>
                </c:pt>
                <c:pt idx="871">
                  <c:v>0.28474100316182244</c:v>
                </c:pt>
                <c:pt idx="872">
                  <c:v>0.28156500555119401</c:v>
                </c:pt>
                <c:pt idx="873">
                  <c:v>0.27883431017147126</c:v>
                </c:pt>
                <c:pt idx="874">
                  <c:v>0.27835670892367281</c:v>
                </c:pt>
                <c:pt idx="875">
                  <c:v>0.27835670892367281</c:v>
                </c:pt>
                <c:pt idx="876">
                  <c:v>0.27835670892367281</c:v>
                </c:pt>
                <c:pt idx="877">
                  <c:v>0.27835670892367281</c:v>
                </c:pt>
                <c:pt idx="878">
                  <c:v>0.27835670892367281</c:v>
                </c:pt>
                <c:pt idx="879">
                  <c:v>0.27835670892367281</c:v>
                </c:pt>
                <c:pt idx="880">
                  <c:v>0.27835670892367281</c:v>
                </c:pt>
                <c:pt idx="881">
                  <c:v>0.27835670892367281</c:v>
                </c:pt>
                <c:pt idx="882">
                  <c:v>0.27835670892367281</c:v>
                </c:pt>
                <c:pt idx="883">
                  <c:v>0.27835670892367281</c:v>
                </c:pt>
                <c:pt idx="884">
                  <c:v>0.27835670892367281</c:v>
                </c:pt>
                <c:pt idx="885">
                  <c:v>0.27835670892367281</c:v>
                </c:pt>
                <c:pt idx="886">
                  <c:v>0.27835670892367281</c:v>
                </c:pt>
                <c:pt idx="887">
                  <c:v>0.27835670892367281</c:v>
                </c:pt>
                <c:pt idx="888">
                  <c:v>0.27835670892367281</c:v>
                </c:pt>
                <c:pt idx="889">
                  <c:v>0.27835670892367281</c:v>
                </c:pt>
                <c:pt idx="890">
                  <c:v>0.27835670892367281</c:v>
                </c:pt>
                <c:pt idx="891">
                  <c:v>0.27835670892367281</c:v>
                </c:pt>
                <c:pt idx="892">
                  <c:v>0.27835670892367281</c:v>
                </c:pt>
                <c:pt idx="893">
                  <c:v>0.27835670892367281</c:v>
                </c:pt>
                <c:pt idx="894">
                  <c:v>0.27835670892367281</c:v>
                </c:pt>
                <c:pt idx="895">
                  <c:v>0.27835670892367281</c:v>
                </c:pt>
                <c:pt idx="896">
                  <c:v>0.27835670892367281</c:v>
                </c:pt>
                <c:pt idx="897">
                  <c:v>0.27835670892367281</c:v>
                </c:pt>
                <c:pt idx="898">
                  <c:v>0.27835670892367281</c:v>
                </c:pt>
                <c:pt idx="899">
                  <c:v>0.27835670892367281</c:v>
                </c:pt>
                <c:pt idx="900">
                  <c:v>0.27835670892367281</c:v>
                </c:pt>
                <c:pt idx="901">
                  <c:v>0.27835670892367281</c:v>
                </c:pt>
                <c:pt idx="902">
                  <c:v>0.27835670892367281</c:v>
                </c:pt>
                <c:pt idx="903">
                  <c:v>0.27835670892367281</c:v>
                </c:pt>
                <c:pt idx="904">
                  <c:v>0.27835670892367281</c:v>
                </c:pt>
                <c:pt idx="905">
                  <c:v>0.27835670892367281</c:v>
                </c:pt>
                <c:pt idx="906">
                  <c:v>0.27835670892367281</c:v>
                </c:pt>
                <c:pt idx="907">
                  <c:v>0.27835670892367281</c:v>
                </c:pt>
                <c:pt idx="908">
                  <c:v>0.27835670892367281</c:v>
                </c:pt>
                <c:pt idx="909">
                  <c:v>0.27835670892367281</c:v>
                </c:pt>
                <c:pt idx="910">
                  <c:v>0.27835670892367281</c:v>
                </c:pt>
                <c:pt idx="911">
                  <c:v>0.27835670892367281</c:v>
                </c:pt>
                <c:pt idx="912">
                  <c:v>0.27835670892367281</c:v>
                </c:pt>
                <c:pt idx="913">
                  <c:v>0.27835670892367281</c:v>
                </c:pt>
                <c:pt idx="914">
                  <c:v>0.27835670892367281</c:v>
                </c:pt>
                <c:pt idx="915">
                  <c:v>0.27835670892367281</c:v>
                </c:pt>
                <c:pt idx="916">
                  <c:v>0.27835670892367281</c:v>
                </c:pt>
                <c:pt idx="917">
                  <c:v>0.27835670892367281</c:v>
                </c:pt>
                <c:pt idx="918">
                  <c:v>0.27835670892367281</c:v>
                </c:pt>
                <c:pt idx="919">
                  <c:v>0.27835670892367281</c:v>
                </c:pt>
                <c:pt idx="920">
                  <c:v>0.27835670892367281</c:v>
                </c:pt>
                <c:pt idx="921">
                  <c:v>0.27835670892367281</c:v>
                </c:pt>
                <c:pt idx="922">
                  <c:v>0.27835670892367281</c:v>
                </c:pt>
                <c:pt idx="923">
                  <c:v>0.27835670892367281</c:v>
                </c:pt>
                <c:pt idx="924">
                  <c:v>0.27835670892367281</c:v>
                </c:pt>
                <c:pt idx="925">
                  <c:v>0.27835670892367281</c:v>
                </c:pt>
                <c:pt idx="926">
                  <c:v>0.27835670892367281</c:v>
                </c:pt>
                <c:pt idx="927">
                  <c:v>0.27835670892367281</c:v>
                </c:pt>
                <c:pt idx="928">
                  <c:v>0.27835670892367281</c:v>
                </c:pt>
                <c:pt idx="929">
                  <c:v>0.27835670892367281</c:v>
                </c:pt>
                <c:pt idx="930">
                  <c:v>0.27835670892367281</c:v>
                </c:pt>
                <c:pt idx="931">
                  <c:v>0.27835670892367281</c:v>
                </c:pt>
                <c:pt idx="932">
                  <c:v>0.27835670892367281</c:v>
                </c:pt>
                <c:pt idx="933">
                  <c:v>0.27835670892367281</c:v>
                </c:pt>
                <c:pt idx="934">
                  <c:v>0.27835670892367281</c:v>
                </c:pt>
                <c:pt idx="935">
                  <c:v>0.29184680770439403</c:v>
                </c:pt>
                <c:pt idx="936">
                  <c:v>0.30514769679077908</c:v>
                </c:pt>
                <c:pt idx="937">
                  <c:v>0.31905537826249192</c:v>
                </c:pt>
                <c:pt idx="938">
                  <c:v>0.33356985211953261</c:v>
                </c:pt>
                <c:pt idx="939">
                  <c:v>0.34869111836190103</c:v>
                </c:pt>
                <c:pt idx="940">
                  <c:v>0.3644191769895973</c:v>
                </c:pt>
                <c:pt idx="941">
                  <c:v>0.37040270106076922</c:v>
                </c:pt>
                <c:pt idx="942">
                  <c:v>0.3700843002289036</c:v>
                </c:pt>
                <c:pt idx="943">
                  <c:v>0.3700843002289036</c:v>
                </c:pt>
                <c:pt idx="944">
                  <c:v>0.3700843002289036</c:v>
                </c:pt>
                <c:pt idx="945">
                  <c:v>0.3700843002289036</c:v>
                </c:pt>
                <c:pt idx="946">
                  <c:v>0.3700843002289036</c:v>
                </c:pt>
                <c:pt idx="947">
                  <c:v>0.3700843002289036</c:v>
                </c:pt>
                <c:pt idx="948">
                  <c:v>0.3700843002289036</c:v>
                </c:pt>
                <c:pt idx="949">
                  <c:v>0.3700843002289036</c:v>
                </c:pt>
                <c:pt idx="950">
                  <c:v>0.3700843002289036</c:v>
                </c:pt>
                <c:pt idx="951">
                  <c:v>0.3700843002289036</c:v>
                </c:pt>
                <c:pt idx="952">
                  <c:v>0.3700843002289036</c:v>
                </c:pt>
                <c:pt idx="953">
                  <c:v>0.3700843002289036</c:v>
                </c:pt>
                <c:pt idx="954">
                  <c:v>0.3700843002289036</c:v>
                </c:pt>
                <c:pt idx="955">
                  <c:v>0.3700843002289036</c:v>
                </c:pt>
                <c:pt idx="956">
                  <c:v>0.3700843002289036</c:v>
                </c:pt>
                <c:pt idx="957">
                  <c:v>0.3700843002289036</c:v>
                </c:pt>
                <c:pt idx="958">
                  <c:v>0.3700843002289036</c:v>
                </c:pt>
                <c:pt idx="959">
                  <c:v>0.3700843002289036</c:v>
                </c:pt>
                <c:pt idx="960">
                  <c:v>0.3700843002289036</c:v>
                </c:pt>
                <c:pt idx="961">
                  <c:v>0.3700843002289036</c:v>
                </c:pt>
                <c:pt idx="962">
                  <c:v>0.3700843002289036</c:v>
                </c:pt>
                <c:pt idx="963">
                  <c:v>0.3700843002289036</c:v>
                </c:pt>
                <c:pt idx="964">
                  <c:v>0.3700843002289036</c:v>
                </c:pt>
                <c:pt idx="965">
                  <c:v>0.3700843002289036</c:v>
                </c:pt>
                <c:pt idx="966">
                  <c:v>0.3700843002289036</c:v>
                </c:pt>
                <c:pt idx="967">
                  <c:v>0.3700843002289036</c:v>
                </c:pt>
                <c:pt idx="968">
                  <c:v>0.3700843002289036</c:v>
                </c:pt>
                <c:pt idx="969">
                  <c:v>0.3700843002289036</c:v>
                </c:pt>
                <c:pt idx="970">
                  <c:v>0.37171257941048502</c:v>
                </c:pt>
                <c:pt idx="971">
                  <c:v>0.37659807210656066</c:v>
                </c:pt>
                <c:pt idx="972">
                  <c:v>0.37633767860263101</c:v>
                </c:pt>
                <c:pt idx="973">
                  <c:v>0.44145732114108677</c:v>
                </c:pt>
                <c:pt idx="974">
                  <c:v>0.51892422200610766</c:v>
                </c:pt>
                <c:pt idx="975">
                  <c:v>0.61336860307015573</c:v>
                </c:pt>
                <c:pt idx="976">
                  <c:v>0.73651052891931446</c:v>
                </c:pt>
                <c:pt idx="977">
                  <c:v>0.89232943477763793</c:v>
                </c:pt>
                <c:pt idx="978">
                  <c:v>1.1066531109517257</c:v>
                </c:pt>
                <c:pt idx="979">
                  <c:v>1.4233601351784009</c:v>
                </c:pt>
                <c:pt idx="980">
                  <c:v>0.67982553436318904</c:v>
                </c:pt>
                <c:pt idx="981">
                  <c:v>0.67982553436318904</c:v>
                </c:pt>
                <c:pt idx="982">
                  <c:v>0.67982553436318904</c:v>
                </c:pt>
                <c:pt idx="983">
                  <c:v>0.67982553436318904</c:v>
                </c:pt>
                <c:pt idx="984">
                  <c:v>0.67982553436318904</c:v>
                </c:pt>
                <c:pt idx="985">
                  <c:v>0.67982553436318904</c:v>
                </c:pt>
                <c:pt idx="986">
                  <c:v>0.67982553436318904</c:v>
                </c:pt>
                <c:pt idx="987">
                  <c:v>0.67982553436318904</c:v>
                </c:pt>
                <c:pt idx="988">
                  <c:v>0.67982553436318904</c:v>
                </c:pt>
                <c:pt idx="989">
                  <c:v>0.67982553436318904</c:v>
                </c:pt>
                <c:pt idx="990">
                  <c:v>0.67982553436318904</c:v>
                </c:pt>
                <c:pt idx="991">
                  <c:v>0.67982553436318904</c:v>
                </c:pt>
                <c:pt idx="992">
                  <c:v>2.2584439603148185</c:v>
                </c:pt>
                <c:pt idx="993">
                  <c:v>1.9119181246111485</c:v>
                </c:pt>
                <c:pt idx="994">
                  <c:v>1.6671302362710745</c:v>
                </c:pt>
                <c:pt idx="995">
                  <c:v>1.4859285650332466</c:v>
                </c:pt>
                <c:pt idx="996">
                  <c:v>1.3471177051969163</c:v>
                </c:pt>
                <c:pt idx="997">
                  <c:v>1.2348696121910845</c:v>
                </c:pt>
                <c:pt idx="998">
                  <c:v>1.1475958971538889</c:v>
                </c:pt>
                <c:pt idx="999">
                  <c:v>1.0764606313010439</c:v>
                </c:pt>
                <c:pt idx="1000">
                  <c:v>1.0177395571284695</c:v>
                </c:pt>
                <c:pt idx="1001">
                  <c:v>0.27469583983637053</c:v>
                </c:pt>
                <c:pt idx="1002">
                  <c:v>0.29569389033063859</c:v>
                </c:pt>
                <c:pt idx="1003">
                  <c:v>0.33958255472391286</c:v>
                </c:pt>
                <c:pt idx="1004">
                  <c:v>0.38919316650458075</c:v>
                </c:pt>
                <c:pt idx="1005">
                  <c:v>0.44608625677829511</c:v>
                </c:pt>
                <c:pt idx="1006">
                  <c:v>0.51244656909296971</c:v>
                </c:pt>
                <c:pt idx="1007">
                  <c:v>0.59142984412892485</c:v>
                </c:pt>
                <c:pt idx="1008">
                  <c:v>0.6877696929066407</c:v>
                </c:pt>
                <c:pt idx="1009">
                  <c:v>0.80890464702972864</c:v>
                </c:pt>
                <c:pt idx="1010">
                  <c:v>0.96723225917087519</c:v>
                </c:pt>
                <c:pt idx="1011">
                  <c:v>1.1850681241409153</c:v>
                </c:pt>
                <c:pt idx="1012">
                  <c:v>1.5070434315615189</c:v>
                </c:pt>
                <c:pt idx="1013">
                  <c:v>2.0372976238832501</c:v>
                </c:pt>
                <c:pt idx="1014">
                  <c:v>0.75658059833703528</c:v>
                </c:pt>
                <c:pt idx="1015">
                  <c:v>0.75658059833703528</c:v>
                </c:pt>
                <c:pt idx="1016">
                  <c:v>0.75658059833703528</c:v>
                </c:pt>
                <c:pt idx="1017">
                  <c:v>0.75658059833703528</c:v>
                </c:pt>
                <c:pt idx="1018">
                  <c:v>0.75658059833703528</c:v>
                </c:pt>
                <c:pt idx="1019">
                  <c:v>0.75658059833703528</c:v>
                </c:pt>
                <c:pt idx="1020">
                  <c:v>2.6837739017689093</c:v>
                </c:pt>
                <c:pt idx="1021">
                  <c:v>2.1675857425234275</c:v>
                </c:pt>
                <c:pt idx="1022">
                  <c:v>1.8266459630494103</c:v>
                </c:pt>
                <c:pt idx="1023">
                  <c:v>1.5858481148733734</c:v>
                </c:pt>
                <c:pt idx="1024">
                  <c:v>1.4076389737585735</c:v>
                </c:pt>
                <c:pt idx="1025">
                  <c:v>1.2711556373512654</c:v>
                </c:pt>
                <c:pt idx="1026">
                  <c:v>1.1638803642392017</c:v>
                </c:pt>
                <c:pt idx="1027">
                  <c:v>1.0778473189782245</c:v>
                </c:pt>
                <c:pt idx="1028">
                  <c:v>0.3106693926899024</c:v>
                </c:pt>
                <c:pt idx="1029">
                  <c:v>0.3064444229940716</c:v>
                </c:pt>
                <c:pt idx="1030">
                  <c:v>0.30418830326463275</c:v>
                </c:pt>
                <c:pt idx="1031">
                  <c:v>0.32518635375890081</c:v>
                </c:pt>
                <c:pt idx="1032">
                  <c:v>0.34754968712015638</c:v>
                </c:pt>
                <c:pt idx="1033">
                  <c:v>0.37127830334839945</c:v>
                </c:pt>
                <c:pt idx="1034">
                  <c:v>0.3700843002289036</c:v>
                </c:pt>
                <c:pt idx="1035">
                  <c:v>0.3700843002289036</c:v>
                </c:pt>
                <c:pt idx="1036">
                  <c:v>0.3700843002289036</c:v>
                </c:pt>
                <c:pt idx="1037">
                  <c:v>0.37171257941048502</c:v>
                </c:pt>
                <c:pt idx="1038">
                  <c:v>0.37659807210656066</c:v>
                </c:pt>
                <c:pt idx="1039">
                  <c:v>0.38410946894172504</c:v>
                </c:pt>
                <c:pt idx="1040">
                  <c:v>0.44145732114108677</c:v>
                </c:pt>
                <c:pt idx="1041">
                  <c:v>0.51892422200610766</c:v>
                </c:pt>
                <c:pt idx="1042">
                  <c:v>0.61336860307015573</c:v>
                </c:pt>
                <c:pt idx="1043">
                  <c:v>0.73206652727567101</c:v>
                </c:pt>
                <c:pt idx="1044">
                  <c:v>0.88714476619338734</c:v>
                </c:pt>
                <c:pt idx="1045">
                  <c:v>1.1004315086506251</c:v>
                </c:pt>
                <c:pt idx="1046">
                  <c:v>1.4155831323020251</c:v>
                </c:pt>
                <c:pt idx="1047">
                  <c:v>1.9344645183417504</c:v>
                </c:pt>
                <c:pt idx="1048">
                  <c:v>1.9751135402348587</c:v>
                </c:pt>
                <c:pt idx="1049">
                  <c:v>3.0296408688757896</c:v>
                </c:pt>
                <c:pt idx="1050">
                  <c:v>6.1430008831552545</c:v>
                </c:pt>
                <c:pt idx="1051">
                  <c:v>2.2697417950111061</c:v>
                </c:pt>
                <c:pt idx="1052">
                  <c:v>2.2697417950111061</c:v>
                </c:pt>
                <c:pt idx="1053">
                  <c:v>2.2697417950111061</c:v>
                </c:pt>
                <c:pt idx="1054">
                  <c:v>2.2697417950111061</c:v>
                </c:pt>
                <c:pt idx="1055">
                  <c:v>2.2697417950111061</c:v>
                </c:pt>
                <c:pt idx="1056">
                  <c:v>2.2697417950111061</c:v>
                </c:pt>
                <c:pt idx="1057">
                  <c:v>2.2697417950111061</c:v>
                </c:pt>
                <c:pt idx="1058">
                  <c:v>2.2697417950111061</c:v>
                </c:pt>
                <c:pt idx="1059">
                  <c:v>5.6500660676757519</c:v>
                </c:pt>
                <c:pt idx="1060">
                  <c:v>3.8039532012257125</c:v>
                </c:pt>
                <c:pt idx="1061">
                  <c:v>2.8863336277732303</c:v>
                </c:pt>
                <c:pt idx="1062">
                  <c:v>2.3401113715197699</c:v>
                </c:pt>
                <c:pt idx="1063">
                  <c:v>1.9795877738658212</c:v>
                </c:pt>
                <c:pt idx="1064">
                  <c:v>1.7251776954115936</c:v>
                </c:pt>
                <c:pt idx="1065">
                  <c:v>0.42176608339213623</c:v>
                </c:pt>
                <c:pt idx="1066">
                  <c:v>0.40181564111151236</c:v>
                </c:pt>
                <c:pt idx="1067">
                  <c:v>0.38803003119602808</c:v>
                </c:pt>
                <c:pt idx="1068">
                  <c:v>0.37872793572791819</c:v>
                </c:pt>
                <c:pt idx="1069">
                  <c:v>0.37278847609533872</c:v>
                </c:pt>
                <c:pt idx="1070">
                  <c:v>0.36943565941316758</c:v>
                </c:pt>
                <c:pt idx="1071">
                  <c:v>0.36811520504917428</c:v>
                </c:pt>
                <c:pt idx="1072">
                  <c:v>0.37024350064483635</c:v>
                </c:pt>
                <c:pt idx="1073">
                  <c:v>0.3700843002289036</c:v>
                </c:pt>
                <c:pt idx="1074">
                  <c:v>0.3700843002289036</c:v>
                </c:pt>
                <c:pt idx="1075">
                  <c:v>0.3700843002289036</c:v>
                </c:pt>
                <c:pt idx="1076">
                  <c:v>0.3700843002289036</c:v>
                </c:pt>
                <c:pt idx="1077">
                  <c:v>0.3700843002289036</c:v>
                </c:pt>
                <c:pt idx="1078">
                  <c:v>0.3700843002289036</c:v>
                </c:pt>
                <c:pt idx="1079">
                  <c:v>0.3700843002289036</c:v>
                </c:pt>
                <c:pt idx="1080">
                  <c:v>0.3700843002289036</c:v>
                </c:pt>
                <c:pt idx="1081">
                  <c:v>0.3700843002289036</c:v>
                </c:pt>
                <c:pt idx="1082">
                  <c:v>0.3700843002289036</c:v>
                </c:pt>
                <c:pt idx="1083">
                  <c:v>0.27174269928089306</c:v>
                </c:pt>
                <c:pt idx="1084">
                  <c:v>0.32047847980909894</c:v>
                </c:pt>
                <c:pt idx="1085">
                  <c:v>0.37633767860263101</c:v>
                </c:pt>
                <c:pt idx="1086">
                  <c:v>0.44145732114108677</c:v>
                </c:pt>
                <c:pt idx="1087">
                  <c:v>0.51892422200610766</c:v>
                </c:pt>
                <c:pt idx="1088">
                  <c:v>0.61336860307015573</c:v>
                </c:pt>
                <c:pt idx="1089">
                  <c:v>0.73651052891931446</c:v>
                </c:pt>
                <c:pt idx="1090">
                  <c:v>0.89232943477763793</c:v>
                </c:pt>
                <c:pt idx="1091">
                  <c:v>1.1066531109517257</c:v>
                </c:pt>
                <c:pt idx="1092">
                  <c:v>1.4233601351784009</c:v>
                </c:pt>
                <c:pt idx="1093">
                  <c:v>0.49381215486529312</c:v>
                </c:pt>
                <c:pt idx="1094">
                  <c:v>0.49381215486529312</c:v>
                </c:pt>
                <c:pt idx="1095">
                  <c:v>0.49381215486529312</c:v>
                </c:pt>
                <c:pt idx="1096">
                  <c:v>0.49381215486529312</c:v>
                </c:pt>
                <c:pt idx="1097">
                  <c:v>0.49381215486529312</c:v>
                </c:pt>
                <c:pt idx="1098">
                  <c:v>0.49381215486529312</c:v>
                </c:pt>
                <c:pt idx="1099">
                  <c:v>0.49381215486529312</c:v>
                </c:pt>
                <c:pt idx="1100">
                  <c:v>0.49381215486529312</c:v>
                </c:pt>
                <c:pt idx="1101">
                  <c:v>0.49381215486529312</c:v>
                </c:pt>
                <c:pt idx="1102">
                  <c:v>0.49381215486529312</c:v>
                </c:pt>
                <c:pt idx="1103">
                  <c:v>0.49381215486529312</c:v>
                </c:pt>
                <c:pt idx="1104">
                  <c:v>2.2350088419422636</c:v>
                </c:pt>
                <c:pt idx="1105">
                  <c:v>1.7025462838993994</c:v>
                </c:pt>
                <c:pt idx="1106">
                  <c:v>1.3906145212989169</c:v>
                </c:pt>
                <c:pt idx="1107">
                  <c:v>0.25605630814257885</c:v>
                </c:pt>
                <c:pt idx="1108">
                  <c:v>0.24474367047583093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7B0-4639-AF2D-2CFA1A2A9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9320040"/>
        <c:axId val="1289316104"/>
      </c:scatterChart>
      <c:scatterChart>
        <c:scatterStyle val="smoothMarker"/>
        <c:varyColors val="0"/>
        <c:ser>
          <c:idx val="0"/>
          <c:order val="0"/>
          <c:tx>
            <c:v>Fuel Consumption Against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Cycle'!$X$3:$X$1111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0.13823075593878625</c:v>
                </c:pt>
                <c:pt idx="3">
                  <c:v>0.17092309371352873</c:v>
                </c:pt>
                <c:pt idx="4">
                  <c:v>0.16395307186203698</c:v>
                </c:pt>
                <c:pt idx="5">
                  <c:v>0.17586368134367869</c:v>
                </c:pt>
                <c:pt idx="6">
                  <c:v>0.17293334191301135</c:v>
                </c:pt>
                <c:pt idx="7">
                  <c:v>0.17015401505145694</c:v>
                </c:pt>
                <c:pt idx="8">
                  <c:v>0.17497065769173878</c:v>
                </c:pt>
                <c:pt idx="9">
                  <c:v>0.18525296363370422</c:v>
                </c:pt>
                <c:pt idx="10">
                  <c:v>0.1890484996100279</c:v>
                </c:pt>
                <c:pt idx="11">
                  <c:v>4.6309499006110581E-2</c:v>
                </c:pt>
                <c:pt idx="12">
                  <c:v>5.1539848697424048E-2</c:v>
                </c:pt>
                <c:pt idx="13">
                  <c:v>5.7225011405373463E-2</c:v>
                </c:pt>
                <c:pt idx="14">
                  <c:v>5.95113852066423E-2</c:v>
                </c:pt>
                <c:pt idx="15">
                  <c:v>5.9389075527499745E-2</c:v>
                </c:pt>
                <c:pt idx="16">
                  <c:v>5.9389075527499745E-2</c:v>
                </c:pt>
                <c:pt idx="17">
                  <c:v>5.9389075527499745E-2</c:v>
                </c:pt>
                <c:pt idx="18">
                  <c:v>5.9389075527499745E-2</c:v>
                </c:pt>
                <c:pt idx="19">
                  <c:v>5.9389075527499745E-2</c:v>
                </c:pt>
                <c:pt idx="20">
                  <c:v>5.9389075527499745E-2</c:v>
                </c:pt>
                <c:pt idx="21">
                  <c:v>5.9389075527499745E-2</c:v>
                </c:pt>
                <c:pt idx="22">
                  <c:v>5.9389075527499745E-2</c:v>
                </c:pt>
                <c:pt idx="23">
                  <c:v>5.9389075527499745E-2</c:v>
                </c:pt>
                <c:pt idx="24">
                  <c:v>5.9389075527499745E-2</c:v>
                </c:pt>
                <c:pt idx="25">
                  <c:v>5.9389075527499745E-2</c:v>
                </c:pt>
                <c:pt idx="26">
                  <c:v>5.9389075527499745E-2</c:v>
                </c:pt>
                <c:pt idx="27">
                  <c:v>5.9389075527499745E-2</c:v>
                </c:pt>
                <c:pt idx="28">
                  <c:v>5.9389075527499745E-2</c:v>
                </c:pt>
                <c:pt idx="29">
                  <c:v>5.9389075527499745E-2</c:v>
                </c:pt>
                <c:pt idx="30">
                  <c:v>5.9389075527499745E-2</c:v>
                </c:pt>
                <c:pt idx="31">
                  <c:v>5.9389075527499745E-2</c:v>
                </c:pt>
                <c:pt idx="32">
                  <c:v>5.9389075527499745E-2</c:v>
                </c:pt>
                <c:pt idx="33">
                  <c:v>5.9389075527499745E-2</c:v>
                </c:pt>
                <c:pt idx="34">
                  <c:v>5.9389075527499745E-2</c:v>
                </c:pt>
                <c:pt idx="35">
                  <c:v>5.9389075527499745E-2</c:v>
                </c:pt>
                <c:pt idx="36">
                  <c:v>5.9389075527499745E-2</c:v>
                </c:pt>
                <c:pt idx="37">
                  <c:v>5.9389075527499745E-2</c:v>
                </c:pt>
                <c:pt idx="38">
                  <c:v>5.9389075527499745E-2</c:v>
                </c:pt>
                <c:pt idx="39">
                  <c:v>5.9389075527499745E-2</c:v>
                </c:pt>
                <c:pt idx="40">
                  <c:v>5.9389075527499745E-2</c:v>
                </c:pt>
                <c:pt idx="41">
                  <c:v>5.9389075527499745E-2</c:v>
                </c:pt>
                <c:pt idx="42">
                  <c:v>5.9389075527499745E-2</c:v>
                </c:pt>
                <c:pt idx="43">
                  <c:v>5.9389075527499745E-2</c:v>
                </c:pt>
                <c:pt idx="44">
                  <c:v>5.9389075527499745E-2</c:v>
                </c:pt>
                <c:pt idx="45">
                  <c:v>5.9389075527499745E-2</c:v>
                </c:pt>
                <c:pt idx="46">
                  <c:v>5.9389075527499745E-2</c:v>
                </c:pt>
                <c:pt idx="47">
                  <c:v>5.9389075527499745E-2</c:v>
                </c:pt>
                <c:pt idx="48">
                  <c:v>5.9389075527499745E-2</c:v>
                </c:pt>
                <c:pt idx="49">
                  <c:v>5.9389075527499745E-2</c:v>
                </c:pt>
                <c:pt idx="50">
                  <c:v>5.9389075527499745E-2</c:v>
                </c:pt>
                <c:pt idx="51">
                  <c:v>5.9389075527499745E-2</c:v>
                </c:pt>
                <c:pt idx="52">
                  <c:v>5.9389075527499745E-2</c:v>
                </c:pt>
                <c:pt idx="53">
                  <c:v>5.9389075527499745E-2</c:v>
                </c:pt>
                <c:pt idx="54">
                  <c:v>5.9389075527499745E-2</c:v>
                </c:pt>
                <c:pt idx="55">
                  <c:v>5.9389075527499745E-2</c:v>
                </c:pt>
                <c:pt idx="56">
                  <c:v>5.9389075527499745E-2</c:v>
                </c:pt>
                <c:pt idx="57">
                  <c:v>5.9389075527499745E-2</c:v>
                </c:pt>
                <c:pt idx="58">
                  <c:v>5.9389075527499745E-2</c:v>
                </c:pt>
                <c:pt idx="59">
                  <c:v>5.9389075527499745E-2</c:v>
                </c:pt>
                <c:pt idx="60">
                  <c:v>5.9389075527499745E-2</c:v>
                </c:pt>
                <c:pt idx="61">
                  <c:v>5.9389075527499745E-2</c:v>
                </c:pt>
                <c:pt idx="62">
                  <c:v>5.9389075527499745E-2</c:v>
                </c:pt>
                <c:pt idx="63">
                  <c:v>5.9389075527499745E-2</c:v>
                </c:pt>
                <c:pt idx="64">
                  <c:v>5.9389075527499745E-2</c:v>
                </c:pt>
                <c:pt idx="65">
                  <c:v>5.9389075527499745E-2</c:v>
                </c:pt>
                <c:pt idx="66">
                  <c:v>5.9389075527499745E-2</c:v>
                </c:pt>
                <c:pt idx="67">
                  <c:v>5.9389075527499745E-2</c:v>
                </c:pt>
                <c:pt idx="68">
                  <c:v>5.9389075527499745E-2</c:v>
                </c:pt>
                <c:pt idx="69">
                  <c:v>5.9389075527499745E-2</c:v>
                </c:pt>
                <c:pt idx="70">
                  <c:v>5.9389075527499745E-2</c:v>
                </c:pt>
                <c:pt idx="71">
                  <c:v>5.9389075527499745E-2</c:v>
                </c:pt>
                <c:pt idx="72">
                  <c:v>5.9389075527499745E-2</c:v>
                </c:pt>
                <c:pt idx="73">
                  <c:v>5.9389075527499745E-2</c:v>
                </c:pt>
                <c:pt idx="74">
                  <c:v>5.9389075527499745E-2</c:v>
                </c:pt>
                <c:pt idx="75">
                  <c:v>5.9389075527499745E-2</c:v>
                </c:pt>
                <c:pt idx="76">
                  <c:v>5.9389075527499745E-2</c:v>
                </c:pt>
                <c:pt idx="77">
                  <c:v>5.9389075527499745E-2</c:v>
                </c:pt>
                <c:pt idx="78">
                  <c:v>5.9389075527499745E-2</c:v>
                </c:pt>
                <c:pt idx="79">
                  <c:v>5.9389075527499745E-2</c:v>
                </c:pt>
                <c:pt idx="80">
                  <c:v>5.9389075527499745E-2</c:v>
                </c:pt>
                <c:pt idx="81">
                  <c:v>5.9389075527499745E-2</c:v>
                </c:pt>
                <c:pt idx="82">
                  <c:v>5.9389075527499745E-2</c:v>
                </c:pt>
                <c:pt idx="83">
                  <c:v>5.9389075527499745E-2</c:v>
                </c:pt>
                <c:pt idx="84">
                  <c:v>5.9389075527499745E-2</c:v>
                </c:pt>
                <c:pt idx="85">
                  <c:v>5.9389075527499745E-2</c:v>
                </c:pt>
                <c:pt idx="86">
                  <c:v>5.9389075527499745E-2</c:v>
                </c:pt>
                <c:pt idx="87">
                  <c:v>5.9389075527499745E-2</c:v>
                </c:pt>
                <c:pt idx="88">
                  <c:v>5.9389075527499745E-2</c:v>
                </c:pt>
                <c:pt idx="89">
                  <c:v>5.9389075527499745E-2</c:v>
                </c:pt>
                <c:pt idx="90">
                  <c:v>5.9389075527499745E-2</c:v>
                </c:pt>
                <c:pt idx="91">
                  <c:v>5.9389075527499745E-2</c:v>
                </c:pt>
                <c:pt idx="92">
                  <c:v>5.9389075527499745E-2</c:v>
                </c:pt>
                <c:pt idx="93">
                  <c:v>4.5207841254058558E-2</c:v>
                </c:pt>
                <c:pt idx="94">
                  <c:v>2.9006691159531799E-2</c:v>
                </c:pt>
                <c:pt idx="95">
                  <c:v>2.6290994927020788E-2</c:v>
                </c:pt>
                <c:pt idx="96">
                  <c:v>2.4118980540695133E-2</c:v>
                </c:pt>
                <c:pt idx="97">
                  <c:v>2.1450657769370478E-2</c:v>
                </c:pt>
                <c:pt idx="98">
                  <c:v>9.945614513988732E-2</c:v>
                </c:pt>
                <c:pt idx="99">
                  <c:v>9.945614513988732E-2</c:v>
                </c:pt>
                <c:pt idx="100">
                  <c:v>9.945614513988732E-2</c:v>
                </c:pt>
                <c:pt idx="101">
                  <c:v>9.945614513988732E-2</c:v>
                </c:pt>
                <c:pt idx="102">
                  <c:v>9.945614513988732E-2</c:v>
                </c:pt>
                <c:pt idx="103">
                  <c:v>9.945614513988732E-2</c:v>
                </c:pt>
                <c:pt idx="104">
                  <c:v>9.945614513988732E-2</c:v>
                </c:pt>
                <c:pt idx="105">
                  <c:v>9.945614513988732E-2</c:v>
                </c:pt>
                <c:pt idx="106">
                  <c:v>9.945614513988732E-2</c:v>
                </c:pt>
                <c:pt idx="107">
                  <c:v>9.945614513988732E-2</c:v>
                </c:pt>
                <c:pt idx="108">
                  <c:v>9.945614513988732E-2</c:v>
                </c:pt>
                <c:pt idx="109">
                  <c:v>9.718319963118438E-2</c:v>
                </c:pt>
                <c:pt idx="110">
                  <c:v>5.2304839380802118E-2</c:v>
                </c:pt>
                <c:pt idx="111">
                  <c:v>5.7560893705610287E-2</c:v>
                </c:pt>
                <c:pt idx="112">
                  <c:v>5.9860687381732988E-2</c:v>
                </c:pt>
                <c:pt idx="113">
                  <c:v>5.9737659805723972E-2</c:v>
                </c:pt>
                <c:pt idx="114">
                  <c:v>5.9737659805723972E-2</c:v>
                </c:pt>
                <c:pt idx="115">
                  <c:v>5.9737659805723972E-2</c:v>
                </c:pt>
                <c:pt idx="116">
                  <c:v>4.0454449382620633E-2</c:v>
                </c:pt>
                <c:pt idx="117">
                  <c:v>4.1477678734305454E-2</c:v>
                </c:pt>
                <c:pt idx="118">
                  <c:v>4.3972310393376769E-2</c:v>
                </c:pt>
                <c:pt idx="119">
                  <c:v>4.3822276764097466E-2</c:v>
                </c:pt>
                <c:pt idx="120">
                  <c:v>4.9154651989038921E-2</c:v>
                </c:pt>
                <c:pt idx="121">
                  <c:v>1.7980065666595615E-2</c:v>
                </c:pt>
                <c:pt idx="122">
                  <c:v>2.3346344179787686E-2</c:v>
                </c:pt>
                <c:pt idx="123">
                  <c:v>2.307328297449936E-2</c:v>
                </c:pt>
                <c:pt idx="124">
                  <c:v>2.307328297449936E-2</c:v>
                </c:pt>
                <c:pt idx="125">
                  <c:v>2.307328297449936E-2</c:v>
                </c:pt>
                <c:pt idx="126">
                  <c:v>2.307328297449936E-2</c:v>
                </c:pt>
                <c:pt idx="127">
                  <c:v>2.307328297449936E-2</c:v>
                </c:pt>
                <c:pt idx="128">
                  <c:v>2.307328297449936E-2</c:v>
                </c:pt>
                <c:pt idx="129">
                  <c:v>2.307328297449936E-2</c:v>
                </c:pt>
                <c:pt idx="130">
                  <c:v>2.307328297449936E-2</c:v>
                </c:pt>
                <c:pt idx="131">
                  <c:v>2.307328297449936E-2</c:v>
                </c:pt>
                <c:pt idx="132">
                  <c:v>2.307328297449936E-2</c:v>
                </c:pt>
                <c:pt idx="133">
                  <c:v>2.3073282974499325E-2</c:v>
                </c:pt>
                <c:pt idx="134">
                  <c:v>2.3073282974499325E-2</c:v>
                </c:pt>
                <c:pt idx="135">
                  <c:v>2.3073282974499325E-2</c:v>
                </c:pt>
                <c:pt idx="136">
                  <c:v>2.3073282974499325E-2</c:v>
                </c:pt>
                <c:pt idx="137">
                  <c:v>2.3073282974499325E-2</c:v>
                </c:pt>
                <c:pt idx="138">
                  <c:v>2.3073282974499325E-2</c:v>
                </c:pt>
                <c:pt idx="139">
                  <c:v>2.3073282974499325E-2</c:v>
                </c:pt>
                <c:pt idx="140">
                  <c:v>2.3073282974499325E-2</c:v>
                </c:pt>
                <c:pt idx="141">
                  <c:v>2.3073282974499325E-2</c:v>
                </c:pt>
                <c:pt idx="142">
                  <c:v>2.3073282974499332E-2</c:v>
                </c:pt>
                <c:pt idx="143">
                  <c:v>2.3073282974499332E-2</c:v>
                </c:pt>
                <c:pt idx="144">
                  <c:v>2.3073282974499332E-2</c:v>
                </c:pt>
                <c:pt idx="145">
                  <c:v>4.8694108542555466E-2</c:v>
                </c:pt>
                <c:pt idx="146">
                  <c:v>5.9737659805723972E-2</c:v>
                </c:pt>
                <c:pt idx="147">
                  <c:v>5.9737659805723972E-2</c:v>
                </c:pt>
                <c:pt idx="148">
                  <c:v>5.9737659805723972E-2</c:v>
                </c:pt>
                <c:pt idx="149">
                  <c:v>5.9737659805723972E-2</c:v>
                </c:pt>
                <c:pt idx="150">
                  <c:v>5.9737659805723972E-2</c:v>
                </c:pt>
                <c:pt idx="151">
                  <c:v>5.9737659805723972E-2</c:v>
                </c:pt>
                <c:pt idx="152">
                  <c:v>5.9737659805723972E-2</c:v>
                </c:pt>
                <c:pt idx="153">
                  <c:v>5.9737659805723972E-2</c:v>
                </c:pt>
                <c:pt idx="154">
                  <c:v>5.9737659805723972E-2</c:v>
                </c:pt>
                <c:pt idx="155">
                  <c:v>5.9737659805723972E-2</c:v>
                </c:pt>
                <c:pt idx="156">
                  <c:v>5.9737659805723972E-2</c:v>
                </c:pt>
                <c:pt idx="157">
                  <c:v>5.3531492924801492E-2</c:v>
                </c:pt>
                <c:pt idx="158">
                  <c:v>4.8082875844836039E-2</c:v>
                </c:pt>
                <c:pt idx="159">
                  <c:v>0.10802080716099006</c:v>
                </c:pt>
                <c:pt idx="160">
                  <c:v>0.11307393853703522</c:v>
                </c:pt>
                <c:pt idx="161">
                  <c:v>0.12088014810442677</c:v>
                </c:pt>
                <c:pt idx="162">
                  <c:v>0.12845283480982211</c:v>
                </c:pt>
                <c:pt idx="163">
                  <c:v>0.12156078128724181</c:v>
                </c:pt>
                <c:pt idx="164">
                  <c:v>0.12246667786082979</c:v>
                </c:pt>
                <c:pt idx="165">
                  <c:v>0.1279053041055519</c:v>
                </c:pt>
                <c:pt idx="166">
                  <c:v>0.13298728761572792</c:v>
                </c:pt>
                <c:pt idx="167">
                  <c:v>2.4474532561448773E-2</c:v>
                </c:pt>
                <c:pt idx="168">
                  <c:v>2.4474532561448773E-2</c:v>
                </c:pt>
                <c:pt idx="169">
                  <c:v>2.4474532561448773E-2</c:v>
                </c:pt>
                <c:pt idx="170">
                  <c:v>2.4474532561448773E-2</c:v>
                </c:pt>
                <c:pt idx="171">
                  <c:v>2.4474532561448773E-2</c:v>
                </c:pt>
                <c:pt idx="172">
                  <c:v>2.4474532561448773E-2</c:v>
                </c:pt>
                <c:pt idx="173">
                  <c:v>2.4474532561448773E-2</c:v>
                </c:pt>
                <c:pt idx="174">
                  <c:v>2.4474532561448773E-2</c:v>
                </c:pt>
                <c:pt idx="175">
                  <c:v>2.4474532561448773E-2</c:v>
                </c:pt>
                <c:pt idx="176">
                  <c:v>2.4474532561448773E-2</c:v>
                </c:pt>
                <c:pt idx="177">
                  <c:v>2.4474532561448773E-2</c:v>
                </c:pt>
                <c:pt idx="178">
                  <c:v>0.16893518410665634</c:v>
                </c:pt>
                <c:pt idx="179">
                  <c:v>0.17111518696866321</c:v>
                </c:pt>
                <c:pt idx="180">
                  <c:v>0.173739182266924</c:v>
                </c:pt>
                <c:pt idx="181">
                  <c:v>0.17771373737774554</c:v>
                </c:pt>
                <c:pt idx="182">
                  <c:v>0.18011434126388132</c:v>
                </c:pt>
                <c:pt idx="183">
                  <c:v>0.17636805246354967</c:v>
                </c:pt>
                <c:pt idx="184">
                  <c:v>0.18733690618793777</c:v>
                </c:pt>
                <c:pt idx="185">
                  <c:v>0.1921603626695812</c:v>
                </c:pt>
                <c:pt idx="186">
                  <c:v>0.19742593248593066</c:v>
                </c:pt>
                <c:pt idx="187">
                  <c:v>0.20313361563698618</c:v>
                </c:pt>
                <c:pt idx="188">
                  <c:v>5.9737659805723972E-2</c:v>
                </c:pt>
                <c:pt idx="189">
                  <c:v>5.9737659805723972E-2</c:v>
                </c:pt>
                <c:pt idx="190">
                  <c:v>5.9737659805723972E-2</c:v>
                </c:pt>
                <c:pt idx="191">
                  <c:v>5.9737659805723972E-2</c:v>
                </c:pt>
                <c:pt idx="192">
                  <c:v>5.9737659805723972E-2</c:v>
                </c:pt>
                <c:pt idx="193">
                  <c:v>5.9737659805723972E-2</c:v>
                </c:pt>
                <c:pt idx="194">
                  <c:v>5.9737659805723972E-2</c:v>
                </c:pt>
                <c:pt idx="195">
                  <c:v>5.9737659805723972E-2</c:v>
                </c:pt>
                <c:pt idx="196">
                  <c:v>5.9737659805723972E-2</c:v>
                </c:pt>
                <c:pt idx="197">
                  <c:v>5.9737659805723972E-2</c:v>
                </c:pt>
                <c:pt idx="198">
                  <c:v>5.9737659805723972E-2</c:v>
                </c:pt>
                <c:pt idx="199">
                  <c:v>5.9737659805723972E-2</c:v>
                </c:pt>
                <c:pt idx="200">
                  <c:v>5.9737659805723972E-2</c:v>
                </c:pt>
                <c:pt idx="201">
                  <c:v>5.9737659805723972E-2</c:v>
                </c:pt>
                <c:pt idx="202">
                  <c:v>5.9737659805723972E-2</c:v>
                </c:pt>
                <c:pt idx="203">
                  <c:v>5.9737659805723972E-2</c:v>
                </c:pt>
                <c:pt idx="204">
                  <c:v>5.9737659805723972E-2</c:v>
                </c:pt>
                <c:pt idx="205">
                  <c:v>5.9737659805723972E-2</c:v>
                </c:pt>
                <c:pt idx="206">
                  <c:v>5.9737659805723972E-2</c:v>
                </c:pt>
                <c:pt idx="207">
                  <c:v>5.9737659805723972E-2</c:v>
                </c:pt>
                <c:pt idx="208">
                  <c:v>5.9737659805723972E-2</c:v>
                </c:pt>
                <c:pt idx="209">
                  <c:v>5.9737659805723972E-2</c:v>
                </c:pt>
                <c:pt idx="210">
                  <c:v>5.9737659805723972E-2</c:v>
                </c:pt>
                <c:pt idx="211">
                  <c:v>5.9737659805723972E-2</c:v>
                </c:pt>
                <c:pt idx="212">
                  <c:v>5.9737659805723972E-2</c:v>
                </c:pt>
                <c:pt idx="213">
                  <c:v>5.9737659805723972E-2</c:v>
                </c:pt>
                <c:pt idx="214">
                  <c:v>5.3531492924801492E-2</c:v>
                </c:pt>
                <c:pt idx="215">
                  <c:v>4.8082875844836039E-2</c:v>
                </c:pt>
                <c:pt idx="216">
                  <c:v>4.3091741307269046E-2</c:v>
                </c:pt>
                <c:pt idx="217">
                  <c:v>0.11619654690500357</c:v>
                </c:pt>
                <c:pt idx="218">
                  <c:v>0.12088014810442677</c:v>
                </c:pt>
                <c:pt idx="219">
                  <c:v>0.11771924441687411</c:v>
                </c:pt>
                <c:pt idx="220">
                  <c:v>0.11982111903399162</c:v>
                </c:pt>
                <c:pt idx="221">
                  <c:v>0.12864875805170717</c:v>
                </c:pt>
                <c:pt idx="222">
                  <c:v>0.12050473753945619</c:v>
                </c:pt>
                <c:pt idx="223">
                  <c:v>0.11157166184640568</c:v>
                </c:pt>
                <c:pt idx="224">
                  <c:v>2.7196863641449482E-2</c:v>
                </c:pt>
                <c:pt idx="225">
                  <c:v>2.7196863641449482E-2</c:v>
                </c:pt>
                <c:pt idx="226">
                  <c:v>2.7196863641449482E-2</c:v>
                </c:pt>
                <c:pt idx="227">
                  <c:v>2.7196863641449482E-2</c:v>
                </c:pt>
                <c:pt idx="228">
                  <c:v>2.7196863641449482E-2</c:v>
                </c:pt>
                <c:pt idx="229">
                  <c:v>2.7196863641449482E-2</c:v>
                </c:pt>
                <c:pt idx="230">
                  <c:v>2.7196863641449482E-2</c:v>
                </c:pt>
                <c:pt idx="231">
                  <c:v>2.7196863641449482E-2</c:v>
                </c:pt>
                <c:pt idx="232">
                  <c:v>2.7196863641449482E-2</c:v>
                </c:pt>
                <c:pt idx="233">
                  <c:v>2.7196863641449482E-2</c:v>
                </c:pt>
                <c:pt idx="234">
                  <c:v>2.7196863641449482E-2</c:v>
                </c:pt>
                <c:pt idx="235">
                  <c:v>2.7196863641449482E-2</c:v>
                </c:pt>
                <c:pt idx="236">
                  <c:v>0.10295712515834116</c:v>
                </c:pt>
                <c:pt idx="237">
                  <c:v>0.10392667722870878</c:v>
                </c:pt>
                <c:pt idx="238">
                  <c:v>0.10255106714733879</c:v>
                </c:pt>
                <c:pt idx="239">
                  <c:v>0.10315672138336468</c:v>
                </c:pt>
                <c:pt idx="240">
                  <c:v>0.1022213485733915</c:v>
                </c:pt>
                <c:pt idx="241">
                  <c:v>0.10211135625017792</c:v>
                </c:pt>
                <c:pt idx="242">
                  <c:v>0.1025007681603074</c:v>
                </c:pt>
                <c:pt idx="243">
                  <c:v>0.10671102528665732</c:v>
                </c:pt>
                <c:pt idx="244">
                  <c:v>0.10735413892172363</c:v>
                </c:pt>
                <c:pt idx="245">
                  <c:v>0.12004799704629088</c:v>
                </c:pt>
                <c:pt idx="246">
                  <c:v>0.120589628214909</c:v>
                </c:pt>
                <c:pt idx="247">
                  <c:v>0.12190685878134022</c:v>
                </c:pt>
                <c:pt idx="248">
                  <c:v>0.12152912505822436</c:v>
                </c:pt>
                <c:pt idx="249">
                  <c:v>0.12299891316577032</c:v>
                </c:pt>
                <c:pt idx="250">
                  <c:v>0.12265852822747385</c:v>
                </c:pt>
                <c:pt idx="251">
                  <c:v>5.0532235647039764E-2</c:v>
                </c:pt>
                <c:pt idx="252">
                  <c:v>5.4614527070210889E-2</c:v>
                </c:pt>
                <c:pt idx="253">
                  <c:v>5.9687391818091351E-2</c:v>
                </c:pt>
                <c:pt idx="254">
                  <c:v>5.9389075527499745E-2</c:v>
                </c:pt>
                <c:pt idx="255">
                  <c:v>5.9389075527499745E-2</c:v>
                </c:pt>
                <c:pt idx="256">
                  <c:v>5.9389075527499745E-2</c:v>
                </c:pt>
                <c:pt idx="257">
                  <c:v>5.9389075527499745E-2</c:v>
                </c:pt>
                <c:pt idx="258">
                  <c:v>5.9389075527499745E-2</c:v>
                </c:pt>
                <c:pt idx="259">
                  <c:v>5.9389075527499745E-2</c:v>
                </c:pt>
                <c:pt idx="260">
                  <c:v>5.9389075527499745E-2</c:v>
                </c:pt>
                <c:pt idx="261">
                  <c:v>5.9389075527499745E-2</c:v>
                </c:pt>
                <c:pt idx="262">
                  <c:v>5.9389075527499745E-2</c:v>
                </c:pt>
                <c:pt idx="263">
                  <c:v>5.9389075527499745E-2</c:v>
                </c:pt>
                <c:pt idx="264">
                  <c:v>5.9389075527499745E-2</c:v>
                </c:pt>
                <c:pt idx="265">
                  <c:v>6.1000617420397141E-2</c:v>
                </c:pt>
                <c:pt idx="266">
                  <c:v>5.9737659805723972E-2</c:v>
                </c:pt>
                <c:pt idx="267">
                  <c:v>4.7817141542029047E-2</c:v>
                </c:pt>
                <c:pt idx="268">
                  <c:v>1.3093695597798981E-2</c:v>
                </c:pt>
                <c:pt idx="269">
                  <c:v>1.0714104860959101E-2</c:v>
                </c:pt>
                <c:pt idx="270">
                  <c:v>7.818837721457781E-3</c:v>
                </c:pt>
                <c:pt idx="271">
                  <c:v>8.4041607473836308E-2</c:v>
                </c:pt>
                <c:pt idx="272">
                  <c:v>8.4041607473836308E-2</c:v>
                </c:pt>
                <c:pt idx="273">
                  <c:v>8.4041607473836308E-2</c:v>
                </c:pt>
                <c:pt idx="274">
                  <c:v>8.4041607473836308E-2</c:v>
                </c:pt>
                <c:pt idx="275">
                  <c:v>8.4041607473836308E-2</c:v>
                </c:pt>
                <c:pt idx="276">
                  <c:v>8.4041607473836308E-2</c:v>
                </c:pt>
                <c:pt idx="277">
                  <c:v>8.4041607473836308E-2</c:v>
                </c:pt>
                <c:pt idx="278">
                  <c:v>8.404160747383628E-2</c:v>
                </c:pt>
                <c:pt idx="279">
                  <c:v>8.404160747383628E-2</c:v>
                </c:pt>
                <c:pt idx="280">
                  <c:v>8.404160747383628E-2</c:v>
                </c:pt>
                <c:pt idx="281">
                  <c:v>8.404160747383628E-2</c:v>
                </c:pt>
                <c:pt idx="282">
                  <c:v>8.404160747383628E-2</c:v>
                </c:pt>
                <c:pt idx="283">
                  <c:v>8.404160747383628E-2</c:v>
                </c:pt>
                <c:pt idx="284">
                  <c:v>8.404160747383628E-2</c:v>
                </c:pt>
                <c:pt idx="285">
                  <c:v>0.21472337371178674</c:v>
                </c:pt>
                <c:pt idx="286">
                  <c:v>5.4980544812169387E-2</c:v>
                </c:pt>
                <c:pt idx="287">
                  <c:v>5.7410860076330984E-2</c:v>
                </c:pt>
                <c:pt idx="288">
                  <c:v>5.95113852066423E-2</c:v>
                </c:pt>
                <c:pt idx="289">
                  <c:v>5.9389075527499745E-2</c:v>
                </c:pt>
                <c:pt idx="290">
                  <c:v>5.9389075527499745E-2</c:v>
                </c:pt>
                <c:pt idx="291">
                  <c:v>5.9389075527499745E-2</c:v>
                </c:pt>
                <c:pt idx="292">
                  <c:v>5.9389075527499745E-2</c:v>
                </c:pt>
                <c:pt idx="293">
                  <c:v>5.9389075527499745E-2</c:v>
                </c:pt>
                <c:pt idx="294">
                  <c:v>5.9389075527499745E-2</c:v>
                </c:pt>
                <c:pt idx="295">
                  <c:v>5.9389075527499745E-2</c:v>
                </c:pt>
                <c:pt idx="296">
                  <c:v>9.6625939561975141E-2</c:v>
                </c:pt>
                <c:pt idx="297">
                  <c:v>0.10298514750701984</c:v>
                </c:pt>
                <c:pt idx="298">
                  <c:v>0.10848038204766046</c:v>
                </c:pt>
                <c:pt idx="299">
                  <c:v>0.11662057789844452</c:v>
                </c:pt>
                <c:pt idx="300">
                  <c:v>0.12455632857794051</c:v>
                </c:pt>
                <c:pt idx="301">
                  <c:v>0.11842267173451758</c:v>
                </c:pt>
                <c:pt idx="302">
                  <c:v>0.11982111903399162</c:v>
                </c:pt>
                <c:pt idx="303">
                  <c:v>0.12621085716667596</c:v>
                </c:pt>
                <c:pt idx="304">
                  <c:v>0.12846591070053393</c:v>
                </c:pt>
                <c:pt idx="305">
                  <c:v>2.6144649760067567E-2</c:v>
                </c:pt>
                <c:pt idx="306">
                  <c:v>2.6144649760067567E-2</c:v>
                </c:pt>
                <c:pt idx="307">
                  <c:v>2.6144649760067567E-2</c:v>
                </c:pt>
                <c:pt idx="308">
                  <c:v>2.6144649760067567E-2</c:v>
                </c:pt>
                <c:pt idx="309">
                  <c:v>2.6144649760067567E-2</c:v>
                </c:pt>
                <c:pt idx="310">
                  <c:v>2.6144649760067567E-2</c:v>
                </c:pt>
                <c:pt idx="311">
                  <c:v>2.6144649760067567E-2</c:v>
                </c:pt>
                <c:pt idx="312">
                  <c:v>2.6144649760067567E-2</c:v>
                </c:pt>
                <c:pt idx="313">
                  <c:v>9.7482851821240252E-2</c:v>
                </c:pt>
                <c:pt idx="314">
                  <c:v>0.11174922446559366</c:v>
                </c:pt>
                <c:pt idx="315">
                  <c:v>0.1096390171485716</c:v>
                </c:pt>
                <c:pt idx="316">
                  <c:v>0.10787555321952036</c:v>
                </c:pt>
                <c:pt idx="317">
                  <c:v>0.10613841185196254</c:v>
                </c:pt>
                <c:pt idx="318">
                  <c:v>0.1073411566166934</c:v>
                </c:pt>
                <c:pt idx="319">
                  <c:v>0.10814420821757097</c:v>
                </c:pt>
                <c:pt idx="320">
                  <c:v>0.10936879665550697</c:v>
                </c:pt>
                <c:pt idx="321">
                  <c:v>0.11133813701754064</c:v>
                </c:pt>
                <c:pt idx="322">
                  <c:v>0.11342118063373331</c:v>
                </c:pt>
                <c:pt idx="323">
                  <c:v>5.9080366472173745E-3</c:v>
                </c:pt>
                <c:pt idx="324">
                  <c:v>9.4602663571913303E-4</c:v>
                </c:pt>
                <c:pt idx="325">
                  <c:v>4.470796392415077E-3</c:v>
                </c:pt>
                <c:pt idx="326">
                  <c:v>1.0342432437185235E-2</c:v>
                </c:pt>
                <c:pt idx="327">
                  <c:v>1.0044116146593634E-2</c:v>
                </c:pt>
                <c:pt idx="328">
                  <c:v>0.14626052926456951</c:v>
                </c:pt>
                <c:pt idx="329">
                  <c:v>0.15306251948035854</c:v>
                </c:pt>
                <c:pt idx="330">
                  <c:v>0.14598329529353682</c:v>
                </c:pt>
                <c:pt idx="331">
                  <c:v>0.15348992430014236</c:v>
                </c:pt>
                <c:pt idx="332">
                  <c:v>0.16073635643044573</c:v>
                </c:pt>
                <c:pt idx="333">
                  <c:v>0.16769464594449945</c:v>
                </c:pt>
                <c:pt idx="334">
                  <c:v>0.16838795962465528</c:v>
                </c:pt>
                <c:pt idx="335">
                  <c:v>0.12232326622487232</c:v>
                </c:pt>
                <c:pt idx="336">
                  <c:v>7.6642861778470781E-2</c:v>
                </c:pt>
                <c:pt idx="337">
                  <c:v>8.0423533982997716E-2</c:v>
                </c:pt>
                <c:pt idx="338">
                  <c:v>8.1827757222783765E-2</c:v>
                </c:pt>
                <c:pt idx="339">
                  <c:v>7.6874272756979098E-2</c:v>
                </c:pt>
                <c:pt idx="340">
                  <c:v>7.6874272756979098E-2</c:v>
                </c:pt>
                <c:pt idx="341">
                  <c:v>7.6874272756979098E-2</c:v>
                </c:pt>
                <c:pt idx="342">
                  <c:v>7.6874272756979098E-2</c:v>
                </c:pt>
                <c:pt idx="343">
                  <c:v>0.14004907085044999</c:v>
                </c:pt>
                <c:pt idx="344">
                  <c:v>0.14878345416547958</c:v>
                </c:pt>
                <c:pt idx="345">
                  <c:v>0.14584654212950734</c:v>
                </c:pt>
                <c:pt idx="346">
                  <c:v>0.1458559686914013</c:v>
                </c:pt>
                <c:pt idx="347">
                  <c:v>0.15289299653711333</c:v>
                </c:pt>
                <c:pt idx="348">
                  <c:v>0.15181132290427557</c:v>
                </c:pt>
                <c:pt idx="349">
                  <c:v>0.15144091865795659</c:v>
                </c:pt>
                <c:pt idx="350">
                  <c:v>9.0740120924749201E-2</c:v>
                </c:pt>
                <c:pt idx="351">
                  <c:v>9.1593263798875724E-2</c:v>
                </c:pt>
                <c:pt idx="352">
                  <c:v>9.1949868323396397E-2</c:v>
                </c:pt>
                <c:pt idx="353">
                  <c:v>9.261766401259601E-2</c:v>
                </c:pt>
                <c:pt idx="354">
                  <c:v>9.3904262086782361E-2</c:v>
                </c:pt>
                <c:pt idx="355">
                  <c:v>9.5062888977292509E-2</c:v>
                </c:pt>
                <c:pt idx="356">
                  <c:v>9.7719923946271936E-2</c:v>
                </c:pt>
                <c:pt idx="357">
                  <c:v>9.9062192043257891E-2</c:v>
                </c:pt>
                <c:pt idx="358">
                  <c:v>0.10574006675713445</c:v>
                </c:pt>
                <c:pt idx="359">
                  <c:v>0.10803544281067312</c:v>
                </c:pt>
                <c:pt idx="360">
                  <c:v>0.11232699356690833</c:v>
                </c:pt>
                <c:pt idx="361">
                  <c:v>0.11202867727631674</c:v>
                </c:pt>
                <c:pt idx="362">
                  <c:v>0.11202867727631674</c:v>
                </c:pt>
                <c:pt idx="363">
                  <c:v>0.11202867727631674</c:v>
                </c:pt>
                <c:pt idx="364">
                  <c:v>0.11202867727631674</c:v>
                </c:pt>
                <c:pt idx="365">
                  <c:v>0.11202867727631674</c:v>
                </c:pt>
                <c:pt idx="366">
                  <c:v>0.11202867727631674</c:v>
                </c:pt>
                <c:pt idx="367">
                  <c:v>4.6293587290014192E-3</c:v>
                </c:pt>
                <c:pt idx="368">
                  <c:v>8.9233887775409595E-3</c:v>
                </c:pt>
                <c:pt idx="369">
                  <c:v>1.2971444745342012E-2</c:v>
                </c:pt>
                <c:pt idx="370">
                  <c:v>1.7245261051227666E-2</c:v>
                </c:pt>
                <c:pt idx="371">
                  <c:v>2.1477189166837843E-2</c:v>
                </c:pt>
                <c:pt idx="372">
                  <c:v>2.5642694790637584E-2</c:v>
                </c:pt>
                <c:pt idx="373">
                  <c:v>2.9116671139915448E-2</c:v>
                </c:pt>
                <c:pt idx="374">
                  <c:v>3.2585641114544386E-2</c:v>
                </c:pt>
                <c:pt idx="375">
                  <c:v>3.5848512146440754E-2</c:v>
                </c:pt>
                <c:pt idx="376">
                  <c:v>3.8892264428660742E-2</c:v>
                </c:pt>
                <c:pt idx="377">
                  <c:v>4.4094971597291477E-2</c:v>
                </c:pt>
                <c:pt idx="378">
                  <c:v>4.3543655760845651E-2</c:v>
                </c:pt>
                <c:pt idx="379">
                  <c:v>4.5161538383945203E-2</c:v>
                </c:pt>
                <c:pt idx="380">
                  <c:v>4.6478699329888719E-2</c:v>
                </c:pt>
                <c:pt idx="381">
                  <c:v>7.364709729355623E-2</c:v>
                </c:pt>
                <c:pt idx="382">
                  <c:v>7.364709729355623E-2</c:v>
                </c:pt>
                <c:pt idx="383">
                  <c:v>7.364709729355623E-2</c:v>
                </c:pt>
                <c:pt idx="384">
                  <c:v>7.364709729355623E-2</c:v>
                </c:pt>
                <c:pt idx="385">
                  <c:v>7.364709729355623E-2</c:v>
                </c:pt>
                <c:pt idx="386">
                  <c:v>7.364709729355623E-2</c:v>
                </c:pt>
                <c:pt idx="387">
                  <c:v>7.364709729355623E-2</c:v>
                </c:pt>
                <c:pt idx="388">
                  <c:v>7.364709729355623E-2</c:v>
                </c:pt>
                <c:pt idx="389">
                  <c:v>7.364709729355623E-2</c:v>
                </c:pt>
                <c:pt idx="390">
                  <c:v>7.364709729355623E-2</c:v>
                </c:pt>
                <c:pt idx="391">
                  <c:v>0.15228914883543851</c:v>
                </c:pt>
                <c:pt idx="392">
                  <c:v>0.17201231800773609</c:v>
                </c:pt>
                <c:pt idx="393">
                  <c:v>0.18527509967608663</c:v>
                </c:pt>
                <c:pt idx="394">
                  <c:v>0.18242646595208734</c:v>
                </c:pt>
                <c:pt idx="395">
                  <c:v>0.17232047397092654</c:v>
                </c:pt>
                <c:pt idx="396">
                  <c:v>0.20643426778062157</c:v>
                </c:pt>
                <c:pt idx="397">
                  <c:v>0.22767723807571491</c:v>
                </c:pt>
                <c:pt idx="398">
                  <c:v>0.2317900190890648</c:v>
                </c:pt>
                <c:pt idx="399">
                  <c:v>0.24427284510413272</c:v>
                </c:pt>
                <c:pt idx="400">
                  <c:v>0.24930156417681051</c:v>
                </c:pt>
                <c:pt idx="401">
                  <c:v>0.25478088531693255</c:v>
                </c:pt>
                <c:pt idx="402">
                  <c:v>0.22272073691107322</c:v>
                </c:pt>
                <c:pt idx="403">
                  <c:v>4.6293587290014192E-3</c:v>
                </c:pt>
                <c:pt idx="404">
                  <c:v>9.2123833566214522E-3</c:v>
                </c:pt>
                <c:pt idx="405">
                  <c:v>1.2916491488944257E-2</c:v>
                </c:pt>
                <c:pt idx="406">
                  <c:v>1.7182557493180914E-2</c:v>
                </c:pt>
                <c:pt idx="407">
                  <c:v>2.0209425026026892E-2</c:v>
                </c:pt>
                <c:pt idx="408">
                  <c:v>2.3985471814070999E-2</c:v>
                </c:pt>
                <c:pt idx="409">
                  <c:v>2.7232662405405703E-2</c:v>
                </c:pt>
                <c:pt idx="410">
                  <c:v>3.0700604556800626E-2</c:v>
                </c:pt>
                <c:pt idx="411">
                  <c:v>9.0569434293743603E-2</c:v>
                </c:pt>
                <c:pt idx="412">
                  <c:v>9.0569434293743603E-2</c:v>
                </c:pt>
                <c:pt idx="413">
                  <c:v>9.0569434293743603E-2</c:v>
                </c:pt>
                <c:pt idx="414">
                  <c:v>9.0569434293743603E-2</c:v>
                </c:pt>
                <c:pt idx="415">
                  <c:v>9.0569434293743603E-2</c:v>
                </c:pt>
                <c:pt idx="416">
                  <c:v>9.0569434293743603E-2</c:v>
                </c:pt>
                <c:pt idx="417">
                  <c:v>0.19410293089297737</c:v>
                </c:pt>
                <c:pt idx="418">
                  <c:v>0.1928259566572289</c:v>
                </c:pt>
                <c:pt idx="419">
                  <c:v>0.19166945842277414</c:v>
                </c:pt>
                <c:pt idx="420">
                  <c:v>9.7426873803727596E-2</c:v>
                </c:pt>
                <c:pt idx="421">
                  <c:v>0.1002658909039708</c:v>
                </c:pt>
                <c:pt idx="422">
                  <c:v>0.10361551530834369</c:v>
                </c:pt>
                <c:pt idx="423">
                  <c:v>0.10780604874037319</c:v>
                </c:pt>
                <c:pt idx="424">
                  <c:v>0.11225241449426043</c:v>
                </c:pt>
                <c:pt idx="425">
                  <c:v>0.11202867727631674</c:v>
                </c:pt>
                <c:pt idx="426">
                  <c:v>0.11202867727631674</c:v>
                </c:pt>
                <c:pt idx="427">
                  <c:v>0.11202867727631674</c:v>
                </c:pt>
                <c:pt idx="428">
                  <c:v>0.11202867727631674</c:v>
                </c:pt>
                <c:pt idx="429">
                  <c:v>0.11202867727631674</c:v>
                </c:pt>
                <c:pt idx="430">
                  <c:v>0.11202867727631674</c:v>
                </c:pt>
                <c:pt idx="431">
                  <c:v>0.11202867727631674</c:v>
                </c:pt>
                <c:pt idx="432">
                  <c:v>0.11202867727631674</c:v>
                </c:pt>
                <c:pt idx="433">
                  <c:v>0.11202867727631674</c:v>
                </c:pt>
                <c:pt idx="434">
                  <c:v>0.11202867727631674</c:v>
                </c:pt>
                <c:pt idx="435">
                  <c:v>0.11202867727631674</c:v>
                </c:pt>
                <c:pt idx="436">
                  <c:v>0.11202867727631674</c:v>
                </c:pt>
                <c:pt idx="437">
                  <c:v>0.11202867727631674</c:v>
                </c:pt>
                <c:pt idx="438">
                  <c:v>0.11202867727631674</c:v>
                </c:pt>
                <c:pt idx="439">
                  <c:v>0.11202867727631674</c:v>
                </c:pt>
                <c:pt idx="440">
                  <c:v>0.11202867727631674</c:v>
                </c:pt>
                <c:pt idx="441">
                  <c:v>0.11202867727631674</c:v>
                </c:pt>
                <c:pt idx="442">
                  <c:v>0.11202867727631674</c:v>
                </c:pt>
                <c:pt idx="443">
                  <c:v>0.11202867727631674</c:v>
                </c:pt>
                <c:pt idx="444">
                  <c:v>0.11202867727631674</c:v>
                </c:pt>
                <c:pt idx="445">
                  <c:v>0.11202867727631674</c:v>
                </c:pt>
                <c:pt idx="446">
                  <c:v>0.11202867727631674</c:v>
                </c:pt>
                <c:pt idx="447">
                  <c:v>0.11202867727631674</c:v>
                </c:pt>
                <c:pt idx="448">
                  <c:v>0.11202867727631674</c:v>
                </c:pt>
                <c:pt idx="449">
                  <c:v>0.11202867727631674</c:v>
                </c:pt>
                <c:pt idx="450">
                  <c:v>0.11202867727631674</c:v>
                </c:pt>
                <c:pt idx="451">
                  <c:v>0.11202867727631674</c:v>
                </c:pt>
                <c:pt idx="452">
                  <c:v>0.11202867727631674</c:v>
                </c:pt>
                <c:pt idx="453">
                  <c:v>0.11202867727631674</c:v>
                </c:pt>
                <c:pt idx="454">
                  <c:v>0.11202867727631674</c:v>
                </c:pt>
                <c:pt idx="455">
                  <c:v>0.11202867727631674</c:v>
                </c:pt>
                <c:pt idx="456">
                  <c:v>0.11202867727631674</c:v>
                </c:pt>
                <c:pt idx="457">
                  <c:v>0.11202867727631674</c:v>
                </c:pt>
                <c:pt idx="458">
                  <c:v>0.11202867727631674</c:v>
                </c:pt>
                <c:pt idx="459">
                  <c:v>0.11202867727631674</c:v>
                </c:pt>
                <c:pt idx="460">
                  <c:v>0.11202867727631674</c:v>
                </c:pt>
                <c:pt idx="461">
                  <c:v>0.11202867727631674</c:v>
                </c:pt>
                <c:pt idx="462">
                  <c:v>0.11202867727631674</c:v>
                </c:pt>
                <c:pt idx="463">
                  <c:v>0.11202867727631674</c:v>
                </c:pt>
                <c:pt idx="464">
                  <c:v>0.11202867727631674</c:v>
                </c:pt>
                <c:pt idx="465">
                  <c:v>0.11202867727631674</c:v>
                </c:pt>
                <c:pt idx="466">
                  <c:v>0.11202867727631674</c:v>
                </c:pt>
                <c:pt idx="467">
                  <c:v>0.11202867727631674</c:v>
                </c:pt>
                <c:pt idx="468">
                  <c:v>0.11202867727631674</c:v>
                </c:pt>
                <c:pt idx="469">
                  <c:v>0.11202867727631674</c:v>
                </c:pt>
                <c:pt idx="470">
                  <c:v>0.11202867727631674</c:v>
                </c:pt>
                <c:pt idx="471">
                  <c:v>0.11202867727631674</c:v>
                </c:pt>
                <c:pt idx="472">
                  <c:v>0.11202867727631674</c:v>
                </c:pt>
                <c:pt idx="473">
                  <c:v>4.6293587290014192E-3</c:v>
                </c:pt>
                <c:pt idx="474">
                  <c:v>8.9233887775409595E-3</c:v>
                </c:pt>
                <c:pt idx="475">
                  <c:v>1.2971444745342012E-2</c:v>
                </c:pt>
                <c:pt idx="476">
                  <c:v>1.7245261051227666E-2</c:v>
                </c:pt>
                <c:pt idx="477">
                  <c:v>2.1477189166837843E-2</c:v>
                </c:pt>
                <c:pt idx="478">
                  <c:v>2.5642694790637584E-2</c:v>
                </c:pt>
                <c:pt idx="479">
                  <c:v>2.9116671139915448E-2</c:v>
                </c:pt>
                <c:pt idx="480">
                  <c:v>3.2585641114544386E-2</c:v>
                </c:pt>
                <c:pt idx="481">
                  <c:v>3.6330571788737477E-2</c:v>
                </c:pt>
                <c:pt idx="482">
                  <c:v>3.9381387325620333E-2</c:v>
                </c:pt>
                <c:pt idx="483">
                  <c:v>4.4619606600823543E-2</c:v>
                </c:pt>
                <c:pt idx="484">
                  <c:v>4.3543655760845651E-2</c:v>
                </c:pt>
                <c:pt idx="485">
                  <c:v>4.5161538383945203E-2</c:v>
                </c:pt>
                <c:pt idx="486">
                  <c:v>7.4776642762750783E-2</c:v>
                </c:pt>
                <c:pt idx="487">
                  <c:v>7.4776642762750783E-2</c:v>
                </c:pt>
                <c:pt idx="488">
                  <c:v>7.4776642762750783E-2</c:v>
                </c:pt>
                <c:pt idx="489">
                  <c:v>7.4776642762750783E-2</c:v>
                </c:pt>
                <c:pt idx="490">
                  <c:v>7.4776642762750783E-2</c:v>
                </c:pt>
                <c:pt idx="491">
                  <c:v>7.4776642762750783E-2</c:v>
                </c:pt>
                <c:pt idx="492">
                  <c:v>7.4776642762750783E-2</c:v>
                </c:pt>
                <c:pt idx="493">
                  <c:v>0.15341135314687732</c:v>
                </c:pt>
                <c:pt idx="494">
                  <c:v>0.17312382866908954</c:v>
                </c:pt>
                <c:pt idx="495">
                  <c:v>0.18671176153576632</c:v>
                </c:pt>
                <c:pt idx="496">
                  <c:v>0.18407058897848302</c:v>
                </c:pt>
                <c:pt idx="497">
                  <c:v>0.17445855999700377</c:v>
                </c:pt>
                <c:pt idx="498">
                  <c:v>0.19816771235272956</c:v>
                </c:pt>
                <c:pt idx="499">
                  <c:v>0.19695036733959398</c:v>
                </c:pt>
                <c:pt idx="500">
                  <c:v>0.19585873815399221</c:v>
                </c:pt>
                <c:pt idx="501">
                  <c:v>9.7841376765367832E-2</c:v>
                </c:pt>
                <c:pt idx="502">
                  <c:v>0.1025382194853949</c:v>
                </c:pt>
                <c:pt idx="503">
                  <c:v>0.1070801974213175</c:v>
                </c:pt>
                <c:pt idx="504">
                  <c:v>0.11232699356690833</c:v>
                </c:pt>
                <c:pt idx="505">
                  <c:v>0.11202867727631674</c:v>
                </c:pt>
                <c:pt idx="506">
                  <c:v>0.11202867727631674</c:v>
                </c:pt>
                <c:pt idx="507">
                  <c:v>0.11202867727631674</c:v>
                </c:pt>
                <c:pt idx="508">
                  <c:v>0.11202867727631674</c:v>
                </c:pt>
                <c:pt idx="509">
                  <c:v>0.11202867727631674</c:v>
                </c:pt>
                <c:pt idx="510">
                  <c:v>0.11202867727631674</c:v>
                </c:pt>
                <c:pt idx="511">
                  <c:v>0.11202867727631674</c:v>
                </c:pt>
                <c:pt idx="512">
                  <c:v>0.11202867727631674</c:v>
                </c:pt>
                <c:pt idx="513">
                  <c:v>0.11202867727631674</c:v>
                </c:pt>
                <c:pt idx="514">
                  <c:v>0.11202867727631674</c:v>
                </c:pt>
                <c:pt idx="515">
                  <c:v>0.11202867727631674</c:v>
                </c:pt>
                <c:pt idx="516">
                  <c:v>0.11202867727631674</c:v>
                </c:pt>
                <c:pt idx="517">
                  <c:v>0.11202867727631674</c:v>
                </c:pt>
                <c:pt idx="518">
                  <c:v>0.11202867727631674</c:v>
                </c:pt>
                <c:pt idx="519">
                  <c:v>0.11202867727631674</c:v>
                </c:pt>
                <c:pt idx="520">
                  <c:v>0.11202867727631674</c:v>
                </c:pt>
                <c:pt idx="521">
                  <c:v>0.11202867727631674</c:v>
                </c:pt>
                <c:pt idx="522">
                  <c:v>0.11202867727631674</c:v>
                </c:pt>
                <c:pt idx="523">
                  <c:v>0.11202867727631674</c:v>
                </c:pt>
                <c:pt idx="524">
                  <c:v>0.11202867727631674</c:v>
                </c:pt>
                <c:pt idx="525">
                  <c:v>0.11202867727631674</c:v>
                </c:pt>
                <c:pt idx="526">
                  <c:v>0.11202867727631674</c:v>
                </c:pt>
                <c:pt idx="527">
                  <c:v>0.10798871563608106</c:v>
                </c:pt>
                <c:pt idx="528">
                  <c:v>0.10469933349524084</c:v>
                </c:pt>
                <c:pt idx="529">
                  <c:v>0.10113468578075777</c:v>
                </c:pt>
                <c:pt idx="530">
                  <c:v>1.7245261051227666E-2</c:v>
                </c:pt>
                <c:pt idx="531">
                  <c:v>2.1477189166837843E-2</c:v>
                </c:pt>
                <c:pt idx="532">
                  <c:v>2.5642694790637584E-2</c:v>
                </c:pt>
                <c:pt idx="533">
                  <c:v>2.9116671139915448E-2</c:v>
                </c:pt>
                <c:pt idx="534">
                  <c:v>3.2585641114544386E-2</c:v>
                </c:pt>
                <c:pt idx="535">
                  <c:v>3.5848512146440754E-2</c:v>
                </c:pt>
                <c:pt idx="536">
                  <c:v>3.8330634683288838E-2</c:v>
                </c:pt>
                <c:pt idx="537">
                  <c:v>8.1876977821414509E-2</c:v>
                </c:pt>
                <c:pt idx="538">
                  <c:v>8.1876977821414509E-2</c:v>
                </c:pt>
                <c:pt idx="539">
                  <c:v>8.1876977821414509E-2</c:v>
                </c:pt>
                <c:pt idx="540">
                  <c:v>8.1876977821414509E-2</c:v>
                </c:pt>
                <c:pt idx="541">
                  <c:v>8.1876977821414509E-2</c:v>
                </c:pt>
                <c:pt idx="542">
                  <c:v>8.1876977821414509E-2</c:v>
                </c:pt>
                <c:pt idx="543">
                  <c:v>8.1876977821414509E-2</c:v>
                </c:pt>
                <c:pt idx="544">
                  <c:v>0.18407058897848302</c:v>
                </c:pt>
                <c:pt idx="545">
                  <c:v>0.17445855999700377</c:v>
                </c:pt>
                <c:pt idx="546">
                  <c:v>0.19816771235272956</c:v>
                </c:pt>
                <c:pt idx="547">
                  <c:v>0.19695036733959398</c:v>
                </c:pt>
                <c:pt idx="548">
                  <c:v>9.7312190640496371E-2</c:v>
                </c:pt>
                <c:pt idx="549">
                  <c:v>9.7841376765367832E-2</c:v>
                </c:pt>
                <c:pt idx="550">
                  <c:v>0.1025382194853949</c:v>
                </c:pt>
                <c:pt idx="551">
                  <c:v>0.1070801974213175</c:v>
                </c:pt>
                <c:pt idx="552">
                  <c:v>0.11232699356690833</c:v>
                </c:pt>
                <c:pt idx="553">
                  <c:v>0.11202867727631674</c:v>
                </c:pt>
                <c:pt idx="554">
                  <c:v>0.11202867727631674</c:v>
                </c:pt>
                <c:pt idx="555">
                  <c:v>0.11202867727631674</c:v>
                </c:pt>
                <c:pt idx="556">
                  <c:v>0.11202867727631674</c:v>
                </c:pt>
                <c:pt idx="557">
                  <c:v>0.11202867727631674</c:v>
                </c:pt>
                <c:pt idx="558">
                  <c:v>0.11202867727631674</c:v>
                </c:pt>
                <c:pt idx="559">
                  <c:v>0.10735857430448581</c:v>
                </c:pt>
                <c:pt idx="560">
                  <c:v>8.8444885040250571E-3</c:v>
                </c:pt>
                <c:pt idx="561">
                  <c:v>1.2916491488944257E-2</c:v>
                </c:pt>
                <c:pt idx="562">
                  <c:v>1.6720801965667956E-2</c:v>
                </c:pt>
                <c:pt idx="563">
                  <c:v>2.0843307096432361E-2</c:v>
                </c:pt>
                <c:pt idx="564">
                  <c:v>2.4907567835897971E-2</c:v>
                </c:pt>
                <c:pt idx="565">
                  <c:v>2.8889049882529893E-2</c:v>
                </c:pt>
                <c:pt idx="566">
                  <c:v>3.2101088626279875E-2</c:v>
                </c:pt>
                <c:pt idx="567">
                  <c:v>3.5323251061798566E-2</c:v>
                </c:pt>
                <c:pt idx="568">
                  <c:v>3.8330634683288838E-2</c:v>
                </c:pt>
                <c:pt idx="569">
                  <c:v>4.1110219683806834E-2</c:v>
                </c:pt>
                <c:pt idx="570">
                  <c:v>4.6151602546591459E-2</c:v>
                </c:pt>
                <c:pt idx="571">
                  <c:v>4.4672113203319652E-2</c:v>
                </c:pt>
                <c:pt idx="572">
                  <c:v>4.5989274149263161E-2</c:v>
                </c:pt>
                <c:pt idx="573">
                  <c:v>7.364709729355623E-2</c:v>
                </c:pt>
                <c:pt idx="574">
                  <c:v>7.364709729355623E-2</c:v>
                </c:pt>
                <c:pt idx="575">
                  <c:v>7.364709729355623E-2</c:v>
                </c:pt>
                <c:pt idx="576">
                  <c:v>7.364709729355623E-2</c:v>
                </c:pt>
                <c:pt idx="577">
                  <c:v>7.364709729355623E-2</c:v>
                </c:pt>
                <c:pt idx="578">
                  <c:v>7.364709729355623E-2</c:v>
                </c:pt>
                <c:pt idx="579">
                  <c:v>7.364709729355623E-2</c:v>
                </c:pt>
                <c:pt idx="580">
                  <c:v>7.364709729355623E-2</c:v>
                </c:pt>
                <c:pt idx="581">
                  <c:v>7.364709729355623E-2</c:v>
                </c:pt>
                <c:pt idx="582">
                  <c:v>7.364709729355623E-2</c:v>
                </c:pt>
                <c:pt idx="583">
                  <c:v>7.364709729355623E-2</c:v>
                </c:pt>
                <c:pt idx="584">
                  <c:v>0.10236561674377671</c:v>
                </c:pt>
                <c:pt idx="585">
                  <c:v>0.11776057758529132</c:v>
                </c:pt>
                <c:pt idx="586">
                  <c:v>0.11097127345128036</c:v>
                </c:pt>
                <c:pt idx="587">
                  <c:v>0.11352620844364664</c:v>
                </c:pt>
                <c:pt idx="588">
                  <c:v>0.12773390140963864</c:v>
                </c:pt>
                <c:pt idx="589">
                  <c:v>0.1876154714865845</c:v>
                </c:pt>
                <c:pt idx="590">
                  <c:v>0.1870903195428848</c:v>
                </c:pt>
                <c:pt idx="591">
                  <c:v>0.18421242306892632</c:v>
                </c:pt>
                <c:pt idx="592">
                  <c:v>0.22540821966083294</c:v>
                </c:pt>
                <c:pt idx="593">
                  <c:v>0.23610920862172771</c:v>
                </c:pt>
                <c:pt idx="594">
                  <c:v>0.23865874532018977</c:v>
                </c:pt>
                <c:pt idx="595">
                  <c:v>0.23827407057910946</c:v>
                </c:pt>
                <c:pt idx="596">
                  <c:v>0.15996504280451479</c:v>
                </c:pt>
                <c:pt idx="597">
                  <c:v>0.16076782027873499</c:v>
                </c:pt>
                <c:pt idx="598">
                  <c:v>0.16277624984393116</c:v>
                </c:pt>
                <c:pt idx="599">
                  <c:v>0.16429959725373661</c:v>
                </c:pt>
                <c:pt idx="600">
                  <c:v>0.16668888491252978</c:v>
                </c:pt>
                <c:pt idx="601">
                  <c:v>0.1684952050009707</c:v>
                </c:pt>
                <c:pt idx="602">
                  <c:v>0.18334226400853251</c:v>
                </c:pt>
                <c:pt idx="603">
                  <c:v>0.18316327423417753</c:v>
                </c:pt>
                <c:pt idx="604">
                  <c:v>0.18316327423417753</c:v>
                </c:pt>
                <c:pt idx="605">
                  <c:v>0.18316327423417753</c:v>
                </c:pt>
                <c:pt idx="606">
                  <c:v>0.18316327423417753</c:v>
                </c:pt>
                <c:pt idx="607">
                  <c:v>0.18316327423417753</c:v>
                </c:pt>
                <c:pt idx="608">
                  <c:v>0.22053995399553974</c:v>
                </c:pt>
                <c:pt idx="609">
                  <c:v>0.21480999763627015</c:v>
                </c:pt>
                <c:pt idx="610">
                  <c:v>0.2149529013509128</c:v>
                </c:pt>
                <c:pt idx="611">
                  <c:v>0.22094883488359929</c:v>
                </c:pt>
                <c:pt idx="612">
                  <c:v>0.2280637190110012</c:v>
                </c:pt>
                <c:pt idx="613">
                  <c:v>0.23047670124833014</c:v>
                </c:pt>
                <c:pt idx="614">
                  <c:v>0.23035552399026102</c:v>
                </c:pt>
                <c:pt idx="615">
                  <c:v>0.18316327423417753</c:v>
                </c:pt>
                <c:pt idx="616">
                  <c:v>0.18316327423417753</c:v>
                </c:pt>
                <c:pt idx="617">
                  <c:v>0.18316327423417753</c:v>
                </c:pt>
                <c:pt idx="618">
                  <c:v>0.18316327423417753</c:v>
                </c:pt>
                <c:pt idx="619">
                  <c:v>0.18316327423417753</c:v>
                </c:pt>
                <c:pt idx="620">
                  <c:v>0.18316327423417753</c:v>
                </c:pt>
                <c:pt idx="621">
                  <c:v>0.18316327423417753</c:v>
                </c:pt>
                <c:pt idx="622">
                  <c:v>0.18316327423417753</c:v>
                </c:pt>
                <c:pt idx="623">
                  <c:v>0.18316327423417753</c:v>
                </c:pt>
                <c:pt idx="624">
                  <c:v>0.18316327423417753</c:v>
                </c:pt>
                <c:pt idx="625">
                  <c:v>0.18316327423417753</c:v>
                </c:pt>
                <c:pt idx="626">
                  <c:v>0.18316327423417753</c:v>
                </c:pt>
                <c:pt idx="627">
                  <c:v>0.14671284326852277</c:v>
                </c:pt>
                <c:pt idx="628">
                  <c:v>0.14671284326852277</c:v>
                </c:pt>
                <c:pt idx="629">
                  <c:v>0.14671284326852277</c:v>
                </c:pt>
                <c:pt idx="630">
                  <c:v>0.14671284326852277</c:v>
                </c:pt>
                <c:pt idx="631">
                  <c:v>0.14671284326852277</c:v>
                </c:pt>
                <c:pt idx="632">
                  <c:v>0.14671284326852277</c:v>
                </c:pt>
                <c:pt idx="633">
                  <c:v>0.14671284326852277</c:v>
                </c:pt>
                <c:pt idx="634">
                  <c:v>0.14671284326852277</c:v>
                </c:pt>
                <c:pt idx="635">
                  <c:v>0.14671284326852277</c:v>
                </c:pt>
                <c:pt idx="636">
                  <c:v>0.14671284326852282</c:v>
                </c:pt>
                <c:pt idx="637">
                  <c:v>0.18316327423417753</c:v>
                </c:pt>
                <c:pt idx="638">
                  <c:v>0.18316327423417753</c:v>
                </c:pt>
                <c:pt idx="639">
                  <c:v>0.18316327423417753</c:v>
                </c:pt>
                <c:pt idx="640">
                  <c:v>0.18316327423417753</c:v>
                </c:pt>
                <c:pt idx="641">
                  <c:v>0.18316327423417753</c:v>
                </c:pt>
                <c:pt idx="642">
                  <c:v>0.18316327423417753</c:v>
                </c:pt>
                <c:pt idx="643">
                  <c:v>0.18316327423417753</c:v>
                </c:pt>
                <c:pt idx="644">
                  <c:v>0.18316327423417753</c:v>
                </c:pt>
                <c:pt idx="645">
                  <c:v>0.18316327423417753</c:v>
                </c:pt>
                <c:pt idx="646">
                  <c:v>0.18316327423417753</c:v>
                </c:pt>
                <c:pt idx="647">
                  <c:v>0.18316327423417753</c:v>
                </c:pt>
                <c:pt idx="648">
                  <c:v>0.18316327423417753</c:v>
                </c:pt>
                <c:pt idx="649">
                  <c:v>0.18316327423417753</c:v>
                </c:pt>
                <c:pt idx="650">
                  <c:v>0.18316327423417753</c:v>
                </c:pt>
                <c:pt idx="651">
                  <c:v>0.18316327423417753</c:v>
                </c:pt>
                <c:pt idx="652">
                  <c:v>0.18316327423417753</c:v>
                </c:pt>
                <c:pt idx="653">
                  <c:v>0.18316327423417753</c:v>
                </c:pt>
                <c:pt idx="654">
                  <c:v>0.18316327423417753</c:v>
                </c:pt>
                <c:pt idx="655">
                  <c:v>0.18316327423417753</c:v>
                </c:pt>
                <c:pt idx="656">
                  <c:v>0.18316327423417753</c:v>
                </c:pt>
                <c:pt idx="657">
                  <c:v>0.18316327423417753</c:v>
                </c:pt>
                <c:pt idx="658">
                  <c:v>0.18316327423417753</c:v>
                </c:pt>
                <c:pt idx="659">
                  <c:v>0.18316327423417753</c:v>
                </c:pt>
                <c:pt idx="660">
                  <c:v>0.18316327423417753</c:v>
                </c:pt>
                <c:pt idx="661">
                  <c:v>0.18316327423417753</c:v>
                </c:pt>
                <c:pt idx="662">
                  <c:v>0.18316327423417753</c:v>
                </c:pt>
                <c:pt idx="663">
                  <c:v>0.18316327423417753</c:v>
                </c:pt>
                <c:pt idx="664">
                  <c:v>0.18316327423417753</c:v>
                </c:pt>
                <c:pt idx="665">
                  <c:v>0.18316327423417753</c:v>
                </c:pt>
                <c:pt idx="666">
                  <c:v>0.18316327423417753</c:v>
                </c:pt>
                <c:pt idx="667">
                  <c:v>0.18316327423417753</c:v>
                </c:pt>
                <c:pt idx="668">
                  <c:v>0.18316327423417753</c:v>
                </c:pt>
                <c:pt idx="669">
                  <c:v>0.18316327423417753</c:v>
                </c:pt>
                <c:pt idx="670">
                  <c:v>0.18316327423417753</c:v>
                </c:pt>
                <c:pt idx="671">
                  <c:v>0.18316327423417753</c:v>
                </c:pt>
                <c:pt idx="672">
                  <c:v>0.18316327423417753</c:v>
                </c:pt>
                <c:pt idx="673">
                  <c:v>0.18316327423417753</c:v>
                </c:pt>
                <c:pt idx="674">
                  <c:v>0.18316327423417753</c:v>
                </c:pt>
                <c:pt idx="675">
                  <c:v>0.18316327423417753</c:v>
                </c:pt>
                <c:pt idx="676">
                  <c:v>0.18316327423417753</c:v>
                </c:pt>
                <c:pt idx="677">
                  <c:v>0.18316327423417753</c:v>
                </c:pt>
                <c:pt idx="678">
                  <c:v>0.18316327423417753</c:v>
                </c:pt>
                <c:pt idx="679">
                  <c:v>0.18316327423417753</c:v>
                </c:pt>
                <c:pt idx="680">
                  <c:v>0.18316327423417753</c:v>
                </c:pt>
                <c:pt idx="681">
                  <c:v>0.18316327423417753</c:v>
                </c:pt>
                <c:pt idx="682">
                  <c:v>0.18316327423417753</c:v>
                </c:pt>
                <c:pt idx="683">
                  <c:v>0.18316327423417753</c:v>
                </c:pt>
                <c:pt idx="684">
                  <c:v>0.18316327423417753</c:v>
                </c:pt>
                <c:pt idx="685">
                  <c:v>0.18316327423417753</c:v>
                </c:pt>
                <c:pt idx="686">
                  <c:v>0.18316327423417753</c:v>
                </c:pt>
                <c:pt idx="687">
                  <c:v>0.18316327423417753</c:v>
                </c:pt>
                <c:pt idx="688">
                  <c:v>0.18316327423417753</c:v>
                </c:pt>
                <c:pt idx="689">
                  <c:v>0.18316327423417753</c:v>
                </c:pt>
                <c:pt idx="690">
                  <c:v>0.18490638697739159</c:v>
                </c:pt>
                <c:pt idx="691">
                  <c:v>0.17219615469602018</c:v>
                </c:pt>
                <c:pt idx="692">
                  <c:v>0.1727965486093026</c:v>
                </c:pt>
                <c:pt idx="693">
                  <c:v>9.8526048480324785E-2</c:v>
                </c:pt>
                <c:pt idx="694">
                  <c:v>9.9019752738686226E-2</c:v>
                </c:pt>
                <c:pt idx="695">
                  <c:v>9.3888143999444576E-2</c:v>
                </c:pt>
                <c:pt idx="696">
                  <c:v>9.3674231962147789E-2</c:v>
                </c:pt>
                <c:pt idx="697">
                  <c:v>9.2095371695368994E-2</c:v>
                </c:pt>
                <c:pt idx="698">
                  <c:v>9.1931983975341913E-2</c:v>
                </c:pt>
                <c:pt idx="699">
                  <c:v>9.0507044562581587E-2</c:v>
                </c:pt>
                <c:pt idx="700">
                  <c:v>8.9686089083663309E-2</c:v>
                </c:pt>
                <c:pt idx="701">
                  <c:v>8.9166779137144422E-2</c:v>
                </c:pt>
                <c:pt idx="702">
                  <c:v>8.816311807458467E-2</c:v>
                </c:pt>
                <c:pt idx="703">
                  <c:v>8.6337361880364061E-2</c:v>
                </c:pt>
                <c:pt idx="704">
                  <c:v>8.5572354230869924E-2</c:v>
                </c:pt>
                <c:pt idx="705">
                  <c:v>8.4574153744144356E-2</c:v>
                </c:pt>
                <c:pt idx="706">
                  <c:v>8.3709952000276033E-2</c:v>
                </c:pt>
                <c:pt idx="707">
                  <c:v>7.4160120839490626E-2</c:v>
                </c:pt>
                <c:pt idx="708">
                  <c:v>7.4964326800452244E-2</c:v>
                </c:pt>
                <c:pt idx="709">
                  <c:v>7.4105894438924069E-2</c:v>
                </c:pt>
                <c:pt idx="710">
                  <c:v>7.2159683465823368E-2</c:v>
                </c:pt>
                <c:pt idx="711">
                  <c:v>7.1528249397199761E-2</c:v>
                </c:pt>
                <c:pt idx="712">
                  <c:v>0.12880956481556216</c:v>
                </c:pt>
                <c:pt idx="713">
                  <c:v>0.12880956481556216</c:v>
                </c:pt>
                <c:pt idx="714">
                  <c:v>0.12880956481556216</c:v>
                </c:pt>
                <c:pt idx="715">
                  <c:v>0.12880956481556216</c:v>
                </c:pt>
                <c:pt idx="716">
                  <c:v>0.12880956481556216</c:v>
                </c:pt>
                <c:pt idx="717">
                  <c:v>0.12880956481556216</c:v>
                </c:pt>
                <c:pt idx="718">
                  <c:v>0.12880956481556216</c:v>
                </c:pt>
                <c:pt idx="719">
                  <c:v>0.12880956481556216</c:v>
                </c:pt>
                <c:pt idx="720">
                  <c:v>0.12880956481556216</c:v>
                </c:pt>
                <c:pt idx="721">
                  <c:v>0.12880956481556216</c:v>
                </c:pt>
                <c:pt idx="722">
                  <c:v>0.12880956481556216</c:v>
                </c:pt>
                <c:pt idx="723">
                  <c:v>0.16308158091580044</c:v>
                </c:pt>
                <c:pt idx="724">
                  <c:v>0.17312002649235472</c:v>
                </c:pt>
                <c:pt idx="725">
                  <c:v>0.17884052615349436</c:v>
                </c:pt>
                <c:pt idx="726">
                  <c:v>0.18574634679481425</c:v>
                </c:pt>
                <c:pt idx="727">
                  <c:v>0.18508723068237581</c:v>
                </c:pt>
                <c:pt idx="728">
                  <c:v>0.18194596875454694</c:v>
                </c:pt>
                <c:pt idx="729">
                  <c:v>0.17291924852484328</c:v>
                </c:pt>
                <c:pt idx="730">
                  <c:v>0.17142802640728949</c:v>
                </c:pt>
                <c:pt idx="731">
                  <c:v>0.19479668446825632</c:v>
                </c:pt>
                <c:pt idx="732">
                  <c:v>0.19351216899316018</c:v>
                </c:pt>
                <c:pt idx="733">
                  <c:v>0.19311571866274282</c:v>
                </c:pt>
                <c:pt idx="734">
                  <c:v>0.19106685189693484</c:v>
                </c:pt>
                <c:pt idx="735">
                  <c:v>0.22901406100002117</c:v>
                </c:pt>
                <c:pt idx="736">
                  <c:v>0.25593570539255656</c:v>
                </c:pt>
                <c:pt idx="737">
                  <c:v>0.27328782411673841</c:v>
                </c:pt>
                <c:pt idx="738">
                  <c:v>0.19706603030737616</c:v>
                </c:pt>
                <c:pt idx="739">
                  <c:v>0.20607481570957265</c:v>
                </c:pt>
                <c:pt idx="740">
                  <c:v>0.20785988525781074</c:v>
                </c:pt>
                <c:pt idx="741">
                  <c:v>0.2186699178399443</c:v>
                </c:pt>
                <c:pt idx="742">
                  <c:v>0.17181311416662867</c:v>
                </c:pt>
                <c:pt idx="743">
                  <c:v>0.18133659580720229</c:v>
                </c:pt>
                <c:pt idx="744">
                  <c:v>0.18320802167776629</c:v>
                </c:pt>
                <c:pt idx="745">
                  <c:v>0.18316327423417753</c:v>
                </c:pt>
                <c:pt idx="746">
                  <c:v>0.18316327423417753</c:v>
                </c:pt>
                <c:pt idx="747">
                  <c:v>0.18316327423417753</c:v>
                </c:pt>
                <c:pt idx="748">
                  <c:v>0.18316327423417753</c:v>
                </c:pt>
                <c:pt idx="749">
                  <c:v>0.18316327423417753</c:v>
                </c:pt>
                <c:pt idx="750">
                  <c:v>0.18316327423417753</c:v>
                </c:pt>
                <c:pt idx="751">
                  <c:v>0.18316327423417753</c:v>
                </c:pt>
                <c:pt idx="752">
                  <c:v>0.18316327423417753</c:v>
                </c:pt>
                <c:pt idx="753">
                  <c:v>0.18316327423417753</c:v>
                </c:pt>
                <c:pt idx="754">
                  <c:v>0.18316327423417753</c:v>
                </c:pt>
                <c:pt idx="755">
                  <c:v>0.17499473210470967</c:v>
                </c:pt>
                <c:pt idx="756">
                  <c:v>0.16971462315465458</c:v>
                </c:pt>
                <c:pt idx="757">
                  <c:v>0.10164759260006355</c:v>
                </c:pt>
                <c:pt idx="758">
                  <c:v>0.1020487108298864</c:v>
                </c:pt>
                <c:pt idx="759">
                  <c:v>0.10240345739443256</c:v>
                </c:pt>
                <c:pt idx="760">
                  <c:v>0.10272273642771755</c:v>
                </c:pt>
                <c:pt idx="761">
                  <c:v>0.10093551446620309</c:v>
                </c:pt>
                <c:pt idx="762">
                  <c:v>8.8475921080245282E-2</c:v>
                </c:pt>
                <c:pt idx="763">
                  <c:v>8.8560828394818117E-2</c:v>
                </c:pt>
                <c:pt idx="764">
                  <c:v>8.8659782023717451E-2</c:v>
                </c:pt>
                <c:pt idx="765">
                  <c:v>8.6690974182367944E-2</c:v>
                </c:pt>
                <c:pt idx="766">
                  <c:v>8.4842804076395259E-2</c:v>
                </c:pt>
                <c:pt idx="767">
                  <c:v>8.311527170579934E-2</c:v>
                </c:pt>
                <c:pt idx="768">
                  <c:v>8.1508377070580285E-2</c:v>
                </c:pt>
                <c:pt idx="769">
                  <c:v>8.0022120170738009E-2</c:v>
                </c:pt>
                <c:pt idx="770">
                  <c:v>7.8656501006272514E-2</c:v>
                </c:pt>
                <c:pt idx="771">
                  <c:v>7.7411519577183882E-2</c:v>
                </c:pt>
                <c:pt idx="772">
                  <c:v>7.6287175883472003E-2</c:v>
                </c:pt>
                <c:pt idx="773">
                  <c:v>0.13895193275295278</c:v>
                </c:pt>
                <c:pt idx="774">
                  <c:v>0.13895193275295278</c:v>
                </c:pt>
                <c:pt idx="775">
                  <c:v>0.13895193275295278</c:v>
                </c:pt>
                <c:pt idx="776">
                  <c:v>0.13895193275295278</c:v>
                </c:pt>
                <c:pt idx="777">
                  <c:v>0.13895193275295278</c:v>
                </c:pt>
                <c:pt idx="778">
                  <c:v>0.13895193275295278</c:v>
                </c:pt>
                <c:pt idx="779">
                  <c:v>0.13895193275295278</c:v>
                </c:pt>
                <c:pt idx="780">
                  <c:v>0.13895193275295278</c:v>
                </c:pt>
                <c:pt idx="781">
                  <c:v>0.13895193275295278</c:v>
                </c:pt>
                <c:pt idx="782">
                  <c:v>0.13895193275295278</c:v>
                </c:pt>
                <c:pt idx="783">
                  <c:v>0.18108946883499499</c:v>
                </c:pt>
                <c:pt idx="784">
                  <c:v>0.18826281245864274</c:v>
                </c:pt>
                <c:pt idx="785">
                  <c:v>0.18777333935676033</c:v>
                </c:pt>
                <c:pt idx="786">
                  <c:v>0.18492144754695411</c:v>
                </c:pt>
                <c:pt idx="787">
                  <c:v>0.17591058075280794</c:v>
                </c:pt>
                <c:pt idx="788">
                  <c:v>0.24249887747646476</c:v>
                </c:pt>
                <c:pt idx="789">
                  <c:v>0.24517967530367712</c:v>
                </c:pt>
                <c:pt idx="790">
                  <c:v>0.24487039044578615</c:v>
                </c:pt>
                <c:pt idx="791">
                  <c:v>0.16018491594941359</c:v>
                </c:pt>
                <c:pt idx="792">
                  <c:v>0.16122100604749934</c:v>
                </c:pt>
                <c:pt idx="793">
                  <c:v>0.16349431578512491</c:v>
                </c:pt>
                <c:pt idx="794">
                  <c:v>0.16530771341568939</c:v>
                </c:pt>
                <c:pt idx="795">
                  <c:v>0.16801845391825254</c:v>
                </c:pt>
                <c:pt idx="796">
                  <c:v>0.14045566714504246</c:v>
                </c:pt>
                <c:pt idx="797">
                  <c:v>0.1587161382942798</c:v>
                </c:pt>
                <c:pt idx="798">
                  <c:v>0.15370572833889479</c:v>
                </c:pt>
                <c:pt idx="799">
                  <c:v>0.15868367151395393</c:v>
                </c:pt>
                <c:pt idx="800">
                  <c:v>0.15234666797413485</c:v>
                </c:pt>
                <c:pt idx="801">
                  <c:v>0.15556754045246357</c:v>
                </c:pt>
                <c:pt idx="802">
                  <c:v>0.15145768682776359</c:v>
                </c:pt>
                <c:pt idx="803">
                  <c:v>0.15145768682776359</c:v>
                </c:pt>
                <c:pt idx="804">
                  <c:v>0.17218416487179067</c:v>
                </c:pt>
                <c:pt idx="805">
                  <c:v>0.18316327423417753</c:v>
                </c:pt>
                <c:pt idx="806">
                  <c:v>0.18316327423417753</c:v>
                </c:pt>
                <c:pt idx="807">
                  <c:v>0.18316327423417753</c:v>
                </c:pt>
                <c:pt idx="808">
                  <c:v>0.18316327423417753</c:v>
                </c:pt>
                <c:pt idx="809">
                  <c:v>0.18316327423417753</c:v>
                </c:pt>
                <c:pt idx="810">
                  <c:v>0.18316327423417753</c:v>
                </c:pt>
                <c:pt idx="811">
                  <c:v>0.18316327423417753</c:v>
                </c:pt>
                <c:pt idx="812">
                  <c:v>0.18316327423417753</c:v>
                </c:pt>
                <c:pt idx="813">
                  <c:v>0.18316327423417753</c:v>
                </c:pt>
                <c:pt idx="814">
                  <c:v>0.18316327423417753</c:v>
                </c:pt>
                <c:pt idx="815">
                  <c:v>0.18316327423417753</c:v>
                </c:pt>
                <c:pt idx="816">
                  <c:v>0.18316327423417753</c:v>
                </c:pt>
                <c:pt idx="817">
                  <c:v>0.18316327423417753</c:v>
                </c:pt>
                <c:pt idx="818">
                  <c:v>0.18316327423417753</c:v>
                </c:pt>
                <c:pt idx="819">
                  <c:v>0.18316327423417753</c:v>
                </c:pt>
                <c:pt idx="820">
                  <c:v>0.18316327423417753</c:v>
                </c:pt>
                <c:pt idx="821">
                  <c:v>0.18490638697739159</c:v>
                </c:pt>
                <c:pt idx="822">
                  <c:v>0.17219615469602018</c:v>
                </c:pt>
                <c:pt idx="823">
                  <c:v>0.10449499670012637</c:v>
                </c:pt>
                <c:pt idx="824">
                  <c:v>9.8526048480324785E-2</c:v>
                </c:pt>
                <c:pt idx="825">
                  <c:v>9.9019752738686226E-2</c:v>
                </c:pt>
                <c:pt idx="826">
                  <c:v>9.3888143999444576E-2</c:v>
                </c:pt>
                <c:pt idx="827">
                  <c:v>9.3674231962147789E-2</c:v>
                </c:pt>
                <c:pt idx="828">
                  <c:v>9.2095371695368994E-2</c:v>
                </c:pt>
                <c:pt idx="829">
                  <c:v>9.1931983975341913E-2</c:v>
                </c:pt>
                <c:pt idx="830">
                  <c:v>9.0507044562581587E-2</c:v>
                </c:pt>
                <c:pt idx="831">
                  <c:v>8.9686089083663309E-2</c:v>
                </c:pt>
                <c:pt idx="832">
                  <c:v>8.9166779137144422E-2</c:v>
                </c:pt>
                <c:pt idx="833">
                  <c:v>8.816311807458467E-2</c:v>
                </c:pt>
                <c:pt idx="834">
                  <c:v>8.6337361880364061E-2</c:v>
                </c:pt>
                <c:pt idx="835">
                  <c:v>8.5257420312585555E-2</c:v>
                </c:pt>
                <c:pt idx="836">
                  <c:v>8.4257489485721773E-2</c:v>
                </c:pt>
                <c:pt idx="837">
                  <c:v>4.0053377315782769E-2</c:v>
                </c:pt>
                <c:pt idx="838">
                  <c:v>4.0053377315782769E-2</c:v>
                </c:pt>
                <c:pt idx="839">
                  <c:v>4.0053377315782769E-2</c:v>
                </c:pt>
                <c:pt idx="840">
                  <c:v>4.0053377315782769E-2</c:v>
                </c:pt>
                <c:pt idx="841">
                  <c:v>4.0053377315782769E-2</c:v>
                </c:pt>
                <c:pt idx="842">
                  <c:v>4.0053377315782769E-2</c:v>
                </c:pt>
                <c:pt idx="843">
                  <c:v>4.0053377315782769E-2</c:v>
                </c:pt>
                <c:pt idx="844">
                  <c:v>4.0053377315782769E-2</c:v>
                </c:pt>
                <c:pt idx="845">
                  <c:v>4.0053377315782769E-2</c:v>
                </c:pt>
                <c:pt idx="846">
                  <c:v>4.0053377315782769E-2</c:v>
                </c:pt>
                <c:pt idx="847">
                  <c:v>4.0053377315782769E-2</c:v>
                </c:pt>
                <c:pt idx="848">
                  <c:v>4.0053377315782769E-2</c:v>
                </c:pt>
                <c:pt idx="849">
                  <c:v>4.0053377315782769E-2</c:v>
                </c:pt>
                <c:pt idx="850">
                  <c:v>4.0053377315782769E-2</c:v>
                </c:pt>
                <c:pt idx="851">
                  <c:v>4.0053377315782769E-2</c:v>
                </c:pt>
                <c:pt idx="852">
                  <c:v>4.0053377315782769E-2</c:v>
                </c:pt>
                <c:pt idx="853">
                  <c:v>4.0053377315782769E-2</c:v>
                </c:pt>
                <c:pt idx="854">
                  <c:v>4.0053377315782769E-2</c:v>
                </c:pt>
                <c:pt idx="855">
                  <c:v>4.0053377315782769E-2</c:v>
                </c:pt>
                <c:pt idx="856">
                  <c:v>4.0053377315782769E-2</c:v>
                </c:pt>
                <c:pt idx="857">
                  <c:v>4.0053377315782769E-2</c:v>
                </c:pt>
                <c:pt idx="858">
                  <c:v>9.1797017754404561E-2</c:v>
                </c:pt>
                <c:pt idx="859">
                  <c:v>9.1827428664385244E-2</c:v>
                </c:pt>
                <c:pt idx="860">
                  <c:v>9.2902323054924046E-2</c:v>
                </c:pt>
                <c:pt idx="861">
                  <c:v>9.3029609364978963E-2</c:v>
                </c:pt>
                <c:pt idx="862">
                  <c:v>9.2406176243606059E-2</c:v>
                </c:pt>
                <c:pt idx="863">
                  <c:v>9.2224583235538046E-2</c:v>
                </c:pt>
                <c:pt idx="864">
                  <c:v>9.2599076847785289E-2</c:v>
                </c:pt>
                <c:pt idx="865">
                  <c:v>9.1656814862604991E-2</c:v>
                </c:pt>
                <c:pt idx="866">
                  <c:v>9.2080659420944219E-2</c:v>
                </c:pt>
                <c:pt idx="867">
                  <c:v>9.1124892277720457E-2</c:v>
                </c:pt>
                <c:pt idx="868">
                  <c:v>9.4864574141962255E-2</c:v>
                </c:pt>
                <c:pt idx="869">
                  <c:v>9.3150975309444564E-2</c:v>
                </c:pt>
                <c:pt idx="870">
                  <c:v>9.7477235516164301E-2</c:v>
                </c:pt>
                <c:pt idx="871">
                  <c:v>4.9835605566998037E-2</c:v>
                </c:pt>
                <c:pt idx="872">
                  <c:v>5.2257045023714706E-2</c:v>
                </c:pt>
                <c:pt idx="873">
                  <c:v>5.2249120464071812E-2</c:v>
                </c:pt>
                <c:pt idx="874">
                  <c:v>5.2159625576894311E-2</c:v>
                </c:pt>
                <c:pt idx="875">
                  <c:v>5.2159625576894311E-2</c:v>
                </c:pt>
                <c:pt idx="876">
                  <c:v>5.2159625576894311E-2</c:v>
                </c:pt>
                <c:pt idx="877">
                  <c:v>5.2159625576894311E-2</c:v>
                </c:pt>
                <c:pt idx="878">
                  <c:v>5.2159625576894311E-2</c:v>
                </c:pt>
                <c:pt idx="879">
                  <c:v>5.2159625576894311E-2</c:v>
                </c:pt>
                <c:pt idx="880">
                  <c:v>5.2159625576894311E-2</c:v>
                </c:pt>
                <c:pt idx="881">
                  <c:v>5.2159625576894311E-2</c:v>
                </c:pt>
                <c:pt idx="882">
                  <c:v>5.2159625576894311E-2</c:v>
                </c:pt>
                <c:pt idx="883">
                  <c:v>5.2159625576894311E-2</c:v>
                </c:pt>
                <c:pt idx="884">
                  <c:v>5.2159625576894311E-2</c:v>
                </c:pt>
                <c:pt idx="885">
                  <c:v>5.2159625576894311E-2</c:v>
                </c:pt>
                <c:pt idx="886">
                  <c:v>5.2159625576894311E-2</c:v>
                </c:pt>
                <c:pt idx="887">
                  <c:v>5.2159625576894311E-2</c:v>
                </c:pt>
                <c:pt idx="888">
                  <c:v>5.2159625576894311E-2</c:v>
                </c:pt>
                <c:pt idx="889">
                  <c:v>5.2159625576894311E-2</c:v>
                </c:pt>
                <c:pt idx="890">
                  <c:v>5.2159625576894311E-2</c:v>
                </c:pt>
                <c:pt idx="891">
                  <c:v>5.2159625576894311E-2</c:v>
                </c:pt>
                <c:pt idx="892">
                  <c:v>5.2159625576894311E-2</c:v>
                </c:pt>
                <c:pt idx="893">
                  <c:v>5.2159625576894311E-2</c:v>
                </c:pt>
                <c:pt idx="894">
                  <c:v>5.2159625576894311E-2</c:v>
                </c:pt>
                <c:pt idx="895">
                  <c:v>5.2159625576894311E-2</c:v>
                </c:pt>
                <c:pt idx="896">
                  <c:v>5.2159625576894311E-2</c:v>
                </c:pt>
                <c:pt idx="897">
                  <c:v>5.2159625576894311E-2</c:v>
                </c:pt>
                <c:pt idx="898">
                  <c:v>5.2159625576894311E-2</c:v>
                </c:pt>
                <c:pt idx="899">
                  <c:v>5.2159625576894311E-2</c:v>
                </c:pt>
                <c:pt idx="900">
                  <c:v>5.2159625576894311E-2</c:v>
                </c:pt>
                <c:pt idx="901">
                  <c:v>5.2159625576894311E-2</c:v>
                </c:pt>
                <c:pt idx="902">
                  <c:v>5.2159625576894311E-2</c:v>
                </c:pt>
                <c:pt idx="903">
                  <c:v>5.2159625576894311E-2</c:v>
                </c:pt>
                <c:pt idx="904">
                  <c:v>5.2159625576894311E-2</c:v>
                </c:pt>
                <c:pt idx="905">
                  <c:v>5.2159625576894311E-2</c:v>
                </c:pt>
                <c:pt idx="906">
                  <c:v>5.2159625576894311E-2</c:v>
                </c:pt>
                <c:pt idx="907">
                  <c:v>5.2159625576894311E-2</c:v>
                </c:pt>
                <c:pt idx="908">
                  <c:v>5.2159625576894311E-2</c:v>
                </c:pt>
                <c:pt idx="909">
                  <c:v>5.2159625576894311E-2</c:v>
                </c:pt>
                <c:pt idx="910">
                  <c:v>5.2159625576894311E-2</c:v>
                </c:pt>
                <c:pt idx="911">
                  <c:v>5.2159625576894311E-2</c:v>
                </c:pt>
                <c:pt idx="912">
                  <c:v>5.2159625576894311E-2</c:v>
                </c:pt>
                <c:pt idx="913">
                  <c:v>5.2159625576894311E-2</c:v>
                </c:pt>
                <c:pt idx="914">
                  <c:v>5.2159625576894311E-2</c:v>
                </c:pt>
                <c:pt idx="915">
                  <c:v>5.2159625576894311E-2</c:v>
                </c:pt>
                <c:pt idx="916">
                  <c:v>5.2159625576894311E-2</c:v>
                </c:pt>
                <c:pt idx="917">
                  <c:v>5.2159625576894311E-2</c:v>
                </c:pt>
                <c:pt idx="918">
                  <c:v>5.2159625576894311E-2</c:v>
                </c:pt>
                <c:pt idx="919">
                  <c:v>5.2159625576894311E-2</c:v>
                </c:pt>
                <c:pt idx="920">
                  <c:v>5.2159625576894311E-2</c:v>
                </c:pt>
                <c:pt idx="921">
                  <c:v>5.2159625576894311E-2</c:v>
                </c:pt>
                <c:pt idx="922">
                  <c:v>5.2159625576894311E-2</c:v>
                </c:pt>
                <c:pt idx="923">
                  <c:v>5.2159625576894311E-2</c:v>
                </c:pt>
                <c:pt idx="924">
                  <c:v>5.2159625576894311E-2</c:v>
                </c:pt>
                <c:pt idx="925">
                  <c:v>5.2159625576894311E-2</c:v>
                </c:pt>
                <c:pt idx="926">
                  <c:v>5.2159625576894311E-2</c:v>
                </c:pt>
                <c:pt idx="927">
                  <c:v>5.2159625576894311E-2</c:v>
                </c:pt>
                <c:pt idx="928">
                  <c:v>5.2159625576894311E-2</c:v>
                </c:pt>
                <c:pt idx="929">
                  <c:v>5.2159625576894311E-2</c:v>
                </c:pt>
                <c:pt idx="930">
                  <c:v>5.2159625576894311E-2</c:v>
                </c:pt>
                <c:pt idx="931">
                  <c:v>5.2159625576894311E-2</c:v>
                </c:pt>
                <c:pt idx="932">
                  <c:v>5.2159625576894311E-2</c:v>
                </c:pt>
                <c:pt idx="933">
                  <c:v>5.2159625576894311E-2</c:v>
                </c:pt>
                <c:pt idx="934">
                  <c:v>5.2159625576894311E-2</c:v>
                </c:pt>
                <c:pt idx="935">
                  <c:v>5.468745579919615E-2</c:v>
                </c:pt>
                <c:pt idx="936">
                  <c:v>5.7179831130361174E-2</c:v>
                </c:pt>
                <c:pt idx="937">
                  <c:v>5.9785909715685183E-2</c:v>
                </c:pt>
                <c:pt idx="938">
                  <c:v>6.2505691555168191E-2</c:v>
                </c:pt>
                <c:pt idx="939">
                  <c:v>6.5339176648810171E-2</c:v>
                </c:pt>
                <c:pt idx="940">
                  <c:v>6.8286364996611171E-2</c:v>
                </c:pt>
                <c:pt idx="941">
                  <c:v>6.9407582359718584E-2</c:v>
                </c:pt>
                <c:pt idx="942">
                  <c:v>6.9347919101600264E-2</c:v>
                </c:pt>
                <c:pt idx="943">
                  <c:v>6.9347919101600264E-2</c:v>
                </c:pt>
                <c:pt idx="944">
                  <c:v>6.9347919101600264E-2</c:v>
                </c:pt>
                <c:pt idx="945">
                  <c:v>6.9347919101600264E-2</c:v>
                </c:pt>
                <c:pt idx="946">
                  <c:v>6.9347919101600264E-2</c:v>
                </c:pt>
                <c:pt idx="947">
                  <c:v>6.9347919101600264E-2</c:v>
                </c:pt>
                <c:pt idx="948">
                  <c:v>6.9347919101600264E-2</c:v>
                </c:pt>
                <c:pt idx="949">
                  <c:v>6.9347919101600264E-2</c:v>
                </c:pt>
                <c:pt idx="950">
                  <c:v>6.9347919101600264E-2</c:v>
                </c:pt>
                <c:pt idx="951">
                  <c:v>6.9347919101600264E-2</c:v>
                </c:pt>
                <c:pt idx="952">
                  <c:v>6.9347919101600264E-2</c:v>
                </c:pt>
                <c:pt idx="953">
                  <c:v>6.9347919101600264E-2</c:v>
                </c:pt>
                <c:pt idx="954">
                  <c:v>6.9347919101600264E-2</c:v>
                </c:pt>
                <c:pt idx="955">
                  <c:v>6.9347919101600264E-2</c:v>
                </c:pt>
                <c:pt idx="956">
                  <c:v>6.9347919101600264E-2</c:v>
                </c:pt>
                <c:pt idx="957">
                  <c:v>6.9347919101600264E-2</c:v>
                </c:pt>
                <c:pt idx="958">
                  <c:v>6.9347919101600264E-2</c:v>
                </c:pt>
                <c:pt idx="959">
                  <c:v>6.9347919101600264E-2</c:v>
                </c:pt>
                <c:pt idx="960">
                  <c:v>6.9347919101600264E-2</c:v>
                </c:pt>
                <c:pt idx="961">
                  <c:v>6.9347919101600264E-2</c:v>
                </c:pt>
                <c:pt idx="962">
                  <c:v>6.9347919101600264E-2</c:v>
                </c:pt>
                <c:pt idx="963">
                  <c:v>6.9347919101600264E-2</c:v>
                </c:pt>
                <c:pt idx="964">
                  <c:v>6.9347919101600264E-2</c:v>
                </c:pt>
                <c:pt idx="965">
                  <c:v>6.9347919101600264E-2</c:v>
                </c:pt>
                <c:pt idx="966">
                  <c:v>6.9347919101600264E-2</c:v>
                </c:pt>
                <c:pt idx="967">
                  <c:v>6.9347919101600264E-2</c:v>
                </c:pt>
                <c:pt idx="968">
                  <c:v>6.9347919101600264E-2</c:v>
                </c:pt>
                <c:pt idx="969">
                  <c:v>6.9347919101600264E-2</c:v>
                </c:pt>
                <c:pt idx="970">
                  <c:v>6.5057442679811756E-2</c:v>
                </c:pt>
                <c:pt idx="971">
                  <c:v>6.1385077489460635E-2</c:v>
                </c:pt>
                <c:pt idx="972">
                  <c:v>5.6469981398695981E-2</c:v>
                </c:pt>
                <c:pt idx="973">
                  <c:v>6.2108158265949731E-2</c:v>
                </c:pt>
                <c:pt idx="974">
                  <c:v>6.7704446942928001E-2</c:v>
                </c:pt>
                <c:pt idx="975">
                  <c:v>7.3234313128095863E-2</c:v>
                </c:pt>
                <c:pt idx="976">
                  <c:v>7.755120427471357E-2</c:v>
                </c:pt>
                <c:pt idx="977">
                  <c:v>8.1751273241704545E-2</c:v>
                </c:pt>
                <c:pt idx="978">
                  <c:v>7.6682323677038144E-2</c:v>
                </c:pt>
                <c:pt idx="979">
                  <c:v>8.0851821331556745E-2</c:v>
                </c:pt>
                <c:pt idx="980">
                  <c:v>4.2756604321815779E-2</c:v>
                </c:pt>
                <c:pt idx="981">
                  <c:v>4.2756604321815779E-2</c:v>
                </c:pt>
                <c:pt idx="982">
                  <c:v>4.2756604321815779E-2</c:v>
                </c:pt>
                <c:pt idx="983">
                  <c:v>4.2756604321815779E-2</c:v>
                </c:pt>
                <c:pt idx="984">
                  <c:v>4.2756604321815779E-2</c:v>
                </c:pt>
                <c:pt idx="985">
                  <c:v>4.2756604321815779E-2</c:v>
                </c:pt>
                <c:pt idx="986">
                  <c:v>4.2756604321815779E-2</c:v>
                </c:pt>
                <c:pt idx="987">
                  <c:v>4.2756604321815779E-2</c:v>
                </c:pt>
                <c:pt idx="988">
                  <c:v>4.2756604321815779E-2</c:v>
                </c:pt>
                <c:pt idx="989">
                  <c:v>4.2756604321815779E-2</c:v>
                </c:pt>
                <c:pt idx="990">
                  <c:v>4.2756604321815779E-2</c:v>
                </c:pt>
                <c:pt idx="991">
                  <c:v>4.2756604321815779E-2</c:v>
                </c:pt>
                <c:pt idx="992">
                  <c:v>0.14754576399387584</c:v>
                </c:pt>
                <c:pt idx="993">
                  <c:v>0.15504856660151534</c:v>
                </c:pt>
                <c:pt idx="994">
                  <c:v>0.15373379963487591</c:v>
                </c:pt>
                <c:pt idx="995">
                  <c:v>0.15887289994398934</c:v>
                </c:pt>
                <c:pt idx="996">
                  <c:v>0.15871177735001407</c:v>
                </c:pt>
                <c:pt idx="997">
                  <c:v>0.15826719477181361</c:v>
                </c:pt>
                <c:pt idx="998">
                  <c:v>0.15832935287777483</c:v>
                </c:pt>
                <c:pt idx="999">
                  <c:v>0.16564589480666991</c:v>
                </c:pt>
                <c:pt idx="1000">
                  <c:v>0.17214145599513134</c:v>
                </c:pt>
                <c:pt idx="1001">
                  <c:v>5.147363686256419E-2</c:v>
                </c:pt>
                <c:pt idx="1002">
                  <c:v>5.5408337972735984E-2</c:v>
                </c:pt>
                <c:pt idx="1003">
                  <c:v>5.9434019220044286E-2</c:v>
                </c:pt>
                <c:pt idx="1004">
                  <c:v>6.3438064222198789E-2</c:v>
                </c:pt>
                <c:pt idx="1005">
                  <c:v>6.6935850579772735E-2</c:v>
                </c:pt>
                <c:pt idx="1006">
                  <c:v>7.2095559620127772E-2</c:v>
                </c:pt>
                <c:pt idx="1007">
                  <c:v>7.7164311867137472E-2</c:v>
                </c:pt>
                <c:pt idx="1008">
                  <c:v>8.2117573019266935E-2</c:v>
                </c:pt>
                <c:pt idx="1009">
                  <c:v>8.5173975194372115E-2</c:v>
                </c:pt>
                <c:pt idx="1010">
                  <c:v>8.8613538482425702E-2</c:v>
                </c:pt>
                <c:pt idx="1011">
                  <c:v>8.2115865012625577E-2</c:v>
                </c:pt>
                <c:pt idx="1012">
                  <c:v>8.5605324510677011E-2</c:v>
                </c:pt>
                <c:pt idx="1013">
                  <c:v>8.1082461339785708E-2</c:v>
                </c:pt>
                <c:pt idx="1014">
                  <c:v>3.8279077864937484E-2</c:v>
                </c:pt>
                <c:pt idx="1015">
                  <c:v>3.8279077864937484E-2</c:v>
                </c:pt>
                <c:pt idx="1016">
                  <c:v>3.8279077864937484E-2</c:v>
                </c:pt>
                <c:pt idx="1017">
                  <c:v>3.8279077864937484E-2</c:v>
                </c:pt>
                <c:pt idx="1018">
                  <c:v>3.8279077864937484E-2</c:v>
                </c:pt>
                <c:pt idx="1019">
                  <c:v>3.8279077864937484E-2</c:v>
                </c:pt>
                <c:pt idx="1020">
                  <c:v>0.13610351856886085</c:v>
                </c:pt>
                <c:pt idx="1021">
                  <c:v>0.14160993144955891</c:v>
                </c:pt>
                <c:pt idx="1022">
                  <c:v>0.14813335080280046</c:v>
                </c:pt>
                <c:pt idx="1023">
                  <c:v>0.14623839879996475</c:v>
                </c:pt>
                <c:pt idx="1024">
                  <c:v>0.15050231289564178</c:v>
                </c:pt>
                <c:pt idx="1025">
                  <c:v>0.14976224402233554</c:v>
                </c:pt>
                <c:pt idx="1026">
                  <c:v>0.14916885028152368</c:v>
                </c:pt>
                <c:pt idx="1027">
                  <c:v>0.14870641219448572</c:v>
                </c:pt>
                <c:pt idx="1028">
                  <c:v>5.0638774216765596E-2</c:v>
                </c:pt>
                <c:pt idx="1029">
                  <c:v>5.36341560328761E-2</c:v>
                </c:pt>
                <c:pt idx="1030">
                  <c:v>5.7000056023455412E-2</c:v>
                </c:pt>
                <c:pt idx="1031">
                  <c:v>6.0934757133627206E-2</c:v>
                </c:pt>
                <c:pt idx="1032">
                  <c:v>6.5125290565656732E-2</c:v>
                </c:pt>
                <c:pt idx="1033">
                  <c:v>6.9571656319543956E-2</c:v>
                </c:pt>
                <c:pt idx="1034">
                  <c:v>6.9347919101600264E-2</c:v>
                </c:pt>
                <c:pt idx="1035">
                  <c:v>6.9347919101600264E-2</c:v>
                </c:pt>
                <c:pt idx="1036">
                  <c:v>6.9347919101600264E-2</c:v>
                </c:pt>
                <c:pt idx="1037">
                  <c:v>6.5057442679811756E-2</c:v>
                </c:pt>
                <c:pt idx="1038">
                  <c:v>6.1385077489460635E-2</c:v>
                </c:pt>
                <c:pt idx="1039">
                  <c:v>5.7636149127403814E-2</c:v>
                </c:pt>
                <c:pt idx="1040">
                  <c:v>6.2108158265949731E-2</c:v>
                </c:pt>
                <c:pt idx="1041">
                  <c:v>6.7704446942928001E-2</c:v>
                </c:pt>
                <c:pt idx="1042">
                  <c:v>7.3234313128095863E-2</c:v>
                </c:pt>
                <c:pt idx="1043">
                  <c:v>7.7083271141742571E-2</c:v>
                </c:pt>
                <c:pt idx="1044">
                  <c:v>8.127627685407067E-2</c:v>
                </c:pt>
                <c:pt idx="1045">
                  <c:v>7.6251215756478891E-2</c:v>
                </c:pt>
                <c:pt idx="1046">
                  <c:v>8.0410060436674771E-2</c:v>
                </c:pt>
                <c:pt idx="1047">
                  <c:v>8.3783680831151189E-2</c:v>
                </c:pt>
                <c:pt idx="1048">
                  <c:v>8.5544232469136325E-2</c:v>
                </c:pt>
                <c:pt idx="1049">
                  <c:v>6.8173404947535307E-2</c:v>
                </c:pt>
                <c:pt idx="1050">
                  <c:v>0</c:v>
                </c:pt>
                <c:pt idx="1051">
                  <c:v>3.1144626671722027E-2</c:v>
                </c:pt>
                <c:pt idx="1052">
                  <c:v>3.1144626671722027E-2</c:v>
                </c:pt>
                <c:pt idx="1053">
                  <c:v>3.1144626671722027E-2</c:v>
                </c:pt>
                <c:pt idx="1054">
                  <c:v>3.1144626671722027E-2</c:v>
                </c:pt>
                <c:pt idx="1055">
                  <c:v>3.1144626671722027E-2</c:v>
                </c:pt>
                <c:pt idx="1056">
                  <c:v>3.1144626671722027E-2</c:v>
                </c:pt>
                <c:pt idx="1057">
                  <c:v>3.1144626671722027E-2</c:v>
                </c:pt>
                <c:pt idx="1058">
                  <c:v>3.1144626671722027E-2</c:v>
                </c:pt>
                <c:pt idx="1059">
                  <c:v>0.10939378305849973</c:v>
                </c:pt>
                <c:pt idx="1060">
                  <c:v>0.12805985811705675</c:v>
                </c:pt>
                <c:pt idx="1061">
                  <c:v>0.14637602752028978</c:v>
                </c:pt>
                <c:pt idx="1062">
                  <c:v>0.15288115455099066</c:v>
                </c:pt>
                <c:pt idx="1063">
                  <c:v>0.16053629224431618</c:v>
                </c:pt>
                <c:pt idx="1064">
                  <c:v>0.15908662466238099</c:v>
                </c:pt>
                <c:pt idx="1065">
                  <c:v>5.0357565195454625E-2</c:v>
                </c:pt>
                <c:pt idx="1066">
                  <c:v>5.2425199288833338E-2</c:v>
                </c:pt>
                <c:pt idx="1067">
                  <c:v>5.4591529996989643E-2</c:v>
                </c:pt>
                <c:pt idx="1068">
                  <c:v>5.6828642736843807E-2</c:v>
                </c:pt>
                <c:pt idx="1069">
                  <c:v>6.076411746955318E-2</c:v>
                </c:pt>
                <c:pt idx="1070">
                  <c:v>6.4658934261164952E-2</c:v>
                </c:pt>
                <c:pt idx="1071">
                  <c:v>6.8978941943847932E-2</c:v>
                </c:pt>
                <c:pt idx="1072">
                  <c:v>6.937775073065941E-2</c:v>
                </c:pt>
                <c:pt idx="1073">
                  <c:v>6.9347919101600264E-2</c:v>
                </c:pt>
                <c:pt idx="1074">
                  <c:v>6.9347919101600264E-2</c:v>
                </c:pt>
                <c:pt idx="1075">
                  <c:v>6.9347919101600264E-2</c:v>
                </c:pt>
                <c:pt idx="1076">
                  <c:v>6.9347919101600264E-2</c:v>
                </c:pt>
                <c:pt idx="1077">
                  <c:v>6.9347919101600264E-2</c:v>
                </c:pt>
                <c:pt idx="1078">
                  <c:v>6.9347919101600264E-2</c:v>
                </c:pt>
                <c:pt idx="1079">
                  <c:v>6.9347919101600264E-2</c:v>
                </c:pt>
                <c:pt idx="1080">
                  <c:v>6.9347919101600264E-2</c:v>
                </c:pt>
                <c:pt idx="1081">
                  <c:v>6.9347919101600264E-2</c:v>
                </c:pt>
                <c:pt idx="1082">
                  <c:v>6.9347919101600264E-2</c:v>
                </c:pt>
                <c:pt idx="1083">
                  <c:v>4.7560631685270728E-2</c:v>
                </c:pt>
                <c:pt idx="1084">
                  <c:v>5.2237644783321158E-2</c:v>
                </c:pt>
                <c:pt idx="1085">
                  <c:v>5.6469981398695981E-2</c:v>
                </c:pt>
                <c:pt idx="1086">
                  <c:v>6.2108158265949731E-2</c:v>
                </c:pt>
                <c:pt idx="1087">
                  <c:v>6.7704446942928001E-2</c:v>
                </c:pt>
                <c:pt idx="1088">
                  <c:v>7.3234313128095863E-2</c:v>
                </c:pt>
                <c:pt idx="1089">
                  <c:v>7.755120427471357E-2</c:v>
                </c:pt>
                <c:pt idx="1090">
                  <c:v>8.1751273241704545E-2</c:v>
                </c:pt>
                <c:pt idx="1091">
                  <c:v>7.6682323677038144E-2</c:v>
                </c:pt>
                <c:pt idx="1092">
                  <c:v>8.0851821331556745E-2</c:v>
                </c:pt>
                <c:pt idx="1093">
                  <c:v>3.1057572638333395E-2</c:v>
                </c:pt>
                <c:pt idx="1094">
                  <c:v>3.1057572638333395E-2</c:v>
                </c:pt>
                <c:pt idx="1095">
                  <c:v>3.1057572638333395E-2</c:v>
                </c:pt>
                <c:pt idx="1096">
                  <c:v>3.1057572638333395E-2</c:v>
                </c:pt>
                <c:pt idx="1097">
                  <c:v>3.1057572638333395E-2</c:v>
                </c:pt>
                <c:pt idx="1098">
                  <c:v>3.1057572638333395E-2</c:v>
                </c:pt>
                <c:pt idx="1099">
                  <c:v>3.1057572638333395E-2</c:v>
                </c:pt>
                <c:pt idx="1100">
                  <c:v>3.1057572638333395E-2</c:v>
                </c:pt>
                <c:pt idx="1101">
                  <c:v>3.1057572638333395E-2</c:v>
                </c:pt>
                <c:pt idx="1102">
                  <c:v>3.1057572638333395E-2</c:v>
                </c:pt>
                <c:pt idx="1103">
                  <c:v>3.1057572638333395E-2</c:v>
                </c:pt>
                <c:pt idx="1104">
                  <c:v>0.17082431118770053</c:v>
                </c:pt>
                <c:pt idx="1105">
                  <c:v>0.18203329000940777</c:v>
                </c:pt>
                <c:pt idx="1106">
                  <c:v>0.17822825756025759</c:v>
                </c:pt>
                <c:pt idx="1107">
                  <c:v>4.1736900640717833E-2</c:v>
                </c:pt>
                <c:pt idx="1108">
                  <c:v>4.5861076112358373E-2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7B0-4639-AF2D-2CFA1A2A9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69840"/>
        <c:axId val="1496671152"/>
      </c:scatterChart>
      <c:valAx>
        <c:axId val="128932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316104"/>
        <c:crosses val="autoZero"/>
        <c:crossBetween val="midCat"/>
      </c:valAx>
      <c:valAx>
        <c:axId val="1289316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Demand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320040"/>
        <c:crosses val="autoZero"/>
        <c:crossBetween val="midCat"/>
      </c:valAx>
      <c:valAx>
        <c:axId val="14966711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69840"/>
        <c:crosses val="max"/>
        <c:crossBetween val="midCat"/>
      </c:valAx>
      <c:valAx>
        <c:axId val="1496669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6671152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&amp; Acceleration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Concumption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Cycle'!$X$3:$X$1111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0.13823075593878625</c:v>
                </c:pt>
                <c:pt idx="3">
                  <c:v>0.17092309371352873</c:v>
                </c:pt>
                <c:pt idx="4">
                  <c:v>0.16395307186203698</c:v>
                </c:pt>
                <c:pt idx="5">
                  <c:v>0.17586368134367869</c:v>
                </c:pt>
                <c:pt idx="6">
                  <c:v>0.17293334191301135</c:v>
                </c:pt>
                <c:pt idx="7">
                  <c:v>0.17015401505145694</c:v>
                </c:pt>
                <c:pt idx="8">
                  <c:v>0.17497065769173878</c:v>
                </c:pt>
                <c:pt idx="9">
                  <c:v>0.18525296363370422</c:v>
                </c:pt>
                <c:pt idx="10">
                  <c:v>0.1890484996100279</c:v>
                </c:pt>
                <c:pt idx="11">
                  <c:v>4.6309499006110581E-2</c:v>
                </c:pt>
                <c:pt idx="12">
                  <c:v>5.1539848697424048E-2</c:v>
                </c:pt>
                <c:pt idx="13">
                  <c:v>5.7225011405373463E-2</c:v>
                </c:pt>
                <c:pt idx="14">
                  <c:v>5.95113852066423E-2</c:v>
                </c:pt>
                <c:pt idx="15">
                  <c:v>5.9389075527499745E-2</c:v>
                </c:pt>
                <c:pt idx="16">
                  <c:v>5.9389075527499745E-2</c:v>
                </c:pt>
                <c:pt idx="17">
                  <c:v>5.9389075527499745E-2</c:v>
                </c:pt>
                <c:pt idx="18">
                  <c:v>5.9389075527499745E-2</c:v>
                </c:pt>
                <c:pt idx="19">
                  <c:v>5.9389075527499745E-2</c:v>
                </c:pt>
                <c:pt idx="20">
                  <c:v>5.9389075527499745E-2</c:v>
                </c:pt>
                <c:pt idx="21">
                  <c:v>5.9389075527499745E-2</c:v>
                </c:pt>
                <c:pt idx="22">
                  <c:v>5.9389075527499745E-2</c:v>
                </c:pt>
                <c:pt idx="23">
                  <c:v>5.9389075527499745E-2</c:v>
                </c:pt>
                <c:pt idx="24">
                  <c:v>5.9389075527499745E-2</c:v>
                </c:pt>
                <c:pt idx="25">
                  <c:v>5.9389075527499745E-2</c:v>
                </c:pt>
                <c:pt idx="26">
                  <c:v>5.9389075527499745E-2</c:v>
                </c:pt>
                <c:pt idx="27">
                  <c:v>5.9389075527499745E-2</c:v>
                </c:pt>
                <c:pt idx="28">
                  <c:v>5.9389075527499745E-2</c:v>
                </c:pt>
                <c:pt idx="29">
                  <c:v>5.9389075527499745E-2</c:v>
                </c:pt>
                <c:pt idx="30">
                  <c:v>5.9389075527499745E-2</c:v>
                </c:pt>
                <c:pt idx="31">
                  <c:v>5.9389075527499745E-2</c:v>
                </c:pt>
                <c:pt idx="32">
                  <c:v>5.9389075527499745E-2</c:v>
                </c:pt>
                <c:pt idx="33">
                  <c:v>5.9389075527499745E-2</c:v>
                </c:pt>
                <c:pt idx="34">
                  <c:v>5.9389075527499745E-2</c:v>
                </c:pt>
                <c:pt idx="35">
                  <c:v>5.9389075527499745E-2</c:v>
                </c:pt>
                <c:pt idx="36">
                  <c:v>5.9389075527499745E-2</c:v>
                </c:pt>
                <c:pt idx="37">
                  <c:v>5.9389075527499745E-2</c:v>
                </c:pt>
                <c:pt idx="38">
                  <c:v>5.9389075527499745E-2</c:v>
                </c:pt>
                <c:pt idx="39">
                  <c:v>5.9389075527499745E-2</c:v>
                </c:pt>
                <c:pt idx="40">
                  <c:v>5.9389075527499745E-2</c:v>
                </c:pt>
                <c:pt idx="41">
                  <c:v>5.9389075527499745E-2</c:v>
                </c:pt>
                <c:pt idx="42">
                  <c:v>5.9389075527499745E-2</c:v>
                </c:pt>
                <c:pt idx="43">
                  <c:v>5.9389075527499745E-2</c:v>
                </c:pt>
                <c:pt idx="44">
                  <c:v>5.9389075527499745E-2</c:v>
                </c:pt>
                <c:pt idx="45">
                  <c:v>5.9389075527499745E-2</c:v>
                </c:pt>
                <c:pt idx="46">
                  <c:v>5.9389075527499745E-2</c:v>
                </c:pt>
                <c:pt idx="47">
                  <c:v>5.9389075527499745E-2</c:v>
                </c:pt>
                <c:pt idx="48">
                  <c:v>5.9389075527499745E-2</c:v>
                </c:pt>
                <c:pt idx="49">
                  <c:v>5.9389075527499745E-2</c:v>
                </c:pt>
                <c:pt idx="50">
                  <c:v>5.9389075527499745E-2</c:v>
                </c:pt>
                <c:pt idx="51">
                  <c:v>5.9389075527499745E-2</c:v>
                </c:pt>
                <c:pt idx="52">
                  <c:v>5.9389075527499745E-2</c:v>
                </c:pt>
                <c:pt idx="53">
                  <c:v>5.9389075527499745E-2</c:v>
                </c:pt>
                <c:pt idx="54">
                  <c:v>5.9389075527499745E-2</c:v>
                </c:pt>
                <c:pt idx="55">
                  <c:v>5.9389075527499745E-2</c:v>
                </c:pt>
                <c:pt idx="56">
                  <c:v>5.9389075527499745E-2</c:v>
                </c:pt>
                <c:pt idx="57">
                  <c:v>5.9389075527499745E-2</c:v>
                </c:pt>
                <c:pt idx="58">
                  <c:v>5.9389075527499745E-2</c:v>
                </c:pt>
                <c:pt idx="59">
                  <c:v>5.9389075527499745E-2</c:v>
                </c:pt>
                <c:pt idx="60">
                  <c:v>5.9389075527499745E-2</c:v>
                </c:pt>
                <c:pt idx="61">
                  <c:v>5.9389075527499745E-2</c:v>
                </c:pt>
                <c:pt idx="62">
                  <c:v>5.9389075527499745E-2</c:v>
                </c:pt>
                <c:pt idx="63">
                  <c:v>5.9389075527499745E-2</c:v>
                </c:pt>
                <c:pt idx="64">
                  <c:v>5.9389075527499745E-2</c:v>
                </c:pt>
                <c:pt idx="65">
                  <c:v>5.9389075527499745E-2</c:v>
                </c:pt>
                <c:pt idx="66">
                  <c:v>5.9389075527499745E-2</c:v>
                </c:pt>
                <c:pt idx="67">
                  <c:v>5.9389075527499745E-2</c:v>
                </c:pt>
                <c:pt idx="68">
                  <c:v>5.9389075527499745E-2</c:v>
                </c:pt>
                <c:pt idx="69">
                  <c:v>5.9389075527499745E-2</c:v>
                </c:pt>
                <c:pt idx="70">
                  <c:v>5.9389075527499745E-2</c:v>
                </c:pt>
                <c:pt idx="71">
                  <c:v>5.9389075527499745E-2</c:v>
                </c:pt>
                <c:pt idx="72">
                  <c:v>5.9389075527499745E-2</c:v>
                </c:pt>
                <c:pt idx="73">
                  <c:v>5.9389075527499745E-2</c:v>
                </c:pt>
                <c:pt idx="74">
                  <c:v>5.9389075527499745E-2</c:v>
                </c:pt>
                <c:pt idx="75">
                  <c:v>5.9389075527499745E-2</c:v>
                </c:pt>
                <c:pt idx="76">
                  <c:v>5.9389075527499745E-2</c:v>
                </c:pt>
                <c:pt idx="77">
                  <c:v>5.9389075527499745E-2</c:v>
                </c:pt>
                <c:pt idx="78">
                  <c:v>5.9389075527499745E-2</c:v>
                </c:pt>
                <c:pt idx="79">
                  <c:v>5.9389075527499745E-2</c:v>
                </c:pt>
                <c:pt idx="80">
                  <c:v>5.9389075527499745E-2</c:v>
                </c:pt>
                <c:pt idx="81">
                  <c:v>5.9389075527499745E-2</c:v>
                </c:pt>
                <c:pt idx="82">
                  <c:v>5.9389075527499745E-2</c:v>
                </c:pt>
                <c:pt idx="83">
                  <c:v>5.9389075527499745E-2</c:v>
                </c:pt>
                <c:pt idx="84">
                  <c:v>5.9389075527499745E-2</c:v>
                </c:pt>
                <c:pt idx="85">
                  <c:v>5.9389075527499745E-2</c:v>
                </c:pt>
                <c:pt idx="86">
                  <c:v>5.9389075527499745E-2</c:v>
                </c:pt>
                <c:pt idx="87">
                  <c:v>5.9389075527499745E-2</c:v>
                </c:pt>
                <c:pt idx="88">
                  <c:v>5.9389075527499745E-2</c:v>
                </c:pt>
                <c:pt idx="89">
                  <c:v>5.9389075527499745E-2</c:v>
                </c:pt>
                <c:pt idx="90">
                  <c:v>5.9389075527499745E-2</c:v>
                </c:pt>
                <c:pt idx="91">
                  <c:v>5.9389075527499745E-2</c:v>
                </c:pt>
                <c:pt idx="92">
                  <c:v>5.9389075527499745E-2</c:v>
                </c:pt>
                <c:pt idx="93">
                  <c:v>4.5207841254058558E-2</c:v>
                </c:pt>
                <c:pt idx="94">
                  <c:v>2.9006691159531799E-2</c:v>
                </c:pt>
                <c:pt idx="95">
                  <c:v>2.6290994927020788E-2</c:v>
                </c:pt>
                <c:pt idx="96">
                  <c:v>2.4118980540695133E-2</c:v>
                </c:pt>
                <c:pt idx="97">
                  <c:v>2.1450657769370478E-2</c:v>
                </c:pt>
                <c:pt idx="98">
                  <c:v>9.945614513988732E-2</c:v>
                </c:pt>
                <c:pt idx="99">
                  <c:v>9.945614513988732E-2</c:v>
                </c:pt>
                <c:pt idx="100">
                  <c:v>9.945614513988732E-2</c:v>
                </c:pt>
                <c:pt idx="101">
                  <c:v>9.945614513988732E-2</c:v>
                </c:pt>
                <c:pt idx="102">
                  <c:v>9.945614513988732E-2</c:v>
                </c:pt>
                <c:pt idx="103">
                  <c:v>9.945614513988732E-2</c:v>
                </c:pt>
                <c:pt idx="104">
                  <c:v>9.945614513988732E-2</c:v>
                </c:pt>
                <c:pt idx="105">
                  <c:v>9.945614513988732E-2</c:v>
                </c:pt>
                <c:pt idx="106">
                  <c:v>9.945614513988732E-2</c:v>
                </c:pt>
                <c:pt idx="107">
                  <c:v>9.945614513988732E-2</c:v>
                </c:pt>
                <c:pt idx="108">
                  <c:v>9.945614513988732E-2</c:v>
                </c:pt>
                <c:pt idx="109">
                  <c:v>9.718319963118438E-2</c:v>
                </c:pt>
                <c:pt idx="110">
                  <c:v>5.2304839380802118E-2</c:v>
                </c:pt>
                <c:pt idx="111">
                  <c:v>5.7560893705610287E-2</c:v>
                </c:pt>
                <c:pt idx="112">
                  <c:v>5.9860687381732988E-2</c:v>
                </c:pt>
                <c:pt idx="113">
                  <c:v>5.9737659805723972E-2</c:v>
                </c:pt>
                <c:pt idx="114">
                  <c:v>5.9737659805723972E-2</c:v>
                </c:pt>
                <c:pt idx="115">
                  <c:v>5.9737659805723972E-2</c:v>
                </c:pt>
                <c:pt idx="116">
                  <c:v>4.0454449382620633E-2</c:v>
                </c:pt>
                <c:pt idx="117">
                  <c:v>4.1477678734305454E-2</c:v>
                </c:pt>
                <c:pt idx="118">
                  <c:v>4.3972310393376769E-2</c:v>
                </c:pt>
                <c:pt idx="119">
                  <c:v>4.3822276764097466E-2</c:v>
                </c:pt>
                <c:pt idx="120">
                  <c:v>4.9154651989038921E-2</c:v>
                </c:pt>
                <c:pt idx="121">
                  <c:v>1.7980065666595615E-2</c:v>
                </c:pt>
                <c:pt idx="122">
                  <c:v>2.3346344179787686E-2</c:v>
                </c:pt>
                <c:pt idx="123">
                  <c:v>2.307328297449936E-2</c:v>
                </c:pt>
                <c:pt idx="124">
                  <c:v>2.307328297449936E-2</c:v>
                </c:pt>
                <c:pt idx="125">
                  <c:v>2.307328297449936E-2</c:v>
                </c:pt>
                <c:pt idx="126">
                  <c:v>2.307328297449936E-2</c:v>
                </c:pt>
                <c:pt idx="127">
                  <c:v>2.307328297449936E-2</c:v>
                </c:pt>
                <c:pt idx="128">
                  <c:v>2.307328297449936E-2</c:v>
                </c:pt>
                <c:pt idx="129">
                  <c:v>2.307328297449936E-2</c:v>
                </c:pt>
                <c:pt idx="130">
                  <c:v>2.307328297449936E-2</c:v>
                </c:pt>
                <c:pt idx="131">
                  <c:v>2.307328297449936E-2</c:v>
                </c:pt>
                <c:pt idx="132">
                  <c:v>2.307328297449936E-2</c:v>
                </c:pt>
                <c:pt idx="133">
                  <c:v>2.3073282974499325E-2</c:v>
                </c:pt>
                <c:pt idx="134">
                  <c:v>2.3073282974499325E-2</c:v>
                </c:pt>
                <c:pt idx="135">
                  <c:v>2.3073282974499325E-2</c:v>
                </c:pt>
                <c:pt idx="136">
                  <c:v>2.3073282974499325E-2</c:v>
                </c:pt>
                <c:pt idx="137">
                  <c:v>2.3073282974499325E-2</c:v>
                </c:pt>
                <c:pt idx="138">
                  <c:v>2.3073282974499325E-2</c:v>
                </c:pt>
                <c:pt idx="139">
                  <c:v>2.3073282974499325E-2</c:v>
                </c:pt>
                <c:pt idx="140">
                  <c:v>2.3073282974499325E-2</c:v>
                </c:pt>
                <c:pt idx="141">
                  <c:v>2.3073282974499325E-2</c:v>
                </c:pt>
                <c:pt idx="142">
                  <c:v>2.3073282974499332E-2</c:v>
                </c:pt>
                <c:pt idx="143">
                  <c:v>2.3073282974499332E-2</c:v>
                </c:pt>
                <c:pt idx="144">
                  <c:v>2.3073282974499332E-2</c:v>
                </c:pt>
                <c:pt idx="145">
                  <c:v>4.8694108542555466E-2</c:v>
                </c:pt>
                <c:pt idx="146">
                  <c:v>5.9737659805723972E-2</c:v>
                </c:pt>
                <c:pt idx="147">
                  <c:v>5.9737659805723972E-2</c:v>
                </c:pt>
                <c:pt idx="148">
                  <c:v>5.9737659805723972E-2</c:v>
                </c:pt>
                <c:pt idx="149">
                  <c:v>5.9737659805723972E-2</c:v>
                </c:pt>
                <c:pt idx="150">
                  <c:v>5.9737659805723972E-2</c:v>
                </c:pt>
                <c:pt idx="151">
                  <c:v>5.9737659805723972E-2</c:v>
                </c:pt>
                <c:pt idx="152">
                  <c:v>5.9737659805723972E-2</c:v>
                </c:pt>
                <c:pt idx="153">
                  <c:v>5.9737659805723972E-2</c:v>
                </c:pt>
                <c:pt idx="154">
                  <c:v>5.9737659805723972E-2</c:v>
                </c:pt>
                <c:pt idx="155">
                  <c:v>5.9737659805723972E-2</c:v>
                </c:pt>
                <c:pt idx="156">
                  <c:v>5.9737659805723972E-2</c:v>
                </c:pt>
                <c:pt idx="157">
                  <c:v>5.3531492924801492E-2</c:v>
                </c:pt>
                <c:pt idx="158">
                  <c:v>4.8082875844836039E-2</c:v>
                </c:pt>
                <c:pt idx="159">
                  <c:v>0.10802080716099006</c:v>
                </c:pt>
                <c:pt idx="160">
                  <c:v>0.11307393853703522</c:v>
                </c:pt>
                <c:pt idx="161">
                  <c:v>0.12088014810442677</c:v>
                </c:pt>
                <c:pt idx="162">
                  <c:v>0.12845283480982211</c:v>
                </c:pt>
                <c:pt idx="163">
                  <c:v>0.12156078128724181</c:v>
                </c:pt>
                <c:pt idx="164">
                  <c:v>0.12246667786082979</c:v>
                </c:pt>
                <c:pt idx="165">
                  <c:v>0.1279053041055519</c:v>
                </c:pt>
                <c:pt idx="166">
                  <c:v>0.13298728761572792</c:v>
                </c:pt>
                <c:pt idx="167">
                  <c:v>2.4474532561448773E-2</c:v>
                </c:pt>
                <c:pt idx="168">
                  <c:v>2.4474532561448773E-2</c:v>
                </c:pt>
                <c:pt idx="169">
                  <c:v>2.4474532561448773E-2</c:v>
                </c:pt>
                <c:pt idx="170">
                  <c:v>2.4474532561448773E-2</c:v>
                </c:pt>
                <c:pt idx="171">
                  <c:v>2.4474532561448773E-2</c:v>
                </c:pt>
                <c:pt idx="172">
                  <c:v>2.4474532561448773E-2</c:v>
                </c:pt>
                <c:pt idx="173">
                  <c:v>2.4474532561448773E-2</c:v>
                </c:pt>
                <c:pt idx="174">
                  <c:v>2.4474532561448773E-2</c:v>
                </c:pt>
                <c:pt idx="175">
                  <c:v>2.4474532561448773E-2</c:v>
                </c:pt>
                <c:pt idx="176">
                  <c:v>2.4474532561448773E-2</c:v>
                </c:pt>
                <c:pt idx="177">
                  <c:v>2.4474532561448773E-2</c:v>
                </c:pt>
                <c:pt idx="178">
                  <c:v>0.16893518410665634</c:v>
                </c:pt>
                <c:pt idx="179">
                  <c:v>0.17111518696866321</c:v>
                </c:pt>
                <c:pt idx="180">
                  <c:v>0.173739182266924</c:v>
                </c:pt>
                <c:pt idx="181">
                  <c:v>0.17771373737774554</c:v>
                </c:pt>
                <c:pt idx="182">
                  <c:v>0.18011434126388132</c:v>
                </c:pt>
                <c:pt idx="183">
                  <c:v>0.17636805246354967</c:v>
                </c:pt>
                <c:pt idx="184">
                  <c:v>0.18733690618793777</c:v>
                </c:pt>
                <c:pt idx="185">
                  <c:v>0.1921603626695812</c:v>
                </c:pt>
                <c:pt idx="186">
                  <c:v>0.19742593248593066</c:v>
                </c:pt>
                <c:pt idx="187">
                  <c:v>0.20313361563698618</c:v>
                </c:pt>
                <c:pt idx="188">
                  <c:v>5.9737659805723972E-2</c:v>
                </c:pt>
                <c:pt idx="189">
                  <c:v>5.9737659805723972E-2</c:v>
                </c:pt>
                <c:pt idx="190">
                  <c:v>5.9737659805723972E-2</c:v>
                </c:pt>
                <c:pt idx="191">
                  <c:v>5.9737659805723972E-2</c:v>
                </c:pt>
                <c:pt idx="192">
                  <c:v>5.9737659805723972E-2</c:v>
                </c:pt>
                <c:pt idx="193">
                  <c:v>5.9737659805723972E-2</c:v>
                </c:pt>
                <c:pt idx="194">
                  <c:v>5.9737659805723972E-2</c:v>
                </c:pt>
                <c:pt idx="195">
                  <c:v>5.9737659805723972E-2</c:v>
                </c:pt>
                <c:pt idx="196">
                  <c:v>5.9737659805723972E-2</c:v>
                </c:pt>
                <c:pt idx="197">
                  <c:v>5.9737659805723972E-2</c:v>
                </c:pt>
                <c:pt idx="198">
                  <c:v>5.9737659805723972E-2</c:v>
                </c:pt>
                <c:pt idx="199">
                  <c:v>5.9737659805723972E-2</c:v>
                </c:pt>
                <c:pt idx="200">
                  <c:v>5.9737659805723972E-2</c:v>
                </c:pt>
                <c:pt idx="201">
                  <c:v>5.9737659805723972E-2</c:v>
                </c:pt>
                <c:pt idx="202">
                  <c:v>5.9737659805723972E-2</c:v>
                </c:pt>
                <c:pt idx="203">
                  <c:v>5.9737659805723972E-2</c:v>
                </c:pt>
                <c:pt idx="204">
                  <c:v>5.9737659805723972E-2</c:v>
                </c:pt>
                <c:pt idx="205">
                  <c:v>5.9737659805723972E-2</c:v>
                </c:pt>
                <c:pt idx="206">
                  <c:v>5.9737659805723972E-2</c:v>
                </c:pt>
                <c:pt idx="207">
                  <c:v>5.9737659805723972E-2</c:v>
                </c:pt>
                <c:pt idx="208">
                  <c:v>5.9737659805723972E-2</c:v>
                </c:pt>
                <c:pt idx="209">
                  <c:v>5.9737659805723972E-2</c:v>
                </c:pt>
                <c:pt idx="210">
                  <c:v>5.9737659805723972E-2</c:v>
                </c:pt>
                <c:pt idx="211">
                  <c:v>5.9737659805723972E-2</c:v>
                </c:pt>
                <c:pt idx="212">
                  <c:v>5.9737659805723972E-2</c:v>
                </c:pt>
                <c:pt idx="213">
                  <c:v>5.9737659805723972E-2</c:v>
                </c:pt>
                <c:pt idx="214">
                  <c:v>5.3531492924801492E-2</c:v>
                </c:pt>
                <c:pt idx="215">
                  <c:v>4.8082875844836039E-2</c:v>
                </c:pt>
                <c:pt idx="216">
                  <c:v>4.3091741307269046E-2</c:v>
                </c:pt>
                <c:pt idx="217">
                  <c:v>0.11619654690500357</c:v>
                </c:pt>
                <c:pt idx="218">
                  <c:v>0.12088014810442677</c:v>
                </c:pt>
                <c:pt idx="219">
                  <c:v>0.11771924441687411</c:v>
                </c:pt>
                <c:pt idx="220">
                  <c:v>0.11982111903399162</c:v>
                </c:pt>
                <c:pt idx="221">
                  <c:v>0.12864875805170717</c:v>
                </c:pt>
                <c:pt idx="222">
                  <c:v>0.12050473753945619</c:v>
                </c:pt>
                <c:pt idx="223">
                  <c:v>0.11157166184640568</c:v>
                </c:pt>
                <c:pt idx="224">
                  <c:v>2.7196863641449482E-2</c:v>
                </c:pt>
                <c:pt idx="225">
                  <c:v>2.7196863641449482E-2</c:v>
                </c:pt>
                <c:pt idx="226">
                  <c:v>2.7196863641449482E-2</c:v>
                </c:pt>
                <c:pt idx="227">
                  <c:v>2.7196863641449482E-2</c:v>
                </c:pt>
                <c:pt idx="228">
                  <c:v>2.7196863641449482E-2</c:v>
                </c:pt>
                <c:pt idx="229">
                  <c:v>2.7196863641449482E-2</c:v>
                </c:pt>
                <c:pt idx="230">
                  <c:v>2.7196863641449482E-2</c:v>
                </c:pt>
                <c:pt idx="231">
                  <c:v>2.7196863641449482E-2</c:v>
                </c:pt>
                <c:pt idx="232">
                  <c:v>2.7196863641449482E-2</c:v>
                </c:pt>
                <c:pt idx="233">
                  <c:v>2.7196863641449482E-2</c:v>
                </c:pt>
                <c:pt idx="234">
                  <c:v>2.7196863641449482E-2</c:v>
                </c:pt>
                <c:pt idx="235">
                  <c:v>2.7196863641449482E-2</c:v>
                </c:pt>
                <c:pt idx="236">
                  <c:v>0.10295712515834116</c:v>
                </c:pt>
                <c:pt idx="237">
                  <c:v>0.10392667722870878</c:v>
                </c:pt>
                <c:pt idx="238">
                  <c:v>0.10255106714733879</c:v>
                </c:pt>
                <c:pt idx="239">
                  <c:v>0.10315672138336468</c:v>
                </c:pt>
                <c:pt idx="240">
                  <c:v>0.1022213485733915</c:v>
                </c:pt>
                <c:pt idx="241">
                  <c:v>0.10211135625017792</c:v>
                </c:pt>
                <c:pt idx="242">
                  <c:v>0.1025007681603074</c:v>
                </c:pt>
                <c:pt idx="243">
                  <c:v>0.10671102528665732</c:v>
                </c:pt>
                <c:pt idx="244">
                  <c:v>0.10735413892172363</c:v>
                </c:pt>
                <c:pt idx="245">
                  <c:v>0.12004799704629088</c:v>
                </c:pt>
                <c:pt idx="246">
                  <c:v>0.120589628214909</c:v>
                </c:pt>
                <c:pt idx="247">
                  <c:v>0.12190685878134022</c:v>
                </c:pt>
                <c:pt idx="248">
                  <c:v>0.12152912505822436</c:v>
                </c:pt>
                <c:pt idx="249">
                  <c:v>0.12299891316577032</c:v>
                </c:pt>
                <c:pt idx="250">
                  <c:v>0.12265852822747385</c:v>
                </c:pt>
                <c:pt idx="251">
                  <c:v>5.0532235647039764E-2</c:v>
                </c:pt>
                <c:pt idx="252">
                  <c:v>5.4614527070210889E-2</c:v>
                </c:pt>
                <c:pt idx="253">
                  <c:v>5.9687391818091351E-2</c:v>
                </c:pt>
                <c:pt idx="254">
                  <c:v>5.9389075527499745E-2</c:v>
                </c:pt>
                <c:pt idx="255">
                  <c:v>5.9389075527499745E-2</c:v>
                </c:pt>
                <c:pt idx="256">
                  <c:v>5.9389075527499745E-2</c:v>
                </c:pt>
                <c:pt idx="257">
                  <c:v>5.9389075527499745E-2</c:v>
                </c:pt>
                <c:pt idx="258">
                  <c:v>5.9389075527499745E-2</c:v>
                </c:pt>
                <c:pt idx="259">
                  <c:v>5.9389075527499745E-2</c:v>
                </c:pt>
                <c:pt idx="260">
                  <c:v>5.9389075527499745E-2</c:v>
                </c:pt>
                <c:pt idx="261">
                  <c:v>5.9389075527499745E-2</c:v>
                </c:pt>
                <c:pt idx="262">
                  <c:v>5.9389075527499745E-2</c:v>
                </c:pt>
                <c:pt idx="263">
                  <c:v>5.9389075527499745E-2</c:v>
                </c:pt>
                <c:pt idx="264">
                  <c:v>5.9389075527499745E-2</c:v>
                </c:pt>
                <c:pt idx="265">
                  <c:v>6.1000617420397141E-2</c:v>
                </c:pt>
                <c:pt idx="266">
                  <c:v>5.9737659805723972E-2</c:v>
                </c:pt>
                <c:pt idx="267">
                  <c:v>4.7817141542029047E-2</c:v>
                </c:pt>
                <c:pt idx="268">
                  <c:v>1.3093695597798981E-2</c:v>
                </c:pt>
                <c:pt idx="269">
                  <c:v>1.0714104860959101E-2</c:v>
                </c:pt>
                <c:pt idx="270">
                  <c:v>7.818837721457781E-3</c:v>
                </c:pt>
                <c:pt idx="271">
                  <c:v>8.4041607473836308E-2</c:v>
                </c:pt>
                <c:pt idx="272">
                  <c:v>8.4041607473836308E-2</c:v>
                </c:pt>
                <c:pt idx="273">
                  <c:v>8.4041607473836308E-2</c:v>
                </c:pt>
                <c:pt idx="274">
                  <c:v>8.4041607473836308E-2</c:v>
                </c:pt>
                <c:pt idx="275">
                  <c:v>8.4041607473836308E-2</c:v>
                </c:pt>
                <c:pt idx="276">
                  <c:v>8.4041607473836308E-2</c:v>
                </c:pt>
                <c:pt idx="277">
                  <c:v>8.4041607473836308E-2</c:v>
                </c:pt>
                <c:pt idx="278">
                  <c:v>8.404160747383628E-2</c:v>
                </c:pt>
                <c:pt idx="279">
                  <c:v>8.404160747383628E-2</c:v>
                </c:pt>
                <c:pt idx="280">
                  <c:v>8.404160747383628E-2</c:v>
                </c:pt>
                <c:pt idx="281">
                  <c:v>8.404160747383628E-2</c:v>
                </c:pt>
                <c:pt idx="282">
                  <c:v>8.404160747383628E-2</c:v>
                </c:pt>
                <c:pt idx="283">
                  <c:v>8.404160747383628E-2</c:v>
                </c:pt>
                <c:pt idx="284">
                  <c:v>8.404160747383628E-2</c:v>
                </c:pt>
                <c:pt idx="285">
                  <c:v>0.21472337371178674</c:v>
                </c:pt>
                <c:pt idx="286">
                  <c:v>5.4980544812169387E-2</c:v>
                </c:pt>
                <c:pt idx="287">
                  <c:v>5.7410860076330984E-2</c:v>
                </c:pt>
                <c:pt idx="288">
                  <c:v>5.95113852066423E-2</c:v>
                </c:pt>
                <c:pt idx="289">
                  <c:v>5.9389075527499745E-2</c:v>
                </c:pt>
                <c:pt idx="290">
                  <c:v>5.9389075527499745E-2</c:v>
                </c:pt>
                <c:pt idx="291">
                  <c:v>5.9389075527499745E-2</c:v>
                </c:pt>
                <c:pt idx="292">
                  <c:v>5.9389075527499745E-2</c:v>
                </c:pt>
                <c:pt idx="293">
                  <c:v>5.9389075527499745E-2</c:v>
                </c:pt>
                <c:pt idx="294">
                  <c:v>5.9389075527499745E-2</c:v>
                </c:pt>
                <c:pt idx="295">
                  <c:v>5.9389075527499745E-2</c:v>
                </c:pt>
                <c:pt idx="296">
                  <c:v>9.6625939561975141E-2</c:v>
                </c:pt>
                <c:pt idx="297">
                  <c:v>0.10298514750701984</c:v>
                </c:pt>
                <c:pt idx="298">
                  <c:v>0.10848038204766046</c:v>
                </c:pt>
                <c:pt idx="299">
                  <c:v>0.11662057789844452</c:v>
                </c:pt>
                <c:pt idx="300">
                  <c:v>0.12455632857794051</c:v>
                </c:pt>
                <c:pt idx="301">
                  <c:v>0.11842267173451758</c:v>
                </c:pt>
                <c:pt idx="302">
                  <c:v>0.11982111903399162</c:v>
                </c:pt>
                <c:pt idx="303">
                  <c:v>0.12621085716667596</c:v>
                </c:pt>
                <c:pt idx="304">
                  <c:v>0.12846591070053393</c:v>
                </c:pt>
                <c:pt idx="305">
                  <c:v>2.6144649760067567E-2</c:v>
                </c:pt>
                <c:pt idx="306">
                  <c:v>2.6144649760067567E-2</c:v>
                </c:pt>
                <c:pt idx="307">
                  <c:v>2.6144649760067567E-2</c:v>
                </c:pt>
                <c:pt idx="308">
                  <c:v>2.6144649760067567E-2</c:v>
                </c:pt>
                <c:pt idx="309">
                  <c:v>2.6144649760067567E-2</c:v>
                </c:pt>
                <c:pt idx="310">
                  <c:v>2.6144649760067567E-2</c:v>
                </c:pt>
                <c:pt idx="311">
                  <c:v>2.6144649760067567E-2</c:v>
                </c:pt>
                <c:pt idx="312">
                  <c:v>2.6144649760067567E-2</c:v>
                </c:pt>
                <c:pt idx="313">
                  <c:v>9.7482851821240252E-2</c:v>
                </c:pt>
                <c:pt idx="314">
                  <c:v>0.11174922446559366</c:v>
                </c:pt>
                <c:pt idx="315">
                  <c:v>0.1096390171485716</c:v>
                </c:pt>
                <c:pt idx="316">
                  <c:v>0.10787555321952036</c:v>
                </c:pt>
                <c:pt idx="317">
                  <c:v>0.10613841185196254</c:v>
                </c:pt>
                <c:pt idx="318">
                  <c:v>0.1073411566166934</c:v>
                </c:pt>
                <c:pt idx="319">
                  <c:v>0.10814420821757097</c:v>
                </c:pt>
                <c:pt idx="320">
                  <c:v>0.10936879665550697</c:v>
                </c:pt>
                <c:pt idx="321">
                  <c:v>0.11133813701754064</c:v>
                </c:pt>
                <c:pt idx="322">
                  <c:v>0.11342118063373331</c:v>
                </c:pt>
                <c:pt idx="323">
                  <c:v>5.9080366472173745E-3</c:v>
                </c:pt>
                <c:pt idx="324">
                  <c:v>9.4602663571913303E-4</c:v>
                </c:pt>
                <c:pt idx="325">
                  <c:v>4.470796392415077E-3</c:v>
                </c:pt>
                <c:pt idx="326">
                  <c:v>1.0342432437185235E-2</c:v>
                </c:pt>
                <c:pt idx="327">
                  <c:v>1.0044116146593634E-2</c:v>
                </c:pt>
                <c:pt idx="328">
                  <c:v>0.14626052926456951</c:v>
                </c:pt>
                <c:pt idx="329">
                  <c:v>0.15306251948035854</c:v>
                </c:pt>
                <c:pt idx="330">
                  <c:v>0.14598329529353682</c:v>
                </c:pt>
                <c:pt idx="331">
                  <c:v>0.15348992430014236</c:v>
                </c:pt>
                <c:pt idx="332">
                  <c:v>0.16073635643044573</c:v>
                </c:pt>
                <c:pt idx="333">
                  <c:v>0.16769464594449945</c:v>
                </c:pt>
                <c:pt idx="334">
                  <c:v>0.16838795962465528</c:v>
                </c:pt>
                <c:pt idx="335">
                  <c:v>0.12232326622487232</c:v>
                </c:pt>
                <c:pt idx="336">
                  <c:v>7.6642861778470781E-2</c:v>
                </c:pt>
                <c:pt idx="337">
                  <c:v>8.0423533982997716E-2</c:v>
                </c:pt>
                <c:pt idx="338">
                  <c:v>8.1827757222783765E-2</c:v>
                </c:pt>
                <c:pt idx="339">
                  <c:v>7.6874272756979098E-2</c:v>
                </c:pt>
                <c:pt idx="340">
                  <c:v>7.6874272756979098E-2</c:v>
                </c:pt>
                <c:pt idx="341">
                  <c:v>7.6874272756979098E-2</c:v>
                </c:pt>
                <c:pt idx="342">
                  <c:v>7.6874272756979098E-2</c:v>
                </c:pt>
                <c:pt idx="343">
                  <c:v>0.14004907085044999</c:v>
                </c:pt>
                <c:pt idx="344">
                  <c:v>0.14878345416547958</c:v>
                </c:pt>
                <c:pt idx="345">
                  <c:v>0.14584654212950734</c:v>
                </c:pt>
                <c:pt idx="346">
                  <c:v>0.1458559686914013</c:v>
                </c:pt>
                <c:pt idx="347">
                  <c:v>0.15289299653711333</c:v>
                </c:pt>
                <c:pt idx="348">
                  <c:v>0.15181132290427557</c:v>
                </c:pt>
                <c:pt idx="349">
                  <c:v>0.15144091865795659</c:v>
                </c:pt>
                <c:pt idx="350">
                  <c:v>9.0740120924749201E-2</c:v>
                </c:pt>
                <c:pt idx="351">
                  <c:v>9.1593263798875724E-2</c:v>
                </c:pt>
                <c:pt idx="352">
                  <c:v>9.1949868323396397E-2</c:v>
                </c:pt>
                <c:pt idx="353">
                  <c:v>9.261766401259601E-2</c:v>
                </c:pt>
                <c:pt idx="354">
                  <c:v>9.3904262086782361E-2</c:v>
                </c:pt>
                <c:pt idx="355">
                  <c:v>9.5062888977292509E-2</c:v>
                </c:pt>
                <c:pt idx="356">
                  <c:v>9.7719923946271936E-2</c:v>
                </c:pt>
                <c:pt idx="357">
                  <c:v>9.9062192043257891E-2</c:v>
                </c:pt>
                <c:pt idx="358">
                  <c:v>0.10574006675713445</c:v>
                </c:pt>
                <c:pt idx="359">
                  <c:v>0.10803544281067312</c:v>
                </c:pt>
                <c:pt idx="360">
                  <c:v>0.11232699356690833</c:v>
                </c:pt>
                <c:pt idx="361">
                  <c:v>0.11202867727631674</c:v>
                </c:pt>
                <c:pt idx="362">
                  <c:v>0.11202867727631674</c:v>
                </c:pt>
                <c:pt idx="363">
                  <c:v>0.11202867727631674</c:v>
                </c:pt>
                <c:pt idx="364">
                  <c:v>0.11202867727631674</c:v>
                </c:pt>
                <c:pt idx="365">
                  <c:v>0.11202867727631674</c:v>
                </c:pt>
                <c:pt idx="366">
                  <c:v>0.11202867727631674</c:v>
                </c:pt>
                <c:pt idx="367">
                  <c:v>4.6293587290014192E-3</c:v>
                </c:pt>
                <c:pt idx="368">
                  <c:v>8.9233887775409595E-3</c:v>
                </c:pt>
                <c:pt idx="369">
                  <c:v>1.2971444745342012E-2</c:v>
                </c:pt>
                <c:pt idx="370">
                  <c:v>1.7245261051227666E-2</c:v>
                </c:pt>
                <c:pt idx="371">
                  <c:v>2.1477189166837843E-2</c:v>
                </c:pt>
                <c:pt idx="372">
                  <c:v>2.5642694790637584E-2</c:v>
                </c:pt>
                <c:pt idx="373">
                  <c:v>2.9116671139915448E-2</c:v>
                </c:pt>
                <c:pt idx="374">
                  <c:v>3.2585641114544386E-2</c:v>
                </c:pt>
                <c:pt idx="375">
                  <c:v>3.5848512146440754E-2</c:v>
                </c:pt>
                <c:pt idx="376">
                  <c:v>3.8892264428660742E-2</c:v>
                </c:pt>
                <c:pt idx="377">
                  <c:v>4.4094971597291477E-2</c:v>
                </c:pt>
                <c:pt idx="378">
                  <c:v>4.3543655760845651E-2</c:v>
                </c:pt>
                <c:pt idx="379">
                  <c:v>4.5161538383945203E-2</c:v>
                </c:pt>
                <c:pt idx="380">
                  <c:v>4.6478699329888719E-2</c:v>
                </c:pt>
                <c:pt idx="381">
                  <c:v>7.364709729355623E-2</c:v>
                </c:pt>
                <c:pt idx="382">
                  <c:v>7.364709729355623E-2</c:v>
                </c:pt>
                <c:pt idx="383">
                  <c:v>7.364709729355623E-2</c:v>
                </c:pt>
                <c:pt idx="384">
                  <c:v>7.364709729355623E-2</c:v>
                </c:pt>
                <c:pt idx="385">
                  <c:v>7.364709729355623E-2</c:v>
                </c:pt>
                <c:pt idx="386">
                  <c:v>7.364709729355623E-2</c:v>
                </c:pt>
                <c:pt idx="387">
                  <c:v>7.364709729355623E-2</c:v>
                </c:pt>
                <c:pt idx="388">
                  <c:v>7.364709729355623E-2</c:v>
                </c:pt>
                <c:pt idx="389">
                  <c:v>7.364709729355623E-2</c:v>
                </c:pt>
                <c:pt idx="390">
                  <c:v>7.364709729355623E-2</c:v>
                </c:pt>
                <c:pt idx="391">
                  <c:v>0.15228914883543851</c:v>
                </c:pt>
                <c:pt idx="392">
                  <c:v>0.17201231800773609</c:v>
                </c:pt>
                <c:pt idx="393">
                  <c:v>0.18527509967608663</c:v>
                </c:pt>
                <c:pt idx="394">
                  <c:v>0.18242646595208734</c:v>
                </c:pt>
                <c:pt idx="395">
                  <c:v>0.17232047397092654</c:v>
                </c:pt>
                <c:pt idx="396">
                  <c:v>0.20643426778062157</c:v>
                </c:pt>
                <c:pt idx="397">
                  <c:v>0.22767723807571491</c:v>
                </c:pt>
                <c:pt idx="398">
                  <c:v>0.2317900190890648</c:v>
                </c:pt>
                <c:pt idx="399">
                  <c:v>0.24427284510413272</c:v>
                </c:pt>
                <c:pt idx="400">
                  <c:v>0.24930156417681051</c:v>
                </c:pt>
                <c:pt idx="401">
                  <c:v>0.25478088531693255</c:v>
                </c:pt>
                <c:pt idx="402">
                  <c:v>0.22272073691107322</c:v>
                </c:pt>
                <c:pt idx="403">
                  <c:v>4.6293587290014192E-3</c:v>
                </c:pt>
                <c:pt idx="404">
                  <c:v>9.2123833566214522E-3</c:v>
                </c:pt>
                <c:pt idx="405">
                  <c:v>1.2916491488944257E-2</c:v>
                </c:pt>
                <c:pt idx="406">
                  <c:v>1.7182557493180914E-2</c:v>
                </c:pt>
                <c:pt idx="407">
                  <c:v>2.0209425026026892E-2</c:v>
                </c:pt>
                <c:pt idx="408">
                  <c:v>2.3985471814070999E-2</c:v>
                </c:pt>
                <c:pt idx="409">
                  <c:v>2.7232662405405703E-2</c:v>
                </c:pt>
                <c:pt idx="410">
                  <c:v>3.0700604556800626E-2</c:v>
                </c:pt>
                <c:pt idx="411">
                  <c:v>9.0569434293743603E-2</c:v>
                </c:pt>
                <c:pt idx="412">
                  <c:v>9.0569434293743603E-2</c:v>
                </c:pt>
                <c:pt idx="413">
                  <c:v>9.0569434293743603E-2</c:v>
                </c:pt>
                <c:pt idx="414">
                  <c:v>9.0569434293743603E-2</c:v>
                </c:pt>
                <c:pt idx="415">
                  <c:v>9.0569434293743603E-2</c:v>
                </c:pt>
                <c:pt idx="416">
                  <c:v>9.0569434293743603E-2</c:v>
                </c:pt>
                <c:pt idx="417">
                  <c:v>0.19410293089297737</c:v>
                </c:pt>
                <c:pt idx="418">
                  <c:v>0.1928259566572289</c:v>
                </c:pt>
                <c:pt idx="419">
                  <c:v>0.19166945842277414</c:v>
                </c:pt>
                <c:pt idx="420">
                  <c:v>9.7426873803727596E-2</c:v>
                </c:pt>
                <c:pt idx="421">
                  <c:v>0.1002658909039708</c:v>
                </c:pt>
                <c:pt idx="422">
                  <c:v>0.10361551530834369</c:v>
                </c:pt>
                <c:pt idx="423">
                  <c:v>0.10780604874037319</c:v>
                </c:pt>
                <c:pt idx="424">
                  <c:v>0.11225241449426043</c:v>
                </c:pt>
                <c:pt idx="425">
                  <c:v>0.11202867727631674</c:v>
                </c:pt>
                <c:pt idx="426">
                  <c:v>0.11202867727631674</c:v>
                </c:pt>
                <c:pt idx="427">
                  <c:v>0.11202867727631674</c:v>
                </c:pt>
                <c:pt idx="428">
                  <c:v>0.11202867727631674</c:v>
                </c:pt>
                <c:pt idx="429">
                  <c:v>0.11202867727631674</c:v>
                </c:pt>
                <c:pt idx="430">
                  <c:v>0.11202867727631674</c:v>
                </c:pt>
                <c:pt idx="431">
                  <c:v>0.11202867727631674</c:v>
                </c:pt>
                <c:pt idx="432">
                  <c:v>0.11202867727631674</c:v>
                </c:pt>
                <c:pt idx="433">
                  <c:v>0.11202867727631674</c:v>
                </c:pt>
                <c:pt idx="434">
                  <c:v>0.11202867727631674</c:v>
                </c:pt>
                <c:pt idx="435">
                  <c:v>0.11202867727631674</c:v>
                </c:pt>
                <c:pt idx="436">
                  <c:v>0.11202867727631674</c:v>
                </c:pt>
                <c:pt idx="437">
                  <c:v>0.11202867727631674</c:v>
                </c:pt>
                <c:pt idx="438">
                  <c:v>0.11202867727631674</c:v>
                </c:pt>
                <c:pt idx="439">
                  <c:v>0.11202867727631674</c:v>
                </c:pt>
                <c:pt idx="440">
                  <c:v>0.11202867727631674</c:v>
                </c:pt>
                <c:pt idx="441">
                  <c:v>0.11202867727631674</c:v>
                </c:pt>
                <c:pt idx="442">
                  <c:v>0.11202867727631674</c:v>
                </c:pt>
                <c:pt idx="443">
                  <c:v>0.11202867727631674</c:v>
                </c:pt>
                <c:pt idx="444">
                  <c:v>0.11202867727631674</c:v>
                </c:pt>
                <c:pt idx="445">
                  <c:v>0.11202867727631674</c:v>
                </c:pt>
                <c:pt idx="446">
                  <c:v>0.11202867727631674</c:v>
                </c:pt>
                <c:pt idx="447">
                  <c:v>0.11202867727631674</c:v>
                </c:pt>
                <c:pt idx="448">
                  <c:v>0.11202867727631674</c:v>
                </c:pt>
                <c:pt idx="449">
                  <c:v>0.11202867727631674</c:v>
                </c:pt>
                <c:pt idx="450">
                  <c:v>0.11202867727631674</c:v>
                </c:pt>
                <c:pt idx="451">
                  <c:v>0.11202867727631674</c:v>
                </c:pt>
                <c:pt idx="452">
                  <c:v>0.11202867727631674</c:v>
                </c:pt>
                <c:pt idx="453">
                  <c:v>0.11202867727631674</c:v>
                </c:pt>
                <c:pt idx="454">
                  <c:v>0.11202867727631674</c:v>
                </c:pt>
                <c:pt idx="455">
                  <c:v>0.11202867727631674</c:v>
                </c:pt>
                <c:pt idx="456">
                  <c:v>0.11202867727631674</c:v>
                </c:pt>
                <c:pt idx="457">
                  <c:v>0.11202867727631674</c:v>
                </c:pt>
                <c:pt idx="458">
                  <c:v>0.11202867727631674</c:v>
                </c:pt>
                <c:pt idx="459">
                  <c:v>0.11202867727631674</c:v>
                </c:pt>
                <c:pt idx="460">
                  <c:v>0.11202867727631674</c:v>
                </c:pt>
                <c:pt idx="461">
                  <c:v>0.11202867727631674</c:v>
                </c:pt>
                <c:pt idx="462">
                  <c:v>0.11202867727631674</c:v>
                </c:pt>
                <c:pt idx="463">
                  <c:v>0.11202867727631674</c:v>
                </c:pt>
                <c:pt idx="464">
                  <c:v>0.11202867727631674</c:v>
                </c:pt>
                <c:pt idx="465">
                  <c:v>0.11202867727631674</c:v>
                </c:pt>
                <c:pt idx="466">
                  <c:v>0.11202867727631674</c:v>
                </c:pt>
                <c:pt idx="467">
                  <c:v>0.11202867727631674</c:v>
                </c:pt>
                <c:pt idx="468">
                  <c:v>0.11202867727631674</c:v>
                </c:pt>
                <c:pt idx="469">
                  <c:v>0.11202867727631674</c:v>
                </c:pt>
                <c:pt idx="470">
                  <c:v>0.11202867727631674</c:v>
                </c:pt>
                <c:pt idx="471">
                  <c:v>0.11202867727631674</c:v>
                </c:pt>
                <c:pt idx="472">
                  <c:v>0.11202867727631674</c:v>
                </c:pt>
                <c:pt idx="473">
                  <c:v>4.6293587290014192E-3</c:v>
                </c:pt>
                <c:pt idx="474">
                  <c:v>8.9233887775409595E-3</c:v>
                </c:pt>
                <c:pt idx="475">
                  <c:v>1.2971444745342012E-2</c:v>
                </c:pt>
                <c:pt idx="476">
                  <c:v>1.7245261051227666E-2</c:v>
                </c:pt>
                <c:pt idx="477">
                  <c:v>2.1477189166837843E-2</c:v>
                </c:pt>
                <c:pt idx="478">
                  <c:v>2.5642694790637584E-2</c:v>
                </c:pt>
                <c:pt idx="479">
                  <c:v>2.9116671139915448E-2</c:v>
                </c:pt>
                <c:pt idx="480">
                  <c:v>3.2585641114544386E-2</c:v>
                </c:pt>
                <c:pt idx="481">
                  <c:v>3.6330571788737477E-2</c:v>
                </c:pt>
                <c:pt idx="482">
                  <c:v>3.9381387325620333E-2</c:v>
                </c:pt>
                <c:pt idx="483">
                  <c:v>4.4619606600823543E-2</c:v>
                </c:pt>
                <c:pt idx="484">
                  <c:v>4.3543655760845651E-2</c:v>
                </c:pt>
                <c:pt idx="485">
                  <c:v>4.5161538383945203E-2</c:v>
                </c:pt>
                <c:pt idx="486">
                  <c:v>7.4776642762750783E-2</c:v>
                </c:pt>
                <c:pt idx="487">
                  <c:v>7.4776642762750783E-2</c:v>
                </c:pt>
                <c:pt idx="488">
                  <c:v>7.4776642762750783E-2</c:v>
                </c:pt>
                <c:pt idx="489">
                  <c:v>7.4776642762750783E-2</c:v>
                </c:pt>
                <c:pt idx="490">
                  <c:v>7.4776642762750783E-2</c:v>
                </c:pt>
                <c:pt idx="491">
                  <c:v>7.4776642762750783E-2</c:v>
                </c:pt>
                <c:pt idx="492">
                  <c:v>7.4776642762750783E-2</c:v>
                </c:pt>
                <c:pt idx="493">
                  <c:v>0.15341135314687732</c:v>
                </c:pt>
                <c:pt idx="494">
                  <c:v>0.17312382866908954</c:v>
                </c:pt>
                <c:pt idx="495">
                  <c:v>0.18671176153576632</c:v>
                </c:pt>
                <c:pt idx="496">
                  <c:v>0.18407058897848302</c:v>
                </c:pt>
                <c:pt idx="497">
                  <c:v>0.17445855999700377</c:v>
                </c:pt>
                <c:pt idx="498">
                  <c:v>0.19816771235272956</c:v>
                </c:pt>
                <c:pt idx="499">
                  <c:v>0.19695036733959398</c:v>
                </c:pt>
                <c:pt idx="500">
                  <c:v>0.19585873815399221</c:v>
                </c:pt>
                <c:pt idx="501">
                  <c:v>9.7841376765367832E-2</c:v>
                </c:pt>
                <c:pt idx="502">
                  <c:v>0.1025382194853949</c:v>
                </c:pt>
                <c:pt idx="503">
                  <c:v>0.1070801974213175</c:v>
                </c:pt>
                <c:pt idx="504">
                  <c:v>0.11232699356690833</c:v>
                </c:pt>
                <c:pt idx="505">
                  <c:v>0.11202867727631674</c:v>
                </c:pt>
                <c:pt idx="506">
                  <c:v>0.11202867727631674</c:v>
                </c:pt>
                <c:pt idx="507">
                  <c:v>0.11202867727631674</c:v>
                </c:pt>
                <c:pt idx="508">
                  <c:v>0.11202867727631674</c:v>
                </c:pt>
                <c:pt idx="509">
                  <c:v>0.11202867727631674</c:v>
                </c:pt>
                <c:pt idx="510">
                  <c:v>0.11202867727631674</c:v>
                </c:pt>
                <c:pt idx="511">
                  <c:v>0.11202867727631674</c:v>
                </c:pt>
                <c:pt idx="512">
                  <c:v>0.11202867727631674</c:v>
                </c:pt>
                <c:pt idx="513">
                  <c:v>0.11202867727631674</c:v>
                </c:pt>
                <c:pt idx="514">
                  <c:v>0.11202867727631674</c:v>
                </c:pt>
                <c:pt idx="515">
                  <c:v>0.11202867727631674</c:v>
                </c:pt>
                <c:pt idx="516">
                  <c:v>0.11202867727631674</c:v>
                </c:pt>
                <c:pt idx="517">
                  <c:v>0.11202867727631674</c:v>
                </c:pt>
                <c:pt idx="518">
                  <c:v>0.11202867727631674</c:v>
                </c:pt>
                <c:pt idx="519">
                  <c:v>0.11202867727631674</c:v>
                </c:pt>
                <c:pt idx="520">
                  <c:v>0.11202867727631674</c:v>
                </c:pt>
                <c:pt idx="521">
                  <c:v>0.11202867727631674</c:v>
                </c:pt>
                <c:pt idx="522">
                  <c:v>0.11202867727631674</c:v>
                </c:pt>
                <c:pt idx="523">
                  <c:v>0.11202867727631674</c:v>
                </c:pt>
                <c:pt idx="524">
                  <c:v>0.11202867727631674</c:v>
                </c:pt>
                <c:pt idx="525">
                  <c:v>0.11202867727631674</c:v>
                </c:pt>
                <c:pt idx="526">
                  <c:v>0.11202867727631674</c:v>
                </c:pt>
                <c:pt idx="527">
                  <c:v>0.10798871563608106</c:v>
                </c:pt>
                <c:pt idx="528">
                  <c:v>0.10469933349524084</c:v>
                </c:pt>
                <c:pt idx="529">
                  <c:v>0.10113468578075777</c:v>
                </c:pt>
                <c:pt idx="530">
                  <c:v>1.7245261051227666E-2</c:v>
                </c:pt>
                <c:pt idx="531">
                  <c:v>2.1477189166837843E-2</c:v>
                </c:pt>
                <c:pt idx="532">
                  <c:v>2.5642694790637584E-2</c:v>
                </c:pt>
                <c:pt idx="533">
                  <c:v>2.9116671139915448E-2</c:v>
                </c:pt>
                <c:pt idx="534">
                  <c:v>3.2585641114544386E-2</c:v>
                </c:pt>
                <c:pt idx="535">
                  <c:v>3.5848512146440754E-2</c:v>
                </c:pt>
                <c:pt idx="536">
                  <c:v>3.8330634683288838E-2</c:v>
                </c:pt>
                <c:pt idx="537">
                  <c:v>8.1876977821414509E-2</c:v>
                </c:pt>
                <c:pt idx="538">
                  <c:v>8.1876977821414509E-2</c:v>
                </c:pt>
                <c:pt idx="539">
                  <c:v>8.1876977821414509E-2</c:v>
                </c:pt>
                <c:pt idx="540">
                  <c:v>8.1876977821414509E-2</c:v>
                </c:pt>
                <c:pt idx="541">
                  <c:v>8.1876977821414509E-2</c:v>
                </c:pt>
                <c:pt idx="542">
                  <c:v>8.1876977821414509E-2</c:v>
                </c:pt>
                <c:pt idx="543">
                  <c:v>8.1876977821414509E-2</c:v>
                </c:pt>
                <c:pt idx="544">
                  <c:v>0.18407058897848302</c:v>
                </c:pt>
                <c:pt idx="545">
                  <c:v>0.17445855999700377</c:v>
                </c:pt>
                <c:pt idx="546">
                  <c:v>0.19816771235272956</c:v>
                </c:pt>
                <c:pt idx="547">
                  <c:v>0.19695036733959398</c:v>
                </c:pt>
                <c:pt idx="548">
                  <c:v>9.7312190640496371E-2</c:v>
                </c:pt>
                <c:pt idx="549">
                  <c:v>9.7841376765367832E-2</c:v>
                </c:pt>
                <c:pt idx="550">
                  <c:v>0.1025382194853949</c:v>
                </c:pt>
                <c:pt idx="551">
                  <c:v>0.1070801974213175</c:v>
                </c:pt>
                <c:pt idx="552">
                  <c:v>0.11232699356690833</c:v>
                </c:pt>
                <c:pt idx="553">
                  <c:v>0.11202867727631674</c:v>
                </c:pt>
                <c:pt idx="554">
                  <c:v>0.11202867727631674</c:v>
                </c:pt>
                <c:pt idx="555">
                  <c:v>0.11202867727631674</c:v>
                </c:pt>
                <c:pt idx="556">
                  <c:v>0.11202867727631674</c:v>
                </c:pt>
                <c:pt idx="557">
                  <c:v>0.11202867727631674</c:v>
                </c:pt>
                <c:pt idx="558">
                  <c:v>0.11202867727631674</c:v>
                </c:pt>
                <c:pt idx="559">
                  <c:v>0.10735857430448581</c:v>
                </c:pt>
                <c:pt idx="560">
                  <c:v>8.8444885040250571E-3</c:v>
                </c:pt>
                <c:pt idx="561">
                  <c:v>1.2916491488944257E-2</c:v>
                </c:pt>
                <c:pt idx="562">
                  <c:v>1.6720801965667956E-2</c:v>
                </c:pt>
                <c:pt idx="563">
                  <c:v>2.0843307096432361E-2</c:v>
                </c:pt>
                <c:pt idx="564">
                  <c:v>2.4907567835897971E-2</c:v>
                </c:pt>
                <c:pt idx="565">
                  <c:v>2.8889049882529893E-2</c:v>
                </c:pt>
                <c:pt idx="566">
                  <c:v>3.2101088626279875E-2</c:v>
                </c:pt>
                <c:pt idx="567">
                  <c:v>3.5323251061798566E-2</c:v>
                </c:pt>
                <c:pt idx="568">
                  <c:v>3.8330634683288838E-2</c:v>
                </c:pt>
                <c:pt idx="569">
                  <c:v>4.1110219683806834E-2</c:v>
                </c:pt>
                <c:pt idx="570">
                  <c:v>4.6151602546591459E-2</c:v>
                </c:pt>
                <c:pt idx="571">
                  <c:v>4.4672113203319652E-2</c:v>
                </c:pt>
                <c:pt idx="572">
                  <c:v>4.5989274149263161E-2</c:v>
                </c:pt>
                <c:pt idx="573">
                  <c:v>7.364709729355623E-2</c:v>
                </c:pt>
                <c:pt idx="574">
                  <c:v>7.364709729355623E-2</c:v>
                </c:pt>
                <c:pt idx="575">
                  <c:v>7.364709729355623E-2</c:v>
                </c:pt>
                <c:pt idx="576">
                  <c:v>7.364709729355623E-2</c:v>
                </c:pt>
                <c:pt idx="577">
                  <c:v>7.364709729355623E-2</c:v>
                </c:pt>
                <c:pt idx="578">
                  <c:v>7.364709729355623E-2</c:v>
                </c:pt>
                <c:pt idx="579">
                  <c:v>7.364709729355623E-2</c:v>
                </c:pt>
                <c:pt idx="580">
                  <c:v>7.364709729355623E-2</c:v>
                </c:pt>
                <c:pt idx="581">
                  <c:v>7.364709729355623E-2</c:v>
                </c:pt>
                <c:pt idx="582">
                  <c:v>7.364709729355623E-2</c:v>
                </c:pt>
                <c:pt idx="583">
                  <c:v>7.364709729355623E-2</c:v>
                </c:pt>
                <c:pt idx="584">
                  <c:v>0.10236561674377671</c:v>
                </c:pt>
                <c:pt idx="585">
                  <c:v>0.11776057758529132</c:v>
                </c:pt>
                <c:pt idx="586">
                  <c:v>0.11097127345128036</c:v>
                </c:pt>
                <c:pt idx="587">
                  <c:v>0.11352620844364664</c:v>
                </c:pt>
                <c:pt idx="588">
                  <c:v>0.12773390140963864</c:v>
                </c:pt>
                <c:pt idx="589">
                  <c:v>0.1876154714865845</c:v>
                </c:pt>
                <c:pt idx="590">
                  <c:v>0.1870903195428848</c:v>
                </c:pt>
                <c:pt idx="591">
                  <c:v>0.18421242306892632</c:v>
                </c:pt>
                <c:pt idx="592">
                  <c:v>0.22540821966083294</c:v>
                </c:pt>
                <c:pt idx="593">
                  <c:v>0.23610920862172771</c:v>
                </c:pt>
                <c:pt idx="594">
                  <c:v>0.23865874532018977</c:v>
                </c:pt>
                <c:pt idx="595">
                  <c:v>0.23827407057910946</c:v>
                </c:pt>
                <c:pt idx="596">
                  <c:v>0.15996504280451479</c:v>
                </c:pt>
                <c:pt idx="597">
                  <c:v>0.16076782027873499</c:v>
                </c:pt>
                <c:pt idx="598">
                  <c:v>0.16277624984393116</c:v>
                </c:pt>
                <c:pt idx="599">
                  <c:v>0.16429959725373661</c:v>
                </c:pt>
                <c:pt idx="600">
                  <c:v>0.16668888491252978</c:v>
                </c:pt>
                <c:pt idx="601">
                  <c:v>0.1684952050009707</c:v>
                </c:pt>
                <c:pt idx="602">
                  <c:v>0.18334226400853251</c:v>
                </c:pt>
                <c:pt idx="603">
                  <c:v>0.18316327423417753</c:v>
                </c:pt>
                <c:pt idx="604">
                  <c:v>0.18316327423417753</c:v>
                </c:pt>
                <c:pt idx="605">
                  <c:v>0.18316327423417753</c:v>
                </c:pt>
                <c:pt idx="606">
                  <c:v>0.18316327423417753</c:v>
                </c:pt>
                <c:pt idx="607">
                  <c:v>0.18316327423417753</c:v>
                </c:pt>
                <c:pt idx="608">
                  <c:v>0.22053995399553974</c:v>
                </c:pt>
                <c:pt idx="609">
                  <c:v>0.21480999763627015</c:v>
                </c:pt>
                <c:pt idx="610">
                  <c:v>0.2149529013509128</c:v>
                </c:pt>
                <c:pt idx="611">
                  <c:v>0.22094883488359929</c:v>
                </c:pt>
                <c:pt idx="612">
                  <c:v>0.2280637190110012</c:v>
                </c:pt>
                <c:pt idx="613">
                  <c:v>0.23047670124833014</c:v>
                </c:pt>
                <c:pt idx="614">
                  <c:v>0.23035552399026102</c:v>
                </c:pt>
                <c:pt idx="615">
                  <c:v>0.18316327423417753</c:v>
                </c:pt>
                <c:pt idx="616">
                  <c:v>0.18316327423417753</c:v>
                </c:pt>
                <c:pt idx="617">
                  <c:v>0.18316327423417753</c:v>
                </c:pt>
                <c:pt idx="618">
                  <c:v>0.18316327423417753</c:v>
                </c:pt>
                <c:pt idx="619">
                  <c:v>0.18316327423417753</c:v>
                </c:pt>
                <c:pt idx="620">
                  <c:v>0.18316327423417753</c:v>
                </c:pt>
                <c:pt idx="621">
                  <c:v>0.18316327423417753</c:v>
                </c:pt>
                <c:pt idx="622">
                  <c:v>0.18316327423417753</c:v>
                </c:pt>
                <c:pt idx="623">
                  <c:v>0.18316327423417753</c:v>
                </c:pt>
                <c:pt idx="624">
                  <c:v>0.18316327423417753</c:v>
                </c:pt>
                <c:pt idx="625">
                  <c:v>0.18316327423417753</c:v>
                </c:pt>
                <c:pt idx="626">
                  <c:v>0.18316327423417753</c:v>
                </c:pt>
                <c:pt idx="627">
                  <c:v>0.14671284326852277</c:v>
                </c:pt>
                <c:pt idx="628">
                  <c:v>0.14671284326852277</c:v>
                </c:pt>
                <c:pt idx="629">
                  <c:v>0.14671284326852277</c:v>
                </c:pt>
                <c:pt idx="630">
                  <c:v>0.14671284326852277</c:v>
                </c:pt>
                <c:pt idx="631">
                  <c:v>0.14671284326852277</c:v>
                </c:pt>
                <c:pt idx="632">
                  <c:v>0.14671284326852277</c:v>
                </c:pt>
                <c:pt idx="633">
                  <c:v>0.14671284326852277</c:v>
                </c:pt>
                <c:pt idx="634">
                  <c:v>0.14671284326852277</c:v>
                </c:pt>
                <c:pt idx="635">
                  <c:v>0.14671284326852277</c:v>
                </c:pt>
                <c:pt idx="636">
                  <c:v>0.14671284326852282</c:v>
                </c:pt>
                <c:pt idx="637">
                  <c:v>0.18316327423417753</c:v>
                </c:pt>
                <c:pt idx="638">
                  <c:v>0.18316327423417753</c:v>
                </c:pt>
                <c:pt idx="639">
                  <c:v>0.18316327423417753</c:v>
                </c:pt>
                <c:pt idx="640">
                  <c:v>0.18316327423417753</c:v>
                </c:pt>
                <c:pt idx="641">
                  <c:v>0.18316327423417753</c:v>
                </c:pt>
                <c:pt idx="642">
                  <c:v>0.18316327423417753</c:v>
                </c:pt>
                <c:pt idx="643">
                  <c:v>0.18316327423417753</c:v>
                </c:pt>
                <c:pt idx="644">
                  <c:v>0.18316327423417753</c:v>
                </c:pt>
                <c:pt idx="645">
                  <c:v>0.18316327423417753</c:v>
                </c:pt>
                <c:pt idx="646">
                  <c:v>0.18316327423417753</c:v>
                </c:pt>
                <c:pt idx="647">
                  <c:v>0.18316327423417753</c:v>
                </c:pt>
                <c:pt idx="648">
                  <c:v>0.18316327423417753</c:v>
                </c:pt>
                <c:pt idx="649">
                  <c:v>0.18316327423417753</c:v>
                </c:pt>
                <c:pt idx="650">
                  <c:v>0.18316327423417753</c:v>
                </c:pt>
                <c:pt idx="651">
                  <c:v>0.18316327423417753</c:v>
                </c:pt>
                <c:pt idx="652">
                  <c:v>0.18316327423417753</c:v>
                </c:pt>
                <c:pt idx="653">
                  <c:v>0.18316327423417753</c:v>
                </c:pt>
                <c:pt idx="654">
                  <c:v>0.18316327423417753</c:v>
                </c:pt>
                <c:pt idx="655">
                  <c:v>0.18316327423417753</c:v>
                </c:pt>
                <c:pt idx="656">
                  <c:v>0.18316327423417753</c:v>
                </c:pt>
                <c:pt idx="657">
                  <c:v>0.18316327423417753</c:v>
                </c:pt>
                <c:pt idx="658">
                  <c:v>0.18316327423417753</c:v>
                </c:pt>
                <c:pt idx="659">
                  <c:v>0.18316327423417753</c:v>
                </c:pt>
                <c:pt idx="660">
                  <c:v>0.18316327423417753</c:v>
                </c:pt>
                <c:pt idx="661">
                  <c:v>0.18316327423417753</c:v>
                </c:pt>
                <c:pt idx="662">
                  <c:v>0.18316327423417753</c:v>
                </c:pt>
                <c:pt idx="663">
                  <c:v>0.18316327423417753</c:v>
                </c:pt>
                <c:pt idx="664">
                  <c:v>0.18316327423417753</c:v>
                </c:pt>
                <c:pt idx="665">
                  <c:v>0.18316327423417753</c:v>
                </c:pt>
                <c:pt idx="666">
                  <c:v>0.18316327423417753</c:v>
                </c:pt>
                <c:pt idx="667">
                  <c:v>0.18316327423417753</c:v>
                </c:pt>
                <c:pt idx="668">
                  <c:v>0.18316327423417753</c:v>
                </c:pt>
                <c:pt idx="669">
                  <c:v>0.18316327423417753</c:v>
                </c:pt>
                <c:pt idx="670">
                  <c:v>0.18316327423417753</c:v>
                </c:pt>
                <c:pt idx="671">
                  <c:v>0.18316327423417753</c:v>
                </c:pt>
                <c:pt idx="672">
                  <c:v>0.18316327423417753</c:v>
                </c:pt>
                <c:pt idx="673">
                  <c:v>0.18316327423417753</c:v>
                </c:pt>
                <c:pt idx="674">
                  <c:v>0.18316327423417753</c:v>
                </c:pt>
                <c:pt idx="675">
                  <c:v>0.18316327423417753</c:v>
                </c:pt>
                <c:pt idx="676">
                  <c:v>0.18316327423417753</c:v>
                </c:pt>
                <c:pt idx="677">
                  <c:v>0.18316327423417753</c:v>
                </c:pt>
                <c:pt idx="678">
                  <c:v>0.18316327423417753</c:v>
                </c:pt>
                <c:pt idx="679">
                  <c:v>0.18316327423417753</c:v>
                </c:pt>
                <c:pt idx="680">
                  <c:v>0.18316327423417753</c:v>
                </c:pt>
                <c:pt idx="681">
                  <c:v>0.18316327423417753</c:v>
                </c:pt>
                <c:pt idx="682">
                  <c:v>0.18316327423417753</c:v>
                </c:pt>
                <c:pt idx="683">
                  <c:v>0.18316327423417753</c:v>
                </c:pt>
                <c:pt idx="684">
                  <c:v>0.18316327423417753</c:v>
                </c:pt>
                <c:pt idx="685">
                  <c:v>0.18316327423417753</c:v>
                </c:pt>
                <c:pt idx="686">
                  <c:v>0.18316327423417753</c:v>
                </c:pt>
                <c:pt idx="687">
                  <c:v>0.18316327423417753</c:v>
                </c:pt>
                <c:pt idx="688">
                  <c:v>0.18316327423417753</c:v>
                </c:pt>
                <c:pt idx="689">
                  <c:v>0.18316327423417753</c:v>
                </c:pt>
                <c:pt idx="690">
                  <c:v>0.18490638697739159</c:v>
                </c:pt>
                <c:pt idx="691">
                  <c:v>0.17219615469602018</c:v>
                </c:pt>
                <c:pt idx="692">
                  <c:v>0.1727965486093026</c:v>
                </c:pt>
                <c:pt idx="693">
                  <c:v>9.8526048480324785E-2</c:v>
                </c:pt>
                <c:pt idx="694">
                  <c:v>9.9019752738686226E-2</c:v>
                </c:pt>
                <c:pt idx="695">
                  <c:v>9.3888143999444576E-2</c:v>
                </c:pt>
                <c:pt idx="696">
                  <c:v>9.3674231962147789E-2</c:v>
                </c:pt>
                <c:pt idx="697">
                  <c:v>9.2095371695368994E-2</c:v>
                </c:pt>
                <c:pt idx="698">
                  <c:v>9.1931983975341913E-2</c:v>
                </c:pt>
                <c:pt idx="699">
                  <c:v>9.0507044562581587E-2</c:v>
                </c:pt>
                <c:pt idx="700">
                  <c:v>8.9686089083663309E-2</c:v>
                </c:pt>
                <c:pt idx="701">
                  <c:v>8.9166779137144422E-2</c:v>
                </c:pt>
                <c:pt idx="702">
                  <c:v>8.816311807458467E-2</c:v>
                </c:pt>
                <c:pt idx="703">
                  <c:v>8.6337361880364061E-2</c:v>
                </c:pt>
                <c:pt idx="704">
                  <c:v>8.5572354230869924E-2</c:v>
                </c:pt>
                <c:pt idx="705">
                  <c:v>8.4574153744144356E-2</c:v>
                </c:pt>
                <c:pt idx="706">
                  <c:v>8.3709952000276033E-2</c:v>
                </c:pt>
                <c:pt idx="707">
                  <c:v>7.4160120839490626E-2</c:v>
                </c:pt>
                <c:pt idx="708">
                  <c:v>7.4964326800452244E-2</c:v>
                </c:pt>
                <c:pt idx="709">
                  <c:v>7.4105894438924069E-2</c:v>
                </c:pt>
                <c:pt idx="710">
                  <c:v>7.2159683465823368E-2</c:v>
                </c:pt>
                <c:pt idx="711">
                  <c:v>7.1528249397199761E-2</c:v>
                </c:pt>
                <c:pt idx="712">
                  <c:v>0.12880956481556216</c:v>
                </c:pt>
                <c:pt idx="713">
                  <c:v>0.12880956481556216</c:v>
                </c:pt>
                <c:pt idx="714">
                  <c:v>0.12880956481556216</c:v>
                </c:pt>
                <c:pt idx="715">
                  <c:v>0.12880956481556216</c:v>
                </c:pt>
                <c:pt idx="716">
                  <c:v>0.12880956481556216</c:v>
                </c:pt>
                <c:pt idx="717">
                  <c:v>0.12880956481556216</c:v>
                </c:pt>
                <c:pt idx="718">
                  <c:v>0.12880956481556216</c:v>
                </c:pt>
                <c:pt idx="719">
                  <c:v>0.12880956481556216</c:v>
                </c:pt>
                <c:pt idx="720">
                  <c:v>0.12880956481556216</c:v>
                </c:pt>
                <c:pt idx="721">
                  <c:v>0.12880956481556216</c:v>
                </c:pt>
                <c:pt idx="722">
                  <c:v>0.12880956481556216</c:v>
                </c:pt>
                <c:pt idx="723">
                  <c:v>0.16308158091580044</c:v>
                </c:pt>
                <c:pt idx="724">
                  <c:v>0.17312002649235472</c:v>
                </c:pt>
                <c:pt idx="725">
                  <c:v>0.17884052615349436</c:v>
                </c:pt>
                <c:pt idx="726">
                  <c:v>0.18574634679481425</c:v>
                </c:pt>
                <c:pt idx="727">
                  <c:v>0.18508723068237581</c:v>
                </c:pt>
                <c:pt idx="728">
                  <c:v>0.18194596875454694</c:v>
                </c:pt>
                <c:pt idx="729">
                  <c:v>0.17291924852484328</c:v>
                </c:pt>
                <c:pt idx="730">
                  <c:v>0.17142802640728949</c:v>
                </c:pt>
                <c:pt idx="731">
                  <c:v>0.19479668446825632</c:v>
                </c:pt>
                <c:pt idx="732">
                  <c:v>0.19351216899316018</c:v>
                </c:pt>
                <c:pt idx="733">
                  <c:v>0.19311571866274282</c:v>
                </c:pt>
                <c:pt idx="734">
                  <c:v>0.19106685189693484</c:v>
                </c:pt>
                <c:pt idx="735">
                  <c:v>0.22901406100002117</c:v>
                </c:pt>
                <c:pt idx="736">
                  <c:v>0.25593570539255656</c:v>
                </c:pt>
                <c:pt idx="737">
                  <c:v>0.27328782411673841</c:v>
                </c:pt>
                <c:pt idx="738">
                  <c:v>0.19706603030737616</c:v>
                </c:pt>
                <c:pt idx="739">
                  <c:v>0.20607481570957265</c:v>
                </c:pt>
                <c:pt idx="740">
                  <c:v>0.20785988525781074</c:v>
                </c:pt>
                <c:pt idx="741">
                  <c:v>0.2186699178399443</c:v>
                </c:pt>
                <c:pt idx="742">
                  <c:v>0.17181311416662867</c:v>
                </c:pt>
                <c:pt idx="743">
                  <c:v>0.18133659580720229</c:v>
                </c:pt>
                <c:pt idx="744">
                  <c:v>0.18320802167776629</c:v>
                </c:pt>
                <c:pt idx="745">
                  <c:v>0.18316327423417753</c:v>
                </c:pt>
                <c:pt idx="746">
                  <c:v>0.18316327423417753</c:v>
                </c:pt>
                <c:pt idx="747">
                  <c:v>0.18316327423417753</c:v>
                </c:pt>
                <c:pt idx="748">
                  <c:v>0.18316327423417753</c:v>
                </c:pt>
                <c:pt idx="749">
                  <c:v>0.18316327423417753</c:v>
                </c:pt>
                <c:pt idx="750">
                  <c:v>0.18316327423417753</c:v>
                </c:pt>
                <c:pt idx="751">
                  <c:v>0.18316327423417753</c:v>
                </c:pt>
                <c:pt idx="752">
                  <c:v>0.18316327423417753</c:v>
                </c:pt>
                <c:pt idx="753">
                  <c:v>0.18316327423417753</c:v>
                </c:pt>
                <c:pt idx="754">
                  <c:v>0.18316327423417753</c:v>
                </c:pt>
                <c:pt idx="755">
                  <c:v>0.17499473210470967</c:v>
                </c:pt>
                <c:pt idx="756">
                  <c:v>0.16971462315465458</c:v>
                </c:pt>
                <c:pt idx="757">
                  <c:v>0.10164759260006355</c:v>
                </c:pt>
                <c:pt idx="758">
                  <c:v>0.1020487108298864</c:v>
                </c:pt>
                <c:pt idx="759">
                  <c:v>0.10240345739443256</c:v>
                </c:pt>
                <c:pt idx="760">
                  <c:v>0.10272273642771755</c:v>
                </c:pt>
                <c:pt idx="761">
                  <c:v>0.10093551446620309</c:v>
                </c:pt>
                <c:pt idx="762">
                  <c:v>8.8475921080245282E-2</c:v>
                </c:pt>
                <c:pt idx="763">
                  <c:v>8.8560828394818117E-2</c:v>
                </c:pt>
                <c:pt idx="764">
                  <c:v>8.8659782023717451E-2</c:v>
                </c:pt>
                <c:pt idx="765">
                  <c:v>8.6690974182367944E-2</c:v>
                </c:pt>
                <c:pt idx="766">
                  <c:v>8.4842804076395259E-2</c:v>
                </c:pt>
                <c:pt idx="767">
                  <c:v>8.311527170579934E-2</c:v>
                </c:pt>
                <c:pt idx="768">
                  <c:v>8.1508377070580285E-2</c:v>
                </c:pt>
                <c:pt idx="769">
                  <c:v>8.0022120170738009E-2</c:v>
                </c:pt>
                <c:pt idx="770">
                  <c:v>7.8656501006272514E-2</c:v>
                </c:pt>
                <c:pt idx="771">
                  <c:v>7.7411519577183882E-2</c:v>
                </c:pt>
                <c:pt idx="772">
                  <c:v>7.6287175883472003E-2</c:v>
                </c:pt>
                <c:pt idx="773">
                  <c:v>0.13895193275295278</c:v>
                </c:pt>
                <c:pt idx="774">
                  <c:v>0.13895193275295278</c:v>
                </c:pt>
                <c:pt idx="775">
                  <c:v>0.13895193275295278</c:v>
                </c:pt>
                <c:pt idx="776">
                  <c:v>0.13895193275295278</c:v>
                </c:pt>
                <c:pt idx="777">
                  <c:v>0.13895193275295278</c:v>
                </c:pt>
                <c:pt idx="778">
                  <c:v>0.13895193275295278</c:v>
                </c:pt>
                <c:pt idx="779">
                  <c:v>0.13895193275295278</c:v>
                </c:pt>
                <c:pt idx="780">
                  <c:v>0.13895193275295278</c:v>
                </c:pt>
                <c:pt idx="781">
                  <c:v>0.13895193275295278</c:v>
                </c:pt>
                <c:pt idx="782">
                  <c:v>0.13895193275295278</c:v>
                </c:pt>
                <c:pt idx="783">
                  <c:v>0.18108946883499499</c:v>
                </c:pt>
                <c:pt idx="784">
                  <c:v>0.18826281245864274</c:v>
                </c:pt>
                <c:pt idx="785">
                  <c:v>0.18777333935676033</c:v>
                </c:pt>
                <c:pt idx="786">
                  <c:v>0.18492144754695411</c:v>
                </c:pt>
                <c:pt idx="787">
                  <c:v>0.17591058075280794</c:v>
                </c:pt>
                <c:pt idx="788">
                  <c:v>0.24249887747646476</c:v>
                </c:pt>
                <c:pt idx="789">
                  <c:v>0.24517967530367712</c:v>
                </c:pt>
                <c:pt idx="790">
                  <c:v>0.24487039044578615</c:v>
                </c:pt>
                <c:pt idx="791">
                  <c:v>0.16018491594941359</c:v>
                </c:pt>
                <c:pt idx="792">
                  <c:v>0.16122100604749934</c:v>
                </c:pt>
                <c:pt idx="793">
                  <c:v>0.16349431578512491</c:v>
                </c:pt>
                <c:pt idx="794">
                  <c:v>0.16530771341568939</c:v>
                </c:pt>
                <c:pt idx="795">
                  <c:v>0.16801845391825254</c:v>
                </c:pt>
                <c:pt idx="796">
                  <c:v>0.14045566714504246</c:v>
                </c:pt>
                <c:pt idx="797">
                  <c:v>0.1587161382942798</c:v>
                </c:pt>
                <c:pt idx="798">
                  <c:v>0.15370572833889479</c:v>
                </c:pt>
                <c:pt idx="799">
                  <c:v>0.15868367151395393</c:v>
                </c:pt>
                <c:pt idx="800">
                  <c:v>0.15234666797413485</c:v>
                </c:pt>
                <c:pt idx="801">
                  <c:v>0.15556754045246357</c:v>
                </c:pt>
                <c:pt idx="802">
                  <c:v>0.15145768682776359</c:v>
                </c:pt>
                <c:pt idx="803">
                  <c:v>0.15145768682776359</c:v>
                </c:pt>
                <c:pt idx="804">
                  <c:v>0.17218416487179067</c:v>
                </c:pt>
                <c:pt idx="805">
                  <c:v>0.18316327423417753</c:v>
                </c:pt>
                <c:pt idx="806">
                  <c:v>0.18316327423417753</c:v>
                </c:pt>
                <c:pt idx="807">
                  <c:v>0.18316327423417753</c:v>
                </c:pt>
                <c:pt idx="808">
                  <c:v>0.18316327423417753</c:v>
                </c:pt>
                <c:pt idx="809">
                  <c:v>0.18316327423417753</c:v>
                </c:pt>
                <c:pt idx="810">
                  <c:v>0.18316327423417753</c:v>
                </c:pt>
                <c:pt idx="811">
                  <c:v>0.18316327423417753</c:v>
                </c:pt>
                <c:pt idx="812">
                  <c:v>0.18316327423417753</c:v>
                </c:pt>
                <c:pt idx="813">
                  <c:v>0.18316327423417753</c:v>
                </c:pt>
                <c:pt idx="814">
                  <c:v>0.18316327423417753</c:v>
                </c:pt>
                <c:pt idx="815">
                  <c:v>0.18316327423417753</c:v>
                </c:pt>
                <c:pt idx="816">
                  <c:v>0.18316327423417753</c:v>
                </c:pt>
                <c:pt idx="817">
                  <c:v>0.18316327423417753</c:v>
                </c:pt>
                <c:pt idx="818">
                  <c:v>0.18316327423417753</c:v>
                </c:pt>
                <c:pt idx="819">
                  <c:v>0.18316327423417753</c:v>
                </c:pt>
                <c:pt idx="820">
                  <c:v>0.18316327423417753</c:v>
                </c:pt>
                <c:pt idx="821">
                  <c:v>0.18490638697739159</c:v>
                </c:pt>
                <c:pt idx="822">
                  <c:v>0.17219615469602018</c:v>
                </c:pt>
                <c:pt idx="823">
                  <c:v>0.10449499670012637</c:v>
                </c:pt>
                <c:pt idx="824">
                  <c:v>9.8526048480324785E-2</c:v>
                </c:pt>
                <c:pt idx="825">
                  <c:v>9.9019752738686226E-2</c:v>
                </c:pt>
                <c:pt idx="826">
                  <c:v>9.3888143999444576E-2</c:v>
                </c:pt>
                <c:pt idx="827">
                  <c:v>9.3674231962147789E-2</c:v>
                </c:pt>
                <c:pt idx="828">
                  <c:v>9.2095371695368994E-2</c:v>
                </c:pt>
                <c:pt idx="829">
                  <c:v>9.1931983975341913E-2</c:v>
                </c:pt>
                <c:pt idx="830">
                  <c:v>9.0507044562581587E-2</c:v>
                </c:pt>
                <c:pt idx="831">
                  <c:v>8.9686089083663309E-2</c:v>
                </c:pt>
                <c:pt idx="832">
                  <c:v>8.9166779137144422E-2</c:v>
                </c:pt>
                <c:pt idx="833">
                  <c:v>8.816311807458467E-2</c:v>
                </c:pt>
                <c:pt idx="834">
                  <c:v>8.6337361880364061E-2</c:v>
                </c:pt>
                <c:pt idx="835">
                  <c:v>8.5257420312585555E-2</c:v>
                </c:pt>
                <c:pt idx="836">
                  <c:v>8.4257489485721773E-2</c:v>
                </c:pt>
                <c:pt idx="837">
                  <c:v>4.0053377315782769E-2</c:v>
                </c:pt>
                <c:pt idx="838">
                  <c:v>4.0053377315782769E-2</c:v>
                </c:pt>
                <c:pt idx="839">
                  <c:v>4.0053377315782769E-2</c:v>
                </c:pt>
                <c:pt idx="840">
                  <c:v>4.0053377315782769E-2</c:v>
                </c:pt>
                <c:pt idx="841">
                  <c:v>4.0053377315782769E-2</c:v>
                </c:pt>
                <c:pt idx="842">
                  <c:v>4.0053377315782769E-2</c:v>
                </c:pt>
                <c:pt idx="843">
                  <c:v>4.0053377315782769E-2</c:v>
                </c:pt>
                <c:pt idx="844">
                  <c:v>4.0053377315782769E-2</c:v>
                </c:pt>
                <c:pt idx="845">
                  <c:v>4.0053377315782769E-2</c:v>
                </c:pt>
                <c:pt idx="846">
                  <c:v>4.0053377315782769E-2</c:v>
                </c:pt>
                <c:pt idx="847">
                  <c:v>4.0053377315782769E-2</c:v>
                </c:pt>
                <c:pt idx="848">
                  <c:v>4.0053377315782769E-2</c:v>
                </c:pt>
                <c:pt idx="849">
                  <c:v>4.0053377315782769E-2</c:v>
                </c:pt>
                <c:pt idx="850">
                  <c:v>4.0053377315782769E-2</c:v>
                </c:pt>
                <c:pt idx="851">
                  <c:v>4.0053377315782769E-2</c:v>
                </c:pt>
                <c:pt idx="852">
                  <c:v>4.0053377315782769E-2</c:v>
                </c:pt>
                <c:pt idx="853">
                  <c:v>4.0053377315782769E-2</c:v>
                </c:pt>
                <c:pt idx="854">
                  <c:v>4.0053377315782769E-2</c:v>
                </c:pt>
                <c:pt idx="855">
                  <c:v>4.0053377315782769E-2</c:v>
                </c:pt>
                <c:pt idx="856">
                  <c:v>4.0053377315782769E-2</c:v>
                </c:pt>
                <c:pt idx="857">
                  <c:v>4.0053377315782769E-2</c:v>
                </c:pt>
                <c:pt idx="858">
                  <c:v>9.1797017754404561E-2</c:v>
                </c:pt>
                <c:pt idx="859">
                  <c:v>9.1827428664385244E-2</c:v>
                </c:pt>
                <c:pt idx="860">
                  <c:v>9.2902323054924046E-2</c:v>
                </c:pt>
                <c:pt idx="861">
                  <c:v>9.3029609364978963E-2</c:v>
                </c:pt>
                <c:pt idx="862">
                  <c:v>9.2406176243606059E-2</c:v>
                </c:pt>
                <c:pt idx="863">
                  <c:v>9.2224583235538046E-2</c:v>
                </c:pt>
                <c:pt idx="864">
                  <c:v>9.2599076847785289E-2</c:v>
                </c:pt>
                <c:pt idx="865">
                  <c:v>9.1656814862604991E-2</c:v>
                </c:pt>
                <c:pt idx="866">
                  <c:v>9.2080659420944219E-2</c:v>
                </c:pt>
                <c:pt idx="867">
                  <c:v>9.1124892277720457E-2</c:v>
                </c:pt>
                <c:pt idx="868">
                  <c:v>9.4864574141962255E-2</c:v>
                </c:pt>
                <c:pt idx="869">
                  <c:v>9.3150975309444564E-2</c:v>
                </c:pt>
                <c:pt idx="870">
                  <c:v>9.7477235516164301E-2</c:v>
                </c:pt>
                <c:pt idx="871">
                  <c:v>4.9835605566998037E-2</c:v>
                </c:pt>
                <c:pt idx="872">
                  <c:v>5.2257045023714706E-2</c:v>
                </c:pt>
                <c:pt idx="873">
                  <c:v>5.2249120464071812E-2</c:v>
                </c:pt>
                <c:pt idx="874">
                  <c:v>5.2159625576894311E-2</c:v>
                </c:pt>
                <c:pt idx="875">
                  <c:v>5.2159625576894311E-2</c:v>
                </c:pt>
                <c:pt idx="876">
                  <c:v>5.2159625576894311E-2</c:v>
                </c:pt>
                <c:pt idx="877">
                  <c:v>5.2159625576894311E-2</c:v>
                </c:pt>
                <c:pt idx="878">
                  <c:v>5.2159625576894311E-2</c:v>
                </c:pt>
                <c:pt idx="879">
                  <c:v>5.2159625576894311E-2</c:v>
                </c:pt>
                <c:pt idx="880">
                  <c:v>5.2159625576894311E-2</c:v>
                </c:pt>
                <c:pt idx="881">
                  <c:v>5.2159625576894311E-2</c:v>
                </c:pt>
                <c:pt idx="882">
                  <c:v>5.2159625576894311E-2</c:v>
                </c:pt>
                <c:pt idx="883">
                  <c:v>5.2159625576894311E-2</c:v>
                </c:pt>
                <c:pt idx="884">
                  <c:v>5.2159625576894311E-2</c:v>
                </c:pt>
                <c:pt idx="885">
                  <c:v>5.2159625576894311E-2</c:v>
                </c:pt>
                <c:pt idx="886">
                  <c:v>5.2159625576894311E-2</c:v>
                </c:pt>
                <c:pt idx="887">
                  <c:v>5.2159625576894311E-2</c:v>
                </c:pt>
                <c:pt idx="888">
                  <c:v>5.2159625576894311E-2</c:v>
                </c:pt>
                <c:pt idx="889">
                  <c:v>5.2159625576894311E-2</c:v>
                </c:pt>
                <c:pt idx="890">
                  <c:v>5.2159625576894311E-2</c:v>
                </c:pt>
                <c:pt idx="891">
                  <c:v>5.2159625576894311E-2</c:v>
                </c:pt>
                <c:pt idx="892">
                  <c:v>5.2159625576894311E-2</c:v>
                </c:pt>
                <c:pt idx="893">
                  <c:v>5.2159625576894311E-2</c:v>
                </c:pt>
                <c:pt idx="894">
                  <c:v>5.2159625576894311E-2</c:v>
                </c:pt>
                <c:pt idx="895">
                  <c:v>5.2159625576894311E-2</c:v>
                </c:pt>
                <c:pt idx="896">
                  <c:v>5.2159625576894311E-2</c:v>
                </c:pt>
                <c:pt idx="897">
                  <c:v>5.2159625576894311E-2</c:v>
                </c:pt>
                <c:pt idx="898">
                  <c:v>5.2159625576894311E-2</c:v>
                </c:pt>
                <c:pt idx="899">
                  <c:v>5.2159625576894311E-2</c:v>
                </c:pt>
                <c:pt idx="900">
                  <c:v>5.2159625576894311E-2</c:v>
                </c:pt>
                <c:pt idx="901">
                  <c:v>5.2159625576894311E-2</c:v>
                </c:pt>
                <c:pt idx="902">
                  <c:v>5.2159625576894311E-2</c:v>
                </c:pt>
                <c:pt idx="903">
                  <c:v>5.2159625576894311E-2</c:v>
                </c:pt>
                <c:pt idx="904">
                  <c:v>5.2159625576894311E-2</c:v>
                </c:pt>
                <c:pt idx="905">
                  <c:v>5.2159625576894311E-2</c:v>
                </c:pt>
                <c:pt idx="906">
                  <c:v>5.2159625576894311E-2</c:v>
                </c:pt>
                <c:pt idx="907">
                  <c:v>5.2159625576894311E-2</c:v>
                </c:pt>
                <c:pt idx="908">
                  <c:v>5.2159625576894311E-2</c:v>
                </c:pt>
                <c:pt idx="909">
                  <c:v>5.2159625576894311E-2</c:v>
                </c:pt>
                <c:pt idx="910">
                  <c:v>5.2159625576894311E-2</c:v>
                </c:pt>
                <c:pt idx="911">
                  <c:v>5.2159625576894311E-2</c:v>
                </c:pt>
                <c:pt idx="912">
                  <c:v>5.2159625576894311E-2</c:v>
                </c:pt>
                <c:pt idx="913">
                  <c:v>5.2159625576894311E-2</c:v>
                </c:pt>
                <c:pt idx="914">
                  <c:v>5.2159625576894311E-2</c:v>
                </c:pt>
                <c:pt idx="915">
                  <c:v>5.2159625576894311E-2</c:v>
                </c:pt>
                <c:pt idx="916">
                  <c:v>5.2159625576894311E-2</c:v>
                </c:pt>
                <c:pt idx="917">
                  <c:v>5.2159625576894311E-2</c:v>
                </c:pt>
                <c:pt idx="918">
                  <c:v>5.2159625576894311E-2</c:v>
                </c:pt>
                <c:pt idx="919">
                  <c:v>5.2159625576894311E-2</c:v>
                </c:pt>
                <c:pt idx="920">
                  <c:v>5.2159625576894311E-2</c:v>
                </c:pt>
                <c:pt idx="921">
                  <c:v>5.2159625576894311E-2</c:v>
                </c:pt>
                <c:pt idx="922">
                  <c:v>5.2159625576894311E-2</c:v>
                </c:pt>
                <c:pt idx="923">
                  <c:v>5.2159625576894311E-2</c:v>
                </c:pt>
                <c:pt idx="924">
                  <c:v>5.2159625576894311E-2</c:v>
                </c:pt>
                <c:pt idx="925">
                  <c:v>5.2159625576894311E-2</c:v>
                </c:pt>
                <c:pt idx="926">
                  <c:v>5.2159625576894311E-2</c:v>
                </c:pt>
                <c:pt idx="927">
                  <c:v>5.2159625576894311E-2</c:v>
                </c:pt>
                <c:pt idx="928">
                  <c:v>5.2159625576894311E-2</c:v>
                </c:pt>
                <c:pt idx="929">
                  <c:v>5.2159625576894311E-2</c:v>
                </c:pt>
                <c:pt idx="930">
                  <c:v>5.2159625576894311E-2</c:v>
                </c:pt>
                <c:pt idx="931">
                  <c:v>5.2159625576894311E-2</c:v>
                </c:pt>
                <c:pt idx="932">
                  <c:v>5.2159625576894311E-2</c:v>
                </c:pt>
                <c:pt idx="933">
                  <c:v>5.2159625576894311E-2</c:v>
                </c:pt>
                <c:pt idx="934">
                  <c:v>5.2159625576894311E-2</c:v>
                </c:pt>
                <c:pt idx="935">
                  <c:v>5.468745579919615E-2</c:v>
                </c:pt>
                <c:pt idx="936">
                  <c:v>5.7179831130361174E-2</c:v>
                </c:pt>
                <c:pt idx="937">
                  <c:v>5.9785909715685183E-2</c:v>
                </c:pt>
                <c:pt idx="938">
                  <c:v>6.2505691555168191E-2</c:v>
                </c:pt>
                <c:pt idx="939">
                  <c:v>6.5339176648810171E-2</c:v>
                </c:pt>
                <c:pt idx="940">
                  <c:v>6.8286364996611171E-2</c:v>
                </c:pt>
                <c:pt idx="941">
                  <c:v>6.9407582359718584E-2</c:v>
                </c:pt>
                <c:pt idx="942">
                  <c:v>6.9347919101600264E-2</c:v>
                </c:pt>
                <c:pt idx="943">
                  <c:v>6.9347919101600264E-2</c:v>
                </c:pt>
                <c:pt idx="944">
                  <c:v>6.9347919101600264E-2</c:v>
                </c:pt>
                <c:pt idx="945">
                  <c:v>6.9347919101600264E-2</c:v>
                </c:pt>
                <c:pt idx="946">
                  <c:v>6.9347919101600264E-2</c:v>
                </c:pt>
                <c:pt idx="947">
                  <c:v>6.9347919101600264E-2</c:v>
                </c:pt>
                <c:pt idx="948">
                  <c:v>6.9347919101600264E-2</c:v>
                </c:pt>
                <c:pt idx="949">
                  <c:v>6.9347919101600264E-2</c:v>
                </c:pt>
                <c:pt idx="950">
                  <c:v>6.9347919101600264E-2</c:v>
                </c:pt>
                <c:pt idx="951">
                  <c:v>6.9347919101600264E-2</c:v>
                </c:pt>
                <c:pt idx="952">
                  <c:v>6.9347919101600264E-2</c:v>
                </c:pt>
                <c:pt idx="953">
                  <c:v>6.9347919101600264E-2</c:v>
                </c:pt>
                <c:pt idx="954">
                  <c:v>6.9347919101600264E-2</c:v>
                </c:pt>
                <c:pt idx="955">
                  <c:v>6.9347919101600264E-2</c:v>
                </c:pt>
                <c:pt idx="956">
                  <c:v>6.9347919101600264E-2</c:v>
                </c:pt>
                <c:pt idx="957">
                  <c:v>6.9347919101600264E-2</c:v>
                </c:pt>
                <c:pt idx="958">
                  <c:v>6.9347919101600264E-2</c:v>
                </c:pt>
                <c:pt idx="959">
                  <c:v>6.9347919101600264E-2</c:v>
                </c:pt>
                <c:pt idx="960">
                  <c:v>6.9347919101600264E-2</c:v>
                </c:pt>
                <c:pt idx="961">
                  <c:v>6.9347919101600264E-2</c:v>
                </c:pt>
                <c:pt idx="962">
                  <c:v>6.9347919101600264E-2</c:v>
                </c:pt>
                <c:pt idx="963">
                  <c:v>6.9347919101600264E-2</c:v>
                </c:pt>
                <c:pt idx="964">
                  <c:v>6.9347919101600264E-2</c:v>
                </c:pt>
                <c:pt idx="965">
                  <c:v>6.9347919101600264E-2</c:v>
                </c:pt>
                <c:pt idx="966">
                  <c:v>6.9347919101600264E-2</c:v>
                </c:pt>
                <c:pt idx="967">
                  <c:v>6.9347919101600264E-2</c:v>
                </c:pt>
                <c:pt idx="968">
                  <c:v>6.9347919101600264E-2</c:v>
                </c:pt>
                <c:pt idx="969">
                  <c:v>6.9347919101600264E-2</c:v>
                </c:pt>
                <c:pt idx="970">
                  <c:v>6.5057442679811756E-2</c:v>
                </c:pt>
                <c:pt idx="971">
                  <c:v>6.1385077489460635E-2</c:v>
                </c:pt>
                <c:pt idx="972">
                  <c:v>5.6469981398695981E-2</c:v>
                </c:pt>
                <c:pt idx="973">
                  <c:v>6.2108158265949731E-2</c:v>
                </c:pt>
                <c:pt idx="974">
                  <c:v>6.7704446942928001E-2</c:v>
                </c:pt>
                <c:pt idx="975">
                  <c:v>7.3234313128095863E-2</c:v>
                </c:pt>
                <c:pt idx="976">
                  <c:v>7.755120427471357E-2</c:v>
                </c:pt>
                <c:pt idx="977">
                  <c:v>8.1751273241704545E-2</c:v>
                </c:pt>
                <c:pt idx="978">
                  <c:v>7.6682323677038144E-2</c:v>
                </c:pt>
                <c:pt idx="979">
                  <c:v>8.0851821331556745E-2</c:v>
                </c:pt>
                <c:pt idx="980">
                  <c:v>4.2756604321815779E-2</c:v>
                </c:pt>
                <c:pt idx="981">
                  <c:v>4.2756604321815779E-2</c:v>
                </c:pt>
                <c:pt idx="982">
                  <c:v>4.2756604321815779E-2</c:v>
                </c:pt>
                <c:pt idx="983">
                  <c:v>4.2756604321815779E-2</c:v>
                </c:pt>
                <c:pt idx="984">
                  <c:v>4.2756604321815779E-2</c:v>
                </c:pt>
                <c:pt idx="985">
                  <c:v>4.2756604321815779E-2</c:v>
                </c:pt>
                <c:pt idx="986">
                  <c:v>4.2756604321815779E-2</c:v>
                </c:pt>
                <c:pt idx="987">
                  <c:v>4.2756604321815779E-2</c:v>
                </c:pt>
                <c:pt idx="988">
                  <c:v>4.2756604321815779E-2</c:v>
                </c:pt>
                <c:pt idx="989">
                  <c:v>4.2756604321815779E-2</c:v>
                </c:pt>
                <c:pt idx="990">
                  <c:v>4.2756604321815779E-2</c:v>
                </c:pt>
                <c:pt idx="991">
                  <c:v>4.2756604321815779E-2</c:v>
                </c:pt>
                <c:pt idx="992">
                  <c:v>0.14754576399387584</c:v>
                </c:pt>
                <c:pt idx="993">
                  <c:v>0.15504856660151534</c:v>
                </c:pt>
                <c:pt idx="994">
                  <c:v>0.15373379963487591</c:v>
                </c:pt>
                <c:pt idx="995">
                  <c:v>0.15887289994398934</c:v>
                </c:pt>
                <c:pt idx="996">
                  <c:v>0.15871177735001407</c:v>
                </c:pt>
                <c:pt idx="997">
                  <c:v>0.15826719477181361</c:v>
                </c:pt>
                <c:pt idx="998">
                  <c:v>0.15832935287777483</c:v>
                </c:pt>
                <c:pt idx="999">
                  <c:v>0.16564589480666991</c:v>
                </c:pt>
                <c:pt idx="1000">
                  <c:v>0.17214145599513134</c:v>
                </c:pt>
                <c:pt idx="1001">
                  <c:v>5.147363686256419E-2</c:v>
                </c:pt>
                <c:pt idx="1002">
                  <c:v>5.5408337972735984E-2</c:v>
                </c:pt>
                <c:pt idx="1003">
                  <c:v>5.9434019220044286E-2</c:v>
                </c:pt>
                <c:pt idx="1004">
                  <c:v>6.3438064222198789E-2</c:v>
                </c:pt>
                <c:pt idx="1005">
                  <c:v>6.6935850579772735E-2</c:v>
                </c:pt>
                <c:pt idx="1006">
                  <c:v>7.2095559620127772E-2</c:v>
                </c:pt>
                <c:pt idx="1007">
                  <c:v>7.7164311867137472E-2</c:v>
                </c:pt>
                <c:pt idx="1008">
                  <c:v>8.2117573019266935E-2</c:v>
                </c:pt>
                <c:pt idx="1009">
                  <c:v>8.5173975194372115E-2</c:v>
                </c:pt>
                <c:pt idx="1010">
                  <c:v>8.8613538482425702E-2</c:v>
                </c:pt>
                <c:pt idx="1011">
                  <c:v>8.2115865012625577E-2</c:v>
                </c:pt>
                <c:pt idx="1012">
                  <c:v>8.5605324510677011E-2</c:v>
                </c:pt>
                <c:pt idx="1013">
                  <c:v>8.1082461339785708E-2</c:v>
                </c:pt>
                <c:pt idx="1014">
                  <c:v>3.8279077864937484E-2</c:v>
                </c:pt>
                <c:pt idx="1015">
                  <c:v>3.8279077864937484E-2</c:v>
                </c:pt>
                <c:pt idx="1016">
                  <c:v>3.8279077864937484E-2</c:v>
                </c:pt>
                <c:pt idx="1017">
                  <c:v>3.8279077864937484E-2</c:v>
                </c:pt>
                <c:pt idx="1018">
                  <c:v>3.8279077864937484E-2</c:v>
                </c:pt>
                <c:pt idx="1019">
                  <c:v>3.8279077864937484E-2</c:v>
                </c:pt>
                <c:pt idx="1020">
                  <c:v>0.13610351856886085</c:v>
                </c:pt>
                <c:pt idx="1021">
                  <c:v>0.14160993144955891</c:v>
                </c:pt>
                <c:pt idx="1022">
                  <c:v>0.14813335080280046</c:v>
                </c:pt>
                <c:pt idx="1023">
                  <c:v>0.14623839879996475</c:v>
                </c:pt>
                <c:pt idx="1024">
                  <c:v>0.15050231289564178</c:v>
                </c:pt>
                <c:pt idx="1025">
                  <c:v>0.14976224402233554</c:v>
                </c:pt>
                <c:pt idx="1026">
                  <c:v>0.14916885028152368</c:v>
                </c:pt>
                <c:pt idx="1027">
                  <c:v>0.14870641219448572</c:v>
                </c:pt>
                <c:pt idx="1028">
                  <c:v>5.0638774216765596E-2</c:v>
                </c:pt>
                <c:pt idx="1029">
                  <c:v>5.36341560328761E-2</c:v>
                </c:pt>
                <c:pt idx="1030">
                  <c:v>5.7000056023455412E-2</c:v>
                </c:pt>
                <c:pt idx="1031">
                  <c:v>6.0934757133627206E-2</c:v>
                </c:pt>
                <c:pt idx="1032">
                  <c:v>6.5125290565656732E-2</c:v>
                </c:pt>
                <c:pt idx="1033">
                  <c:v>6.9571656319543956E-2</c:v>
                </c:pt>
                <c:pt idx="1034">
                  <c:v>6.9347919101600264E-2</c:v>
                </c:pt>
                <c:pt idx="1035">
                  <c:v>6.9347919101600264E-2</c:v>
                </c:pt>
                <c:pt idx="1036">
                  <c:v>6.9347919101600264E-2</c:v>
                </c:pt>
                <c:pt idx="1037">
                  <c:v>6.5057442679811756E-2</c:v>
                </c:pt>
                <c:pt idx="1038">
                  <c:v>6.1385077489460635E-2</c:v>
                </c:pt>
                <c:pt idx="1039">
                  <c:v>5.7636149127403814E-2</c:v>
                </c:pt>
                <c:pt idx="1040">
                  <c:v>6.2108158265949731E-2</c:v>
                </c:pt>
                <c:pt idx="1041">
                  <c:v>6.7704446942928001E-2</c:v>
                </c:pt>
                <c:pt idx="1042">
                  <c:v>7.3234313128095863E-2</c:v>
                </c:pt>
                <c:pt idx="1043">
                  <c:v>7.7083271141742571E-2</c:v>
                </c:pt>
                <c:pt idx="1044">
                  <c:v>8.127627685407067E-2</c:v>
                </c:pt>
                <c:pt idx="1045">
                  <c:v>7.6251215756478891E-2</c:v>
                </c:pt>
                <c:pt idx="1046">
                  <c:v>8.0410060436674771E-2</c:v>
                </c:pt>
                <c:pt idx="1047">
                  <c:v>8.3783680831151189E-2</c:v>
                </c:pt>
                <c:pt idx="1048">
                  <c:v>8.5544232469136325E-2</c:v>
                </c:pt>
                <c:pt idx="1049">
                  <c:v>6.8173404947535307E-2</c:v>
                </c:pt>
                <c:pt idx="1050">
                  <c:v>0</c:v>
                </c:pt>
                <c:pt idx="1051">
                  <c:v>3.1144626671722027E-2</c:v>
                </c:pt>
                <c:pt idx="1052">
                  <c:v>3.1144626671722027E-2</c:v>
                </c:pt>
                <c:pt idx="1053">
                  <c:v>3.1144626671722027E-2</c:v>
                </c:pt>
                <c:pt idx="1054">
                  <c:v>3.1144626671722027E-2</c:v>
                </c:pt>
                <c:pt idx="1055">
                  <c:v>3.1144626671722027E-2</c:v>
                </c:pt>
                <c:pt idx="1056">
                  <c:v>3.1144626671722027E-2</c:v>
                </c:pt>
                <c:pt idx="1057">
                  <c:v>3.1144626671722027E-2</c:v>
                </c:pt>
                <c:pt idx="1058">
                  <c:v>3.1144626671722027E-2</c:v>
                </c:pt>
                <c:pt idx="1059">
                  <c:v>0.10939378305849973</c:v>
                </c:pt>
                <c:pt idx="1060">
                  <c:v>0.12805985811705675</c:v>
                </c:pt>
                <c:pt idx="1061">
                  <c:v>0.14637602752028978</c:v>
                </c:pt>
                <c:pt idx="1062">
                  <c:v>0.15288115455099066</c:v>
                </c:pt>
                <c:pt idx="1063">
                  <c:v>0.16053629224431618</c:v>
                </c:pt>
                <c:pt idx="1064">
                  <c:v>0.15908662466238099</c:v>
                </c:pt>
                <c:pt idx="1065">
                  <c:v>5.0357565195454625E-2</c:v>
                </c:pt>
                <c:pt idx="1066">
                  <c:v>5.2425199288833338E-2</c:v>
                </c:pt>
                <c:pt idx="1067">
                  <c:v>5.4591529996989643E-2</c:v>
                </c:pt>
                <c:pt idx="1068">
                  <c:v>5.6828642736843807E-2</c:v>
                </c:pt>
                <c:pt idx="1069">
                  <c:v>6.076411746955318E-2</c:v>
                </c:pt>
                <c:pt idx="1070">
                  <c:v>6.4658934261164952E-2</c:v>
                </c:pt>
                <c:pt idx="1071">
                  <c:v>6.8978941943847932E-2</c:v>
                </c:pt>
                <c:pt idx="1072">
                  <c:v>6.937775073065941E-2</c:v>
                </c:pt>
                <c:pt idx="1073">
                  <c:v>6.9347919101600264E-2</c:v>
                </c:pt>
                <c:pt idx="1074">
                  <c:v>6.9347919101600264E-2</c:v>
                </c:pt>
                <c:pt idx="1075">
                  <c:v>6.9347919101600264E-2</c:v>
                </c:pt>
                <c:pt idx="1076">
                  <c:v>6.9347919101600264E-2</c:v>
                </c:pt>
                <c:pt idx="1077">
                  <c:v>6.9347919101600264E-2</c:v>
                </c:pt>
                <c:pt idx="1078">
                  <c:v>6.9347919101600264E-2</c:v>
                </c:pt>
                <c:pt idx="1079">
                  <c:v>6.9347919101600264E-2</c:v>
                </c:pt>
                <c:pt idx="1080">
                  <c:v>6.9347919101600264E-2</c:v>
                </c:pt>
                <c:pt idx="1081">
                  <c:v>6.9347919101600264E-2</c:v>
                </c:pt>
                <c:pt idx="1082">
                  <c:v>6.9347919101600264E-2</c:v>
                </c:pt>
                <c:pt idx="1083">
                  <c:v>4.7560631685270728E-2</c:v>
                </c:pt>
                <c:pt idx="1084">
                  <c:v>5.2237644783321158E-2</c:v>
                </c:pt>
                <c:pt idx="1085">
                  <c:v>5.6469981398695981E-2</c:v>
                </c:pt>
                <c:pt idx="1086">
                  <c:v>6.2108158265949731E-2</c:v>
                </c:pt>
                <c:pt idx="1087">
                  <c:v>6.7704446942928001E-2</c:v>
                </c:pt>
                <c:pt idx="1088">
                  <c:v>7.3234313128095863E-2</c:v>
                </c:pt>
                <c:pt idx="1089">
                  <c:v>7.755120427471357E-2</c:v>
                </c:pt>
                <c:pt idx="1090">
                  <c:v>8.1751273241704545E-2</c:v>
                </c:pt>
                <c:pt idx="1091">
                  <c:v>7.6682323677038144E-2</c:v>
                </c:pt>
                <c:pt idx="1092">
                  <c:v>8.0851821331556745E-2</c:v>
                </c:pt>
                <c:pt idx="1093">
                  <c:v>3.1057572638333395E-2</c:v>
                </c:pt>
                <c:pt idx="1094">
                  <c:v>3.1057572638333395E-2</c:v>
                </c:pt>
                <c:pt idx="1095">
                  <c:v>3.1057572638333395E-2</c:v>
                </c:pt>
                <c:pt idx="1096">
                  <c:v>3.1057572638333395E-2</c:v>
                </c:pt>
                <c:pt idx="1097">
                  <c:v>3.1057572638333395E-2</c:v>
                </c:pt>
                <c:pt idx="1098">
                  <c:v>3.1057572638333395E-2</c:v>
                </c:pt>
                <c:pt idx="1099">
                  <c:v>3.1057572638333395E-2</c:v>
                </c:pt>
                <c:pt idx="1100">
                  <c:v>3.1057572638333395E-2</c:v>
                </c:pt>
                <c:pt idx="1101">
                  <c:v>3.1057572638333395E-2</c:v>
                </c:pt>
                <c:pt idx="1102">
                  <c:v>3.1057572638333395E-2</c:v>
                </c:pt>
                <c:pt idx="1103">
                  <c:v>3.1057572638333395E-2</c:v>
                </c:pt>
                <c:pt idx="1104">
                  <c:v>0.17082431118770053</c:v>
                </c:pt>
                <c:pt idx="1105">
                  <c:v>0.18203329000940777</c:v>
                </c:pt>
                <c:pt idx="1106">
                  <c:v>0.17822825756025759</c:v>
                </c:pt>
                <c:pt idx="1107">
                  <c:v>4.1736900640717833E-2</c:v>
                </c:pt>
                <c:pt idx="1108">
                  <c:v>4.5861076112358373E-2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D6-4019-A2E2-729486398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876072"/>
        <c:axId val="1461876728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Cycle'!$I$3:$I$1111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0.41000000000000014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-0.41000000000000014</c:v>
                </c:pt>
                <c:pt idx="94">
                  <c:v>-0.5</c:v>
                </c:pt>
                <c:pt idx="95">
                  <c:v>-0.5</c:v>
                </c:pt>
                <c:pt idx="96">
                  <c:v>-0.5</c:v>
                </c:pt>
                <c:pt idx="97">
                  <c:v>-0.5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0.41000000000000014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-3.41</c:v>
                </c:pt>
                <c:pt idx="117">
                  <c:v>0</c:v>
                </c:pt>
                <c:pt idx="118">
                  <c:v>0.5</c:v>
                </c:pt>
                <c:pt idx="119">
                  <c:v>0</c:v>
                </c:pt>
                <c:pt idx="120">
                  <c:v>1</c:v>
                </c:pt>
                <c:pt idx="121">
                  <c:v>1</c:v>
                </c:pt>
                <c:pt idx="122">
                  <c:v>0.91000000000000014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0.5</c:v>
                </c:pt>
                <c:pt idx="237">
                  <c:v>0.5</c:v>
                </c:pt>
                <c:pt idx="238">
                  <c:v>0.5</c:v>
                </c:pt>
                <c:pt idx="239">
                  <c:v>0.5</c:v>
                </c:pt>
                <c:pt idx="240">
                  <c:v>0.5</c:v>
                </c:pt>
                <c:pt idx="241">
                  <c:v>0.5</c:v>
                </c:pt>
                <c:pt idx="242">
                  <c:v>0.5</c:v>
                </c:pt>
                <c:pt idx="243">
                  <c:v>0.5</c:v>
                </c:pt>
                <c:pt idx="244">
                  <c:v>0.5</c:v>
                </c:pt>
                <c:pt idx="245">
                  <c:v>0.5</c:v>
                </c:pt>
                <c:pt idx="246">
                  <c:v>0.5</c:v>
                </c:pt>
                <c:pt idx="247">
                  <c:v>0.5</c:v>
                </c:pt>
                <c:pt idx="248">
                  <c:v>0.5</c:v>
                </c:pt>
                <c:pt idx="249">
                  <c:v>0.5</c:v>
                </c:pt>
                <c:pt idx="250">
                  <c:v>0.5</c:v>
                </c:pt>
                <c:pt idx="251">
                  <c:v>0.5</c:v>
                </c:pt>
                <c:pt idx="252">
                  <c:v>1</c:v>
                </c:pt>
                <c:pt idx="253">
                  <c:v>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-0.91000000000000014</c:v>
                </c:pt>
                <c:pt idx="268">
                  <c:v>-0.5</c:v>
                </c:pt>
                <c:pt idx="269">
                  <c:v>-0.5</c:v>
                </c:pt>
                <c:pt idx="270">
                  <c:v>-0.5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0.5</c:v>
                </c:pt>
                <c:pt idx="287">
                  <c:v>0.5</c:v>
                </c:pt>
                <c:pt idx="288">
                  <c:v>0.41000000000000014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-1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0.5</c:v>
                </c:pt>
                <c:pt idx="314">
                  <c:v>0.5</c:v>
                </c:pt>
                <c:pt idx="315">
                  <c:v>0.5</c:v>
                </c:pt>
                <c:pt idx="316">
                  <c:v>0.5</c:v>
                </c:pt>
                <c:pt idx="317">
                  <c:v>0.5</c:v>
                </c:pt>
                <c:pt idx="318">
                  <c:v>0.5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0.5</c:v>
                </c:pt>
                <c:pt idx="344">
                  <c:v>0.5</c:v>
                </c:pt>
                <c:pt idx="345">
                  <c:v>0.5</c:v>
                </c:pt>
                <c:pt idx="346">
                  <c:v>0.5</c:v>
                </c:pt>
                <c:pt idx="347">
                  <c:v>0.5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</c:v>
                </c:pt>
                <c:pt idx="353">
                  <c:v>0.5</c:v>
                </c:pt>
                <c:pt idx="354">
                  <c:v>0.5</c:v>
                </c:pt>
                <c:pt idx="355">
                  <c:v>0.75</c:v>
                </c:pt>
                <c:pt idx="356">
                  <c:v>0.75</c:v>
                </c:pt>
                <c:pt idx="357">
                  <c:v>0.75</c:v>
                </c:pt>
                <c:pt idx="358">
                  <c:v>0.75</c:v>
                </c:pt>
                <c:pt idx="359">
                  <c:v>1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-0.75</c:v>
                </c:pt>
                <c:pt idx="368">
                  <c:v>-0.75</c:v>
                </c:pt>
                <c:pt idx="369">
                  <c:v>-0.75</c:v>
                </c:pt>
                <c:pt idx="370">
                  <c:v>-0.75</c:v>
                </c:pt>
                <c:pt idx="371">
                  <c:v>-0.75</c:v>
                </c:pt>
                <c:pt idx="372">
                  <c:v>-0.75</c:v>
                </c:pt>
                <c:pt idx="373">
                  <c:v>-0.75</c:v>
                </c:pt>
                <c:pt idx="374">
                  <c:v>-0.75</c:v>
                </c:pt>
                <c:pt idx="375">
                  <c:v>-0.75</c:v>
                </c:pt>
                <c:pt idx="376">
                  <c:v>-0.75</c:v>
                </c:pt>
                <c:pt idx="377">
                  <c:v>-0.75</c:v>
                </c:pt>
                <c:pt idx="378">
                  <c:v>-0.75</c:v>
                </c:pt>
                <c:pt idx="379">
                  <c:v>-0.75</c:v>
                </c:pt>
                <c:pt idx="380">
                  <c:v>-0.75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0.75</c:v>
                </c:pt>
                <c:pt idx="392">
                  <c:v>0.75</c:v>
                </c:pt>
                <c:pt idx="393">
                  <c:v>0.75</c:v>
                </c:pt>
                <c:pt idx="394">
                  <c:v>0.75</c:v>
                </c:pt>
                <c:pt idx="395">
                  <c:v>0.75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0.75</c:v>
                </c:pt>
                <c:pt idx="403">
                  <c:v>-0.75</c:v>
                </c:pt>
                <c:pt idx="404">
                  <c:v>-0.75</c:v>
                </c:pt>
                <c:pt idx="405">
                  <c:v>-0.75</c:v>
                </c:pt>
                <c:pt idx="406">
                  <c:v>-0.75</c:v>
                </c:pt>
                <c:pt idx="407">
                  <c:v>-0.75</c:v>
                </c:pt>
                <c:pt idx="408">
                  <c:v>-0.75</c:v>
                </c:pt>
                <c:pt idx="409">
                  <c:v>-0.75</c:v>
                </c:pt>
                <c:pt idx="410">
                  <c:v>-0.75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0.75</c:v>
                </c:pt>
                <c:pt idx="418">
                  <c:v>0.75</c:v>
                </c:pt>
                <c:pt idx="419">
                  <c:v>0.75</c:v>
                </c:pt>
                <c:pt idx="420">
                  <c:v>0.75</c:v>
                </c:pt>
                <c:pt idx="421">
                  <c:v>0.75</c:v>
                </c:pt>
                <c:pt idx="422">
                  <c:v>0.75</c:v>
                </c:pt>
                <c:pt idx="423">
                  <c:v>0.75</c:v>
                </c:pt>
                <c:pt idx="424">
                  <c:v>0.75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-0.75</c:v>
                </c:pt>
                <c:pt idx="474">
                  <c:v>-0.75</c:v>
                </c:pt>
                <c:pt idx="475">
                  <c:v>-0.75</c:v>
                </c:pt>
                <c:pt idx="476">
                  <c:v>-0.75</c:v>
                </c:pt>
                <c:pt idx="477">
                  <c:v>-0.75</c:v>
                </c:pt>
                <c:pt idx="478">
                  <c:v>-0.75</c:v>
                </c:pt>
                <c:pt idx="479">
                  <c:v>-0.75</c:v>
                </c:pt>
                <c:pt idx="480">
                  <c:v>-0.75</c:v>
                </c:pt>
                <c:pt idx="481">
                  <c:v>-0.75</c:v>
                </c:pt>
                <c:pt idx="482">
                  <c:v>-0.75</c:v>
                </c:pt>
                <c:pt idx="483">
                  <c:v>-0.75</c:v>
                </c:pt>
                <c:pt idx="484">
                  <c:v>-0.75</c:v>
                </c:pt>
                <c:pt idx="485">
                  <c:v>-0.75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0.75</c:v>
                </c:pt>
                <c:pt idx="494">
                  <c:v>0.75</c:v>
                </c:pt>
                <c:pt idx="495">
                  <c:v>0.75</c:v>
                </c:pt>
                <c:pt idx="496">
                  <c:v>0.75</c:v>
                </c:pt>
                <c:pt idx="497">
                  <c:v>0.75</c:v>
                </c:pt>
                <c:pt idx="498">
                  <c:v>0.75</c:v>
                </c:pt>
                <c:pt idx="499">
                  <c:v>0.75</c:v>
                </c:pt>
                <c:pt idx="500">
                  <c:v>0.75</c:v>
                </c:pt>
                <c:pt idx="501">
                  <c:v>0.75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-0.75</c:v>
                </c:pt>
                <c:pt idx="528">
                  <c:v>-0.75</c:v>
                </c:pt>
                <c:pt idx="529">
                  <c:v>-0.75</c:v>
                </c:pt>
                <c:pt idx="530">
                  <c:v>-0.75</c:v>
                </c:pt>
                <c:pt idx="531">
                  <c:v>-0.75</c:v>
                </c:pt>
                <c:pt idx="532">
                  <c:v>-0.75</c:v>
                </c:pt>
                <c:pt idx="533">
                  <c:v>-0.75</c:v>
                </c:pt>
                <c:pt idx="534">
                  <c:v>-0.75</c:v>
                </c:pt>
                <c:pt idx="535">
                  <c:v>-0.75</c:v>
                </c:pt>
                <c:pt idx="536">
                  <c:v>-0.75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0.75</c:v>
                </c:pt>
                <c:pt idx="545">
                  <c:v>0.75</c:v>
                </c:pt>
                <c:pt idx="546">
                  <c:v>0.75</c:v>
                </c:pt>
                <c:pt idx="547">
                  <c:v>0.75</c:v>
                </c:pt>
                <c:pt idx="548">
                  <c:v>0.75</c:v>
                </c:pt>
                <c:pt idx="549">
                  <c:v>0.75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-0.75</c:v>
                </c:pt>
                <c:pt idx="560">
                  <c:v>-0.75</c:v>
                </c:pt>
                <c:pt idx="561">
                  <c:v>-0.75</c:v>
                </c:pt>
                <c:pt idx="562">
                  <c:v>-0.75</c:v>
                </c:pt>
                <c:pt idx="563">
                  <c:v>-0.75</c:v>
                </c:pt>
                <c:pt idx="564">
                  <c:v>-0.75</c:v>
                </c:pt>
                <c:pt idx="565">
                  <c:v>-0.75</c:v>
                </c:pt>
                <c:pt idx="566">
                  <c:v>-0.75</c:v>
                </c:pt>
                <c:pt idx="567">
                  <c:v>-0.75</c:v>
                </c:pt>
                <c:pt idx="568">
                  <c:v>-0.75</c:v>
                </c:pt>
                <c:pt idx="569">
                  <c:v>-0.75</c:v>
                </c:pt>
                <c:pt idx="570">
                  <c:v>-0.75</c:v>
                </c:pt>
                <c:pt idx="571">
                  <c:v>-0.75</c:v>
                </c:pt>
                <c:pt idx="572">
                  <c:v>-0.75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0.29999999999999982</c:v>
                </c:pt>
                <c:pt idx="585">
                  <c:v>0.29999999999999982</c:v>
                </c:pt>
                <c:pt idx="586">
                  <c:v>0.29999999999999982</c:v>
                </c:pt>
                <c:pt idx="587">
                  <c:v>0.29999999999999982</c:v>
                </c:pt>
                <c:pt idx="588">
                  <c:v>0.29999999999999982</c:v>
                </c:pt>
                <c:pt idx="589">
                  <c:v>0.29999999999999982</c:v>
                </c:pt>
                <c:pt idx="590">
                  <c:v>0.29999999999999982</c:v>
                </c:pt>
                <c:pt idx="591">
                  <c:v>0.29999999999999982</c:v>
                </c:pt>
                <c:pt idx="592">
                  <c:v>0.75</c:v>
                </c:pt>
                <c:pt idx="593">
                  <c:v>0.75</c:v>
                </c:pt>
                <c:pt idx="594">
                  <c:v>0.75</c:v>
                </c:pt>
                <c:pt idx="595">
                  <c:v>0.75</c:v>
                </c:pt>
                <c:pt idx="596">
                  <c:v>0.75</c:v>
                </c:pt>
                <c:pt idx="597">
                  <c:v>0.75</c:v>
                </c:pt>
                <c:pt idx="598">
                  <c:v>0.75</c:v>
                </c:pt>
                <c:pt idx="599">
                  <c:v>0.75</c:v>
                </c:pt>
                <c:pt idx="600">
                  <c:v>0.75</c:v>
                </c:pt>
                <c:pt idx="601">
                  <c:v>0.75</c:v>
                </c:pt>
                <c:pt idx="602">
                  <c:v>0.60000000000000142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-0.91000000000000014</c:v>
                </c:pt>
                <c:pt idx="609">
                  <c:v>-0.5</c:v>
                </c:pt>
                <c:pt idx="610">
                  <c:v>0</c:v>
                </c:pt>
                <c:pt idx="611">
                  <c:v>0.5</c:v>
                </c:pt>
                <c:pt idx="612">
                  <c:v>0.5</c:v>
                </c:pt>
                <c:pt idx="613">
                  <c:v>0.41000000000000014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-0.5</c:v>
                </c:pt>
                <c:pt idx="691">
                  <c:v>-0.5</c:v>
                </c:pt>
                <c:pt idx="692">
                  <c:v>-0.5</c:v>
                </c:pt>
                <c:pt idx="693">
                  <c:v>-0.5</c:v>
                </c:pt>
                <c:pt idx="694">
                  <c:v>-0.5</c:v>
                </c:pt>
                <c:pt idx="695">
                  <c:v>-0.5</c:v>
                </c:pt>
                <c:pt idx="696">
                  <c:v>-0.5</c:v>
                </c:pt>
                <c:pt idx="697">
                  <c:v>-0.5</c:v>
                </c:pt>
                <c:pt idx="698">
                  <c:v>-0.5</c:v>
                </c:pt>
                <c:pt idx="699">
                  <c:v>-0.5</c:v>
                </c:pt>
                <c:pt idx="700">
                  <c:v>-0.5</c:v>
                </c:pt>
                <c:pt idx="701">
                  <c:v>-0.5</c:v>
                </c:pt>
                <c:pt idx="702">
                  <c:v>-0.5</c:v>
                </c:pt>
                <c:pt idx="703">
                  <c:v>-0.5</c:v>
                </c:pt>
                <c:pt idx="704">
                  <c:v>-0.5</c:v>
                </c:pt>
                <c:pt idx="705">
                  <c:v>-0.5</c:v>
                </c:pt>
                <c:pt idx="706">
                  <c:v>-0.5</c:v>
                </c:pt>
                <c:pt idx="707">
                  <c:v>-0.5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0.29999999999999982</c:v>
                </c:pt>
                <c:pt idx="724">
                  <c:v>0.29999999999999982</c:v>
                </c:pt>
                <c:pt idx="725">
                  <c:v>0.29999999999999982</c:v>
                </c:pt>
                <c:pt idx="726">
                  <c:v>0.29999999999999982</c:v>
                </c:pt>
                <c:pt idx="727">
                  <c:v>0.29999999999999982</c:v>
                </c:pt>
                <c:pt idx="728">
                  <c:v>0.29999999999999982</c:v>
                </c:pt>
                <c:pt idx="729">
                  <c:v>0.29999999999999982</c:v>
                </c:pt>
                <c:pt idx="730">
                  <c:v>0.29999999999999982</c:v>
                </c:pt>
                <c:pt idx="731">
                  <c:v>0.29999999999999982</c:v>
                </c:pt>
                <c:pt idx="732">
                  <c:v>0.29999999999999982</c:v>
                </c:pt>
                <c:pt idx="733">
                  <c:v>0.29999999999999982</c:v>
                </c:pt>
                <c:pt idx="734">
                  <c:v>0.29999999999999982</c:v>
                </c:pt>
                <c:pt idx="735">
                  <c:v>0.75</c:v>
                </c:pt>
                <c:pt idx="736">
                  <c:v>0.75</c:v>
                </c:pt>
                <c:pt idx="737">
                  <c:v>0.75</c:v>
                </c:pt>
                <c:pt idx="738">
                  <c:v>0.75</c:v>
                </c:pt>
                <c:pt idx="739">
                  <c:v>0.75</c:v>
                </c:pt>
                <c:pt idx="740">
                  <c:v>0.75</c:v>
                </c:pt>
                <c:pt idx="741">
                  <c:v>0.75</c:v>
                </c:pt>
                <c:pt idx="742">
                  <c:v>1</c:v>
                </c:pt>
                <c:pt idx="743">
                  <c:v>1</c:v>
                </c:pt>
                <c:pt idx="744">
                  <c:v>0.15000000000000213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-0.5</c:v>
                </c:pt>
                <c:pt idx="756">
                  <c:v>-0.5</c:v>
                </c:pt>
                <c:pt idx="757">
                  <c:v>-0.5</c:v>
                </c:pt>
                <c:pt idx="758">
                  <c:v>-0.5</c:v>
                </c:pt>
                <c:pt idx="759">
                  <c:v>-0.5</c:v>
                </c:pt>
                <c:pt idx="760">
                  <c:v>-0.5</c:v>
                </c:pt>
                <c:pt idx="761">
                  <c:v>-0.5</c:v>
                </c:pt>
                <c:pt idx="762">
                  <c:v>-0.5</c:v>
                </c:pt>
                <c:pt idx="763">
                  <c:v>-0.5</c:v>
                </c:pt>
                <c:pt idx="764">
                  <c:v>-0.5</c:v>
                </c:pt>
                <c:pt idx="765">
                  <c:v>-0.5</c:v>
                </c:pt>
                <c:pt idx="766">
                  <c:v>-0.5</c:v>
                </c:pt>
                <c:pt idx="767">
                  <c:v>-0.5</c:v>
                </c:pt>
                <c:pt idx="768">
                  <c:v>-0.5</c:v>
                </c:pt>
                <c:pt idx="769">
                  <c:v>-0.5</c:v>
                </c:pt>
                <c:pt idx="770">
                  <c:v>-0.5</c:v>
                </c:pt>
                <c:pt idx="771">
                  <c:v>-0.5</c:v>
                </c:pt>
                <c:pt idx="772">
                  <c:v>-0.5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0.29999999999999982</c:v>
                </c:pt>
                <c:pt idx="784">
                  <c:v>0.29999999999999982</c:v>
                </c:pt>
                <c:pt idx="785">
                  <c:v>0.29999999999999982</c:v>
                </c:pt>
                <c:pt idx="786">
                  <c:v>0.29999999999999982</c:v>
                </c:pt>
                <c:pt idx="787">
                  <c:v>0.29999999999999982</c:v>
                </c:pt>
                <c:pt idx="788">
                  <c:v>0.79999999999999982</c:v>
                </c:pt>
                <c:pt idx="789">
                  <c:v>0.79999999999999982</c:v>
                </c:pt>
                <c:pt idx="790">
                  <c:v>0.79999999999999982</c:v>
                </c:pt>
                <c:pt idx="791">
                  <c:v>0.80000000000000071</c:v>
                </c:pt>
                <c:pt idx="792">
                  <c:v>0.80000000000000071</c:v>
                </c:pt>
                <c:pt idx="793">
                  <c:v>0.80000000000000071</c:v>
                </c:pt>
                <c:pt idx="794">
                  <c:v>0.80000000000000071</c:v>
                </c:pt>
                <c:pt idx="795">
                  <c:v>0.80000000000000071</c:v>
                </c:pt>
                <c:pt idx="796">
                  <c:v>0.80000000000000071</c:v>
                </c:pt>
                <c:pt idx="797">
                  <c:v>0.29999999999999716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-0.5</c:v>
                </c:pt>
                <c:pt idx="822">
                  <c:v>-0.5</c:v>
                </c:pt>
                <c:pt idx="823">
                  <c:v>-0.5</c:v>
                </c:pt>
                <c:pt idx="824">
                  <c:v>-0.5</c:v>
                </c:pt>
                <c:pt idx="825">
                  <c:v>-0.5</c:v>
                </c:pt>
                <c:pt idx="826">
                  <c:v>-0.5</c:v>
                </c:pt>
                <c:pt idx="827">
                  <c:v>-0.5</c:v>
                </c:pt>
                <c:pt idx="828">
                  <c:v>-0.5</c:v>
                </c:pt>
                <c:pt idx="829">
                  <c:v>-0.5</c:v>
                </c:pt>
                <c:pt idx="830">
                  <c:v>-0.5</c:v>
                </c:pt>
                <c:pt idx="831">
                  <c:v>-0.5</c:v>
                </c:pt>
                <c:pt idx="832">
                  <c:v>-0.5</c:v>
                </c:pt>
                <c:pt idx="833">
                  <c:v>-0.5</c:v>
                </c:pt>
                <c:pt idx="834">
                  <c:v>-0.5</c:v>
                </c:pt>
                <c:pt idx="835">
                  <c:v>-0.5</c:v>
                </c:pt>
                <c:pt idx="836">
                  <c:v>-0.5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0.29999999999999982</c:v>
                </c:pt>
                <c:pt idx="859">
                  <c:v>0.29999999999999982</c:v>
                </c:pt>
                <c:pt idx="860">
                  <c:v>0.29999999999999982</c:v>
                </c:pt>
                <c:pt idx="861">
                  <c:v>0.29999999999999982</c:v>
                </c:pt>
                <c:pt idx="862">
                  <c:v>0.29999999999999982</c:v>
                </c:pt>
                <c:pt idx="863">
                  <c:v>0.29999999999999982</c:v>
                </c:pt>
                <c:pt idx="864">
                  <c:v>0.29999999999999982</c:v>
                </c:pt>
                <c:pt idx="865">
                  <c:v>0.29999999999999982</c:v>
                </c:pt>
                <c:pt idx="866">
                  <c:v>0.30000000000000071</c:v>
                </c:pt>
                <c:pt idx="867">
                  <c:v>0.30000000000000071</c:v>
                </c:pt>
                <c:pt idx="868">
                  <c:v>0.30000000000000071</c:v>
                </c:pt>
                <c:pt idx="869">
                  <c:v>0.30000000000000071</c:v>
                </c:pt>
                <c:pt idx="870">
                  <c:v>0.30000000000000071</c:v>
                </c:pt>
                <c:pt idx="871">
                  <c:v>0.30000000000000071</c:v>
                </c:pt>
                <c:pt idx="872">
                  <c:v>0.30000000000000071</c:v>
                </c:pt>
                <c:pt idx="873">
                  <c:v>0.30000000000000071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0.5</c:v>
                </c:pt>
                <c:pt idx="936">
                  <c:v>0.5</c:v>
                </c:pt>
                <c:pt idx="937">
                  <c:v>0.5</c:v>
                </c:pt>
                <c:pt idx="938">
                  <c:v>0.5</c:v>
                </c:pt>
                <c:pt idx="939">
                  <c:v>0.5</c:v>
                </c:pt>
                <c:pt idx="940">
                  <c:v>0.5</c:v>
                </c:pt>
                <c:pt idx="941">
                  <c:v>0.19999999999999929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-0.75</c:v>
                </c:pt>
                <c:pt idx="971">
                  <c:v>-0.75</c:v>
                </c:pt>
                <c:pt idx="972">
                  <c:v>-0.75</c:v>
                </c:pt>
                <c:pt idx="973">
                  <c:v>-0.75</c:v>
                </c:pt>
                <c:pt idx="974">
                  <c:v>-0.75</c:v>
                </c:pt>
                <c:pt idx="975">
                  <c:v>-0.75</c:v>
                </c:pt>
                <c:pt idx="976">
                  <c:v>-0.75</c:v>
                </c:pt>
                <c:pt idx="977">
                  <c:v>-0.75</c:v>
                </c:pt>
                <c:pt idx="978">
                  <c:v>-0.75</c:v>
                </c:pt>
                <c:pt idx="979">
                  <c:v>-0.75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0.75</c:v>
                </c:pt>
                <c:pt idx="993">
                  <c:v>0.75</c:v>
                </c:pt>
                <c:pt idx="994">
                  <c:v>0.75</c:v>
                </c:pt>
                <c:pt idx="995">
                  <c:v>0.75</c:v>
                </c:pt>
                <c:pt idx="996">
                  <c:v>0.75</c:v>
                </c:pt>
                <c:pt idx="997">
                  <c:v>0.75</c:v>
                </c:pt>
                <c:pt idx="998">
                  <c:v>0.75</c:v>
                </c:pt>
                <c:pt idx="999">
                  <c:v>0.75</c:v>
                </c:pt>
                <c:pt idx="1000">
                  <c:v>0.75</c:v>
                </c:pt>
                <c:pt idx="1001">
                  <c:v>-0.75</c:v>
                </c:pt>
                <c:pt idx="1002">
                  <c:v>-0.75</c:v>
                </c:pt>
                <c:pt idx="1003">
                  <c:v>-0.75</c:v>
                </c:pt>
                <c:pt idx="1004">
                  <c:v>-0.75</c:v>
                </c:pt>
                <c:pt idx="1005">
                  <c:v>-0.75</c:v>
                </c:pt>
                <c:pt idx="1006">
                  <c:v>-0.75</c:v>
                </c:pt>
                <c:pt idx="1007">
                  <c:v>-0.75</c:v>
                </c:pt>
                <c:pt idx="1008">
                  <c:v>-0.75</c:v>
                </c:pt>
                <c:pt idx="1009">
                  <c:v>-0.75</c:v>
                </c:pt>
                <c:pt idx="1010">
                  <c:v>-0.75</c:v>
                </c:pt>
                <c:pt idx="1011">
                  <c:v>-0.75</c:v>
                </c:pt>
                <c:pt idx="1012">
                  <c:v>-0.75</c:v>
                </c:pt>
                <c:pt idx="1013">
                  <c:v>-0.75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0.75</c:v>
                </c:pt>
                <c:pt idx="1021">
                  <c:v>0.75</c:v>
                </c:pt>
                <c:pt idx="1022">
                  <c:v>0.75</c:v>
                </c:pt>
                <c:pt idx="1023">
                  <c:v>0.75</c:v>
                </c:pt>
                <c:pt idx="1024">
                  <c:v>0.75</c:v>
                </c:pt>
                <c:pt idx="1025">
                  <c:v>0.75</c:v>
                </c:pt>
                <c:pt idx="1026">
                  <c:v>0.75</c:v>
                </c:pt>
                <c:pt idx="1027">
                  <c:v>0.75</c:v>
                </c:pt>
                <c:pt idx="1028">
                  <c:v>0.75</c:v>
                </c:pt>
                <c:pt idx="1029">
                  <c:v>0.75</c:v>
                </c:pt>
                <c:pt idx="1030">
                  <c:v>0.75</c:v>
                </c:pt>
                <c:pt idx="1031">
                  <c:v>0.75</c:v>
                </c:pt>
                <c:pt idx="1032">
                  <c:v>0.75</c:v>
                </c:pt>
                <c:pt idx="1033">
                  <c:v>0.75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-0.75</c:v>
                </c:pt>
                <c:pt idx="1038">
                  <c:v>-0.75</c:v>
                </c:pt>
                <c:pt idx="1039">
                  <c:v>-0.75</c:v>
                </c:pt>
                <c:pt idx="1040">
                  <c:v>-0.75</c:v>
                </c:pt>
                <c:pt idx="1041">
                  <c:v>-0.75</c:v>
                </c:pt>
                <c:pt idx="1042">
                  <c:v>-0.75</c:v>
                </c:pt>
                <c:pt idx="1043">
                  <c:v>-0.75</c:v>
                </c:pt>
                <c:pt idx="1044">
                  <c:v>-0.75</c:v>
                </c:pt>
                <c:pt idx="1045">
                  <c:v>-0.75</c:v>
                </c:pt>
                <c:pt idx="1046">
                  <c:v>-0.75</c:v>
                </c:pt>
                <c:pt idx="1047">
                  <c:v>-0.75</c:v>
                </c:pt>
                <c:pt idx="1048">
                  <c:v>-0.75</c:v>
                </c:pt>
                <c:pt idx="1049">
                  <c:v>-0.75</c:v>
                </c:pt>
                <c:pt idx="1050">
                  <c:v>-0.75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0.79999999999999982</c:v>
                </c:pt>
                <c:pt idx="1060">
                  <c:v>0.79999999999999982</c:v>
                </c:pt>
                <c:pt idx="1061">
                  <c:v>0.79999999999999982</c:v>
                </c:pt>
                <c:pt idx="1062">
                  <c:v>0.79999999999999982</c:v>
                </c:pt>
                <c:pt idx="1063">
                  <c:v>0.79999999999999982</c:v>
                </c:pt>
                <c:pt idx="1064">
                  <c:v>0.79999999999999982</c:v>
                </c:pt>
                <c:pt idx="1065">
                  <c:v>0.80000000000000071</c:v>
                </c:pt>
                <c:pt idx="1066">
                  <c:v>0.80000000000000071</c:v>
                </c:pt>
                <c:pt idx="1067">
                  <c:v>0.80000000000000071</c:v>
                </c:pt>
                <c:pt idx="1068">
                  <c:v>0.80000000000000071</c:v>
                </c:pt>
                <c:pt idx="1069">
                  <c:v>0.80000000000000071</c:v>
                </c:pt>
                <c:pt idx="1070">
                  <c:v>0.80000000000000071</c:v>
                </c:pt>
                <c:pt idx="1071">
                  <c:v>0.80000000000000071</c:v>
                </c:pt>
                <c:pt idx="1072">
                  <c:v>9.9999999999996092E-2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-0.75</c:v>
                </c:pt>
                <c:pt idx="1084">
                  <c:v>-0.75</c:v>
                </c:pt>
                <c:pt idx="1085">
                  <c:v>-0.75</c:v>
                </c:pt>
                <c:pt idx="1086">
                  <c:v>-0.75</c:v>
                </c:pt>
                <c:pt idx="1087">
                  <c:v>-0.75</c:v>
                </c:pt>
                <c:pt idx="1088">
                  <c:v>-0.75</c:v>
                </c:pt>
                <c:pt idx="1089">
                  <c:v>-0.75</c:v>
                </c:pt>
                <c:pt idx="1090">
                  <c:v>-0.75</c:v>
                </c:pt>
                <c:pt idx="1091">
                  <c:v>-0.75</c:v>
                </c:pt>
                <c:pt idx="1092">
                  <c:v>-0.75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D6-4019-A2E2-729486398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9391544"/>
        <c:axId val="1289389904"/>
      </c:scatterChart>
      <c:valAx>
        <c:axId val="146187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76728"/>
        <c:crosses val="autoZero"/>
        <c:crossBetween val="midCat"/>
      </c:valAx>
      <c:valAx>
        <c:axId val="1461876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76072"/>
        <c:crosses val="autoZero"/>
        <c:crossBetween val="midCat"/>
      </c:valAx>
      <c:valAx>
        <c:axId val="12893899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((m/s)^2)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9391544"/>
        <c:crosses val="max"/>
        <c:crossBetween val="midCat"/>
      </c:valAx>
      <c:valAx>
        <c:axId val="1289391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89389904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Resistive Force &amp; Acceleration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Resistance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Cycle'!$P$3:$P$1111</c:f>
              <c:numCache>
                <c:formatCode>General</c:formatCode>
                <c:ptCount val="1109"/>
                <c:pt idx="0">
                  <c:v>0</c:v>
                </c:pt>
                <c:pt idx="1">
                  <c:v>73.241199000000009</c:v>
                </c:pt>
                <c:pt idx="2">
                  <c:v>75.910011300000008</c:v>
                </c:pt>
                <c:pt idx="3">
                  <c:v>80.358031800000006</c:v>
                </c:pt>
                <c:pt idx="4">
                  <c:v>86.585260500000004</c:v>
                </c:pt>
                <c:pt idx="5">
                  <c:v>94.591697400000015</c:v>
                </c:pt>
                <c:pt idx="6">
                  <c:v>104.3773425</c:v>
                </c:pt>
                <c:pt idx="7">
                  <c:v>115.94219580000001</c:v>
                </c:pt>
                <c:pt idx="8">
                  <c:v>129.28625729999999</c:v>
                </c:pt>
                <c:pt idx="9">
                  <c:v>144.409527</c:v>
                </c:pt>
                <c:pt idx="10">
                  <c:v>161.31200490000001</c:v>
                </c:pt>
                <c:pt idx="11">
                  <c:v>179.99369100000001</c:v>
                </c:pt>
                <c:pt idx="12">
                  <c:v>200.45458529999999</c:v>
                </c:pt>
                <c:pt idx="13">
                  <c:v>222.6946878</c:v>
                </c:pt>
                <c:pt idx="14">
                  <c:v>232.32740995520999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415.72996416160186</c:v>
                </c:pt>
                <c:pt idx="94">
                  <c:v>404.38751188660183</c:v>
                </c:pt>
                <c:pt idx="95">
                  <c:v>393.48986166160182</c:v>
                </c:pt>
                <c:pt idx="96">
                  <c:v>383.03701348660184</c:v>
                </c:pt>
                <c:pt idx="97">
                  <c:v>373.02896736160187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200.45458529999999</c:v>
                </c:pt>
                <c:pt idx="111">
                  <c:v>222.6946878</c:v>
                </c:pt>
                <c:pt idx="112">
                  <c:v>232.32740995520999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161.31200490000001</c:v>
                </c:pt>
                <c:pt idx="117">
                  <c:v>161.31200490000001</c:v>
                </c:pt>
                <c:pt idx="118">
                  <c:v>170.43044692500001</c:v>
                </c:pt>
                <c:pt idx="119">
                  <c:v>170.43044692500001</c:v>
                </c:pt>
                <c:pt idx="120">
                  <c:v>190.00173712499998</c:v>
                </c:pt>
                <c:pt idx="121">
                  <c:v>68.759778195360383</c:v>
                </c:pt>
                <c:pt idx="122">
                  <c:v>89.734952625570372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209.35783209320999</c:v>
                </c:pt>
                <c:pt idx="158">
                  <c:v>188.16746243120997</c:v>
                </c:pt>
                <c:pt idx="159">
                  <c:v>168.75630096921</c:v>
                </c:pt>
                <c:pt idx="160">
                  <c:v>151.12434770721001</c:v>
                </c:pt>
                <c:pt idx="161">
                  <c:v>135.27160264521001</c:v>
                </c:pt>
                <c:pt idx="162">
                  <c:v>121.19806578321001</c:v>
                </c:pt>
                <c:pt idx="163">
                  <c:v>108.90373712121001</c:v>
                </c:pt>
                <c:pt idx="164">
                  <c:v>98.388616659210015</c:v>
                </c:pt>
                <c:pt idx="165">
                  <c:v>89.652704397210016</c:v>
                </c:pt>
                <c:pt idx="166">
                  <c:v>82.696000335210016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89.652704397210016</c:v>
                </c:pt>
                <c:pt idx="179">
                  <c:v>98.388616659210015</c:v>
                </c:pt>
                <c:pt idx="180">
                  <c:v>108.90373712121001</c:v>
                </c:pt>
                <c:pt idx="181">
                  <c:v>121.19806578321001</c:v>
                </c:pt>
                <c:pt idx="182">
                  <c:v>135.27160264521001</c:v>
                </c:pt>
                <c:pt idx="183">
                  <c:v>151.12434770721001</c:v>
                </c:pt>
                <c:pt idx="184">
                  <c:v>168.75630096921</c:v>
                </c:pt>
                <c:pt idx="185">
                  <c:v>188.16746243120997</c:v>
                </c:pt>
                <c:pt idx="186">
                  <c:v>209.35783209320999</c:v>
                </c:pt>
                <c:pt idx="187">
                  <c:v>232.32740995520999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209.35783209320999</c:v>
                </c:pt>
                <c:pt idx="215">
                  <c:v>188.16746243120997</c:v>
                </c:pt>
                <c:pt idx="216">
                  <c:v>168.75630096921</c:v>
                </c:pt>
                <c:pt idx="217">
                  <c:v>151.12434770721001</c:v>
                </c:pt>
                <c:pt idx="218">
                  <c:v>135.27160264521001</c:v>
                </c:pt>
                <c:pt idx="219">
                  <c:v>121.19806578321001</c:v>
                </c:pt>
                <c:pt idx="220">
                  <c:v>108.90373712121001</c:v>
                </c:pt>
                <c:pt idx="221">
                  <c:v>98.388616659210015</c:v>
                </c:pt>
                <c:pt idx="222">
                  <c:v>89.652704397210016</c:v>
                </c:pt>
                <c:pt idx="223">
                  <c:v>82.696000335210016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85.951951341210005</c:v>
                </c:pt>
                <c:pt idx="237">
                  <c:v>89.652704397210016</c:v>
                </c:pt>
                <c:pt idx="238">
                  <c:v>93.798259503210005</c:v>
                </c:pt>
                <c:pt idx="239">
                  <c:v>98.388616659210015</c:v>
                </c:pt>
                <c:pt idx="240">
                  <c:v>103.42377586521</c:v>
                </c:pt>
                <c:pt idx="241">
                  <c:v>108.90373712121001</c:v>
                </c:pt>
                <c:pt idx="242">
                  <c:v>114.82850042721</c:v>
                </c:pt>
                <c:pt idx="243">
                  <c:v>121.19806578321001</c:v>
                </c:pt>
                <c:pt idx="244">
                  <c:v>128.01243318921001</c:v>
                </c:pt>
                <c:pt idx="245">
                  <c:v>135.27160264521001</c:v>
                </c:pt>
                <c:pt idx="246">
                  <c:v>142.97557415121003</c:v>
                </c:pt>
                <c:pt idx="247">
                  <c:v>151.12434770721001</c:v>
                </c:pt>
                <c:pt idx="248">
                  <c:v>159.71792331321001</c:v>
                </c:pt>
                <c:pt idx="249">
                  <c:v>168.75630096921</c:v>
                </c:pt>
                <c:pt idx="250">
                  <c:v>178.23948067521002</c:v>
                </c:pt>
                <c:pt idx="251">
                  <c:v>188.16746243120997</c:v>
                </c:pt>
                <c:pt idx="252">
                  <c:v>209.35783209320999</c:v>
                </c:pt>
                <c:pt idx="253">
                  <c:v>232.32740995520999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353.9446928546397</c:v>
                </c:pt>
                <c:pt idx="268">
                  <c:v>343.04704262963969</c:v>
                </c:pt>
                <c:pt idx="269">
                  <c:v>332.59419445463965</c:v>
                </c:pt>
                <c:pt idx="270">
                  <c:v>322.58614832963974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285.10615387104656</c:v>
                </c:pt>
                <c:pt idx="286">
                  <c:v>211.352235525</c:v>
                </c:pt>
                <c:pt idx="287">
                  <c:v>222.6946878</c:v>
                </c:pt>
                <c:pt idx="288">
                  <c:v>232.32740995520999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209.35783209320999</c:v>
                </c:pt>
                <c:pt idx="297">
                  <c:v>188.16746243120997</c:v>
                </c:pt>
                <c:pt idx="298">
                  <c:v>168.75630096921</c:v>
                </c:pt>
                <c:pt idx="299">
                  <c:v>151.12434770721001</c:v>
                </c:pt>
                <c:pt idx="300">
                  <c:v>135.27160264521001</c:v>
                </c:pt>
                <c:pt idx="301">
                  <c:v>121.19806578321001</c:v>
                </c:pt>
                <c:pt idx="302">
                  <c:v>108.90373712121001</c:v>
                </c:pt>
                <c:pt idx="303">
                  <c:v>98.388616659210015</c:v>
                </c:pt>
                <c:pt idx="304">
                  <c:v>89.652704397210016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93.798259503210005</c:v>
                </c:pt>
                <c:pt idx="314">
                  <c:v>98.388616659210015</c:v>
                </c:pt>
                <c:pt idx="315">
                  <c:v>103.42377586521</c:v>
                </c:pt>
                <c:pt idx="316">
                  <c:v>108.90373712121001</c:v>
                </c:pt>
                <c:pt idx="317">
                  <c:v>114.82850042721</c:v>
                </c:pt>
                <c:pt idx="318">
                  <c:v>121.19806578321001</c:v>
                </c:pt>
                <c:pt idx="319">
                  <c:v>128.01243318921001</c:v>
                </c:pt>
                <c:pt idx="320">
                  <c:v>135.27160264521001</c:v>
                </c:pt>
                <c:pt idx="321">
                  <c:v>142.97557415121003</c:v>
                </c:pt>
                <c:pt idx="322">
                  <c:v>151.12434770721001</c:v>
                </c:pt>
                <c:pt idx="323">
                  <c:v>-24.278975392391857</c:v>
                </c:pt>
                <c:pt idx="324">
                  <c:v>-4.8678139303918897</c:v>
                </c:pt>
                <c:pt idx="325">
                  <c:v>16.322555731608134</c:v>
                </c:pt>
                <c:pt idx="326">
                  <c:v>39.292133593608128</c:v>
                </c:pt>
                <c:pt idx="327">
                  <c:v>39.292133593608128</c:v>
                </c:pt>
                <c:pt idx="328">
                  <c:v>16.322555731608134</c:v>
                </c:pt>
                <c:pt idx="329">
                  <c:v>-4.8678139303918897</c:v>
                </c:pt>
                <c:pt idx="330">
                  <c:v>-24.278975392391857</c:v>
                </c:pt>
                <c:pt idx="331">
                  <c:v>-41.910928654391853</c:v>
                </c:pt>
                <c:pt idx="332">
                  <c:v>-57.76367371639185</c:v>
                </c:pt>
                <c:pt idx="333">
                  <c:v>-71.837210578391847</c:v>
                </c:pt>
                <c:pt idx="334">
                  <c:v>-84.131539240391845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114.82850042721</c:v>
                </c:pt>
                <c:pt idx="1105">
                  <c:v>128.01243318921001</c:v>
                </c:pt>
                <c:pt idx="1106">
                  <c:v>142.97557415121003</c:v>
                </c:pt>
                <c:pt idx="1107">
                  <c:v>159.71792331321001</c:v>
                </c:pt>
                <c:pt idx="1108">
                  <c:v>178.23948067521002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D9-48C8-BB60-01A44FCCF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20352"/>
        <c:axId val="1496721992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Cycle'!$I$3:$I$1111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0.41000000000000014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-0.41000000000000014</c:v>
                </c:pt>
                <c:pt idx="94">
                  <c:v>-0.5</c:v>
                </c:pt>
                <c:pt idx="95">
                  <c:v>-0.5</c:v>
                </c:pt>
                <c:pt idx="96">
                  <c:v>-0.5</c:v>
                </c:pt>
                <c:pt idx="97">
                  <c:v>-0.5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0.41000000000000014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-3.41</c:v>
                </c:pt>
                <c:pt idx="117">
                  <c:v>0</c:v>
                </c:pt>
                <c:pt idx="118">
                  <c:v>0.5</c:v>
                </c:pt>
                <c:pt idx="119">
                  <c:v>0</c:v>
                </c:pt>
                <c:pt idx="120">
                  <c:v>1</c:v>
                </c:pt>
                <c:pt idx="121">
                  <c:v>1</c:v>
                </c:pt>
                <c:pt idx="122">
                  <c:v>0.91000000000000014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0.5</c:v>
                </c:pt>
                <c:pt idx="237">
                  <c:v>0.5</c:v>
                </c:pt>
                <c:pt idx="238">
                  <c:v>0.5</c:v>
                </c:pt>
                <c:pt idx="239">
                  <c:v>0.5</c:v>
                </c:pt>
                <c:pt idx="240">
                  <c:v>0.5</c:v>
                </c:pt>
                <c:pt idx="241">
                  <c:v>0.5</c:v>
                </c:pt>
                <c:pt idx="242">
                  <c:v>0.5</c:v>
                </c:pt>
                <c:pt idx="243">
                  <c:v>0.5</c:v>
                </c:pt>
                <c:pt idx="244">
                  <c:v>0.5</c:v>
                </c:pt>
                <c:pt idx="245">
                  <c:v>0.5</c:v>
                </c:pt>
                <c:pt idx="246">
                  <c:v>0.5</c:v>
                </c:pt>
                <c:pt idx="247">
                  <c:v>0.5</c:v>
                </c:pt>
                <c:pt idx="248">
                  <c:v>0.5</c:v>
                </c:pt>
                <c:pt idx="249">
                  <c:v>0.5</c:v>
                </c:pt>
                <c:pt idx="250">
                  <c:v>0.5</c:v>
                </c:pt>
                <c:pt idx="251">
                  <c:v>0.5</c:v>
                </c:pt>
                <c:pt idx="252">
                  <c:v>1</c:v>
                </c:pt>
                <c:pt idx="253">
                  <c:v>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-0.91000000000000014</c:v>
                </c:pt>
                <c:pt idx="268">
                  <c:v>-0.5</c:v>
                </c:pt>
                <c:pt idx="269">
                  <c:v>-0.5</c:v>
                </c:pt>
                <c:pt idx="270">
                  <c:v>-0.5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1</c:v>
                </c:pt>
                <c:pt idx="286">
                  <c:v>0.5</c:v>
                </c:pt>
                <c:pt idx="287">
                  <c:v>0.5</c:v>
                </c:pt>
                <c:pt idx="288">
                  <c:v>0.41000000000000014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-1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0.5</c:v>
                </c:pt>
                <c:pt idx="314">
                  <c:v>0.5</c:v>
                </c:pt>
                <c:pt idx="315">
                  <c:v>0.5</c:v>
                </c:pt>
                <c:pt idx="316">
                  <c:v>0.5</c:v>
                </c:pt>
                <c:pt idx="317">
                  <c:v>0.5</c:v>
                </c:pt>
                <c:pt idx="318">
                  <c:v>0.5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0.5</c:v>
                </c:pt>
                <c:pt idx="344">
                  <c:v>0.5</c:v>
                </c:pt>
                <c:pt idx="345">
                  <c:v>0.5</c:v>
                </c:pt>
                <c:pt idx="346">
                  <c:v>0.5</c:v>
                </c:pt>
                <c:pt idx="347">
                  <c:v>0.5</c:v>
                </c:pt>
                <c:pt idx="348">
                  <c:v>0.5</c:v>
                </c:pt>
                <c:pt idx="349">
                  <c:v>0.5</c:v>
                </c:pt>
                <c:pt idx="350">
                  <c:v>0.5</c:v>
                </c:pt>
                <c:pt idx="351">
                  <c:v>0.5</c:v>
                </c:pt>
                <c:pt idx="352">
                  <c:v>0.5</c:v>
                </c:pt>
                <c:pt idx="353">
                  <c:v>0.5</c:v>
                </c:pt>
                <c:pt idx="354">
                  <c:v>0.5</c:v>
                </c:pt>
                <c:pt idx="355">
                  <c:v>0.75</c:v>
                </c:pt>
                <c:pt idx="356">
                  <c:v>0.75</c:v>
                </c:pt>
                <c:pt idx="357">
                  <c:v>0.75</c:v>
                </c:pt>
                <c:pt idx="358">
                  <c:v>0.75</c:v>
                </c:pt>
                <c:pt idx="359">
                  <c:v>1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-0.75</c:v>
                </c:pt>
                <c:pt idx="368">
                  <c:v>-0.75</c:v>
                </c:pt>
                <c:pt idx="369">
                  <c:v>-0.75</c:v>
                </c:pt>
                <c:pt idx="370">
                  <c:v>-0.75</c:v>
                </c:pt>
                <c:pt idx="371">
                  <c:v>-0.75</c:v>
                </c:pt>
                <c:pt idx="372">
                  <c:v>-0.75</c:v>
                </c:pt>
                <c:pt idx="373">
                  <c:v>-0.75</c:v>
                </c:pt>
                <c:pt idx="374">
                  <c:v>-0.75</c:v>
                </c:pt>
                <c:pt idx="375">
                  <c:v>-0.75</c:v>
                </c:pt>
                <c:pt idx="376">
                  <c:v>-0.75</c:v>
                </c:pt>
                <c:pt idx="377">
                  <c:v>-0.75</c:v>
                </c:pt>
                <c:pt idx="378">
                  <c:v>-0.75</c:v>
                </c:pt>
                <c:pt idx="379">
                  <c:v>-0.75</c:v>
                </c:pt>
                <c:pt idx="380">
                  <c:v>-0.75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0.75</c:v>
                </c:pt>
                <c:pt idx="392">
                  <c:v>0.75</c:v>
                </c:pt>
                <c:pt idx="393">
                  <c:v>0.75</c:v>
                </c:pt>
                <c:pt idx="394">
                  <c:v>0.75</c:v>
                </c:pt>
                <c:pt idx="395">
                  <c:v>0.75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0.75</c:v>
                </c:pt>
                <c:pt idx="403">
                  <c:v>-0.75</c:v>
                </c:pt>
                <c:pt idx="404">
                  <c:v>-0.75</c:v>
                </c:pt>
                <c:pt idx="405">
                  <c:v>-0.75</c:v>
                </c:pt>
                <c:pt idx="406">
                  <c:v>-0.75</c:v>
                </c:pt>
                <c:pt idx="407">
                  <c:v>-0.75</c:v>
                </c:pt>
                <c:pt idx="408">
                  <c:v>-0.75</c:v>
                </c:pt>
                <c:pt idx="409">
                  <c:v>-0.75</c:v>
                </c:pt>
                <c:pt idx="410">
                  <c:v>-0.75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0.75</c:v>
                </c:pt>
                <c:pt idx="418">
                  <c:v>0.75</c:v>
                </c:pt>
                <c:pt idx="419">
                  <c:v>0.75</c:v>
                </c:pt>
                <c:pt idx="420">
                  <c:v>0.75</c:v>
                </c:pt>
                <c:pt idx="421">
                  <c:v>0.75</c:v>
                </c:pt>
                <c:pt idx="422">
                  <c:v>0.75</c:v>
                </c:pt>
                <c:pt idx="423">
                  <c:v>0.75</c:v>
                </c:pt>
                <c:pt idx="424">
                  <c:v>0.75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-0.75</c:v>
                </c:pt>
                <c:pt idx="474">
                  <c:v>-0.75</c:v>
                </c:pt>
                <c:pt idx="475">
                  <c:v>-0.75</c:v>
                </c:pt>
                <c:pt idx="476">
                  <c:v>-0.75</c:v>
                </c:pt>
                <c:pt idx="477">
                  <c:v>-0.75</c:v>
                </c:pt>
                <c:pt idx="478">
                  <c:v>-0.75</c:v>
                </c:pt>
                <c:pt idx="479">
                  <c:v>-0.75</c:v>
                </c:pt>
                <c:pt idx="480">
                  <c:v>-0.75</c:v>
                </c:pt>
                <c:pt idx="481">
                  <c:v>-0.75</c:v>
                </c:pt>
                <c:pt idx="482">
                  <c:v>-0.75</c:v>
                </c:pt>
                <c:pt idx="483">
                  <c:v>-0.75</c:v>
                </c:pt>
                <c:pt idx="484">
                  <c:v>-0.75</c:v>
                </c:pt>
                <c:pt idx="485">
                  <c:v>-0.75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0.75</c:v>
                </c:pt>
                <c:pt idx="494">
                  <c:v>0.75</c:v>
                </c:pt>
                <c:pt idx="495">
                  <c:v>0.75</c:v>
                </c:pt>
                <c:pt idx="496">
                  <c:v>0.75</c:v>
                </c:pt>
                <c:pt idx="497">
                  <c:v>0.75</c:v>
                </c:pt>
                <c:pt idx="498">
                  <c:v>0.75</c:v>
                </c:pt>
                <c:pt idx="499">
                  <c:v>0.75</c:v>
                </c:pt>
                <c:pt idx="500">
                  <c:v>0.75</c:v>
                </c:pt>
                <c:pt idx="501">
                  <c:v>0.75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-0.75</c:v>
                </c:pt>
                <c:pt idx="528">
                  <c:v>-0.75</c:v>
                </c:pt>
                <c:pt idx="529">
                  <c:v>-0.75</c:v>
                </c:pt>
                <c:pt idx="530">
                  <c:v>-0.75</c:v>
                </c:pt>
                <c:pt idx="531">
                  <c:v>-0.75</c:v>
                </c:pt>
                <c:pt idx="532">
                  <c:v>-0.75</c:v>
                </c:pt>
                <c:pt idx="533">
                  <c:v>-0.75</c:v>
                </c:pt>
                <c:pt idx="534">
                  <c:v>-0.75</c:v>
                </c:pt>
                <c:pt idx="535">
                  <c:v>-0.75</c:v>
                </c:pt>
                <c:pt idx="536">
                  <c:v>-0.75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0.75</c:v>
                </c:pt>
                <c:pt idx="545">
                  <c:v>0.75</c:v>
                </c:pt>
                <c:pt idx="546">
                  <c:v>0.75</c:v>
                </c:pt>
                <c:pt idx="547">
                  <c:v>0.75</c:v>
                </c:pt>
                <c:pt idx="548">
                  <c:v>0.75</c:v>
                </c:pt>
                <c:pt idx="549">
                  <c:v>0.75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-0.75</c:v>
                </c:pt>
                <c:pt idx="560">
                  <c:v>-0.75</c:v>
                </c:pt>
                <c:pt idx="561">
                  <c:v>-0.75</c:v>
                </c:pt>
                <c:pt idx="562">
                  <c:v>-0.75</c:v>
                </c:pt>
                <c:pt idx="563">
                  <c:v>-0.75</c:v>
                </c:pt>
                <c:pt idx="564">
                  <c:v>-0.75</c:v>
                </c:pt>
                <c:pt idx="565">
                  <c:v>-0.75</c:v>
                </c:pt>
                <c:pt idx="566">
                  <c:v>-0.75</c:v>
                </c:pt>
                <c:pt idx="567">
                  <c:v>-0.75</c:v>
                </c:pt>
                <c:pt idx="568">
                  <c:v>-0.75</c:v>
                </c:pt>
                <c:pt idx="569">
                  <c:v>-0.75</c:v>
                </c:pt>
                <c:pt idx="570">
                  <c:v>-0.75</c:v>
                </c:pt>
                <c:pt idx="571">
                  <c:v>-0.75</c:v>
                </c:pt>
                <c:pt idx="572">
                  <c:v>-0.75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0.29999999999999982</c:v>
                </c:pt>
                <c:pt idx="585">
                  <c:v>0.29999999999999982</c:v>
                </c:pt>
                <c:pt idx="586">
                  <c:v>0.29999999999999982</c:v>
                </c:pt>
                <c:pt idx="587">
                  <c:v>0.29999999999999982</c:v>
                </c:pt>
                <c:pt idx="588">
                  <c:v>0.29999999999999982</c:v>
                </c:pt>
                <c:pt idx="589">
                  <c:v>0.29999999999999982</c:v>
                </c:pt>
                <c:pt idx="590">
                  <c:v>0.29999999999999982</c:v>
                </c:pt>
                <c:pt idx="591">
                  <c:v>0.29999999999999982</c:v>
                </c:pt>
                <c:pt idx="592">
                  <c:v>0.75</c:v>
                </c:pt>
                <c:pt idx="593">
                  <c:v>0.75</c:v>
                </c:pt>
                <c:pt idx="594">
                  <c:v>0.75</c:v>
                </c:pt>
                <c:pt idx="595">
                  <c:v>0.75</c:v>
                </c:pt>
                <c:pt idx="596">
                  <c:v>0.75</c:v>
                </c:pt>
                <c:pt idx="597">
                  <c:v>0.75</c:v>
                </c:pt>
                <c:pt idx="598">
                  <c:v>0.75</c:v>
                </c:pt>
                <c:pt idx="599">
                  <c:v>0.75</c:v>
                </c:pt>
                <c:pt idx="600">
                  <c:v>0.75</c:v>
                </c:pt>
                <c:pt idx="601">
                  <c:v>0.75</c:v>
                </c:pt>
                <c:pt idx="602">
                  <c:v>0.60000000000000142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-0.91000000000000014</c:v>
                </c:pt>
                <c:pt idx="609">
                  <c:v>-0.5</c:v>
                </c:pt>
                <c:pt idx="610">
                  <c:v>0</c:v>
                </c:pt>
                <c:pt idx="611">
                  <c:v>0.5</c:v>
                </c:pt>
                <c:pt idx="612">
                  <c:v>0.5</c:v>
                </c:pt>
                <c:pt idx="613">
                  <c:v>0.41000000000000014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-0.5</c:v>
                </c:pt>
                <c:pt idx="691">
                  <c:v>-0.5</c:v>
                </c:pt>
                <c:pt idx="692">
                  <c:v>-0.5</c:v>
                </c:pt>
                <c:pt idx="693">
                  <c:v>-0.5</c:v>
                </c:pt>
                <c:pt idx="694">
                  <c:v>-0.5</c:v>
                </c:pt>
                <c:pt idx="695">
                  <c:v>-0.5</c:v>
                </c:pt>
                <c:pt idx="696">
                  <c:v>-0.5</c:v>
                </c:pt>
                <c:pt idx="697">
                  <c:v>-0.5</c:v>
                </c:pt>
                <c:pt idx="698">
                  <c:v>-0.5</c:v>
                </c:pt>
                <c:pt idx="699">
                  <c:v>-0.5</c:v>
                </c:pt>
                <c:pt idx="700">
                  <c:v>-0.5</c:v>
                </c:pt>
                <c:pt idx="701">
                  <c:v>-0.5</c:v>
                </c:pt>
                <c:pt idx="702">
                  <c:v>-0.5</c:v>
                </c:pt>
                <c:pt idx="703">
                  <c:v>-0.5</c:v>
                </c:pt>
                <c:pt idx="704">
                  <c:v>-0.5</c:v>
                </c:pt>
                <c:pt idx="705">
                  <c:v>-0.5</c:v>
                </c:pt>
                <c:pt idx="706">
                  <c:v>-0.5</c:v>
                </c:pt>
                <c:pt idx="707">
                  <c:v>-0.5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0.29999999999999982</c:v>
                </c:pt>
                <c:pt idx="724">
                  <c:v>0.29999999999999982</c:v>
                </c:pt>
                <c:pt idx="725">
                  <c:v>0.29999999999999982</c:v>
                </c:pt>
                <c:pt idx="726">
                  <c:v>0.29999999999999982</c:v>
                </c:pt>
                <c:pt idx="727">
                  <c:v>0.29999999999999982</c:v>
                </c:pt>
                <c:pt idx="728">
                  <c:v>0.29999999999999982</c:v>
                </c:pt>
                <c:pt idx="729">
                  <c:v>0.29999999999999982</c:v>
                </c:pt>
                <c:pt idx="730">
                  <c:v>0.29999999999999982</c:v>
                </c:pt>
                <c:pt idx="731">
                  <c:v>0.29999999999999982</c:v>
                </c:pt>
                <c:pt idx="732">
                  <c:v>0.29999999999999982</c:v>
                </c:pt>
                <c:pt idx="733">
                  <c:v>0.29999999999999982</c:v>
                </c:pt>
                <c:pt idx="734">
                  <c:v>0.29999999999999982</c:v>
                </c:pt>
                <c:pt idx="735">
                  <c:v>0.75</c:v>
                </c:pt>
                <c:pt idx="736">
                  <c:v>0.75</c:v>
                </c:pt>
                <c:pt idx="737">
                  <c:v>0.75</c:v>
                </c:pt>
                <c:pt idx="738">
                  <c:v>0.75</c:v>
                </c:pt>
                <c:pt idx="739">
                  <c:v>0.75</c:v>
                </c:pt>
                <c:pt idx="740">
                  <c:v>0.75</c:v>
                </c:pt>
                <c:pt idx="741">
                  <c:v>0.75</c:v>
                </c:pt>
                <c:pt idx="742">
                  <c:v>1</c:v>
                </c:pt>
                <c:pt idx="743">
                  <c:v>1</c:v>
                </c:pt>
                <c:pt idx="744">
                  <c:v>0.15000000000000213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-0.5</c:v>
                </c:pt>
                <c:pt idx="756">
                  <c:v>-0.5</c:v>
                </c:pt>
                <c:pt idx="757">
                  <c:v>-0.5</c:v>
                </c:pt>
                <c:pt idx="758">
                  <c:v>-0.5</c:v>
                </c:pt>
                <c:pt idx="759">
                  <c:v>-0.5</c:v>
                </c:pt>
                <c:pt idx="760">
                  <c:v>-0.5</c:v>
                </c:pt>
                <c:pt idx="761">
                  <c:v>-0.5</c:v>
                </c:pt>
                <c:pt idx="762">
                  <c:v>-0.5</c:v>
                </c:pt>
                <c:pt idx="763">
                  <c:v>-0.5</c:v>
                </c:pt>
                <c:pt idx="764">
                  <c:v>-0.5</c:v>
                </c:pt>
                <c:pt idx="765">
                  <c:v>-0.5</c:v>
                </c:pt>
                <c:pt idx="766">
                  <c:v>-0.5</c:v>
                </c:pt>
                <c:pt idx="767">
                  <c:v>-0.5</c:v>
                </c:pt>
                <c:pt idx="768">
                  <c:v>-0.5</c:v>
                </c:pt>
                <c:pt idx="769">
                  <c:v>-0.5</c:v>
                </c:pt>
                <c:pt idx="770">
                  <c:v>-0.5</c:v>
                </c:pt>
                <c:pt idx="771">
                  <c:v>-0.5</c:v>
                </c:pt>
                <c:pt idx="772">
                  <c:v>-0.5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0.29999999999999982</c:v>
                </c:pt>
                <c:pt idx="784">
                  <c:v>0.29999999999999982</c:v>
                </c:pt>
                <c:pt idx="785">
                  <c:v>0.29999999999999982</c:v>
                </c:pt>
                <c:pt idx="786">
                  <c:v>0.29999999999999982</c:v>
                </c:pt>
                <c:pt idx="787">
                  <c:v>0.29999999999999982</c:v>
                </c:pt>
                <c:pt idx="788">
                  <c:v>0.79999999999999982</c:v>
                </c:pt>
                <c:pt idx="789">
                  <c:v>0.79999999999999982</c:v>
                </c:pt>
                <c:pt idx="790">
                  <c:v>0.79999999999999982</c:v>
                </c:pt>
                <c:pt idx="791">
                  <c:v>0.80000000000000071</c:v>
                </c:pt>
                <c:pt idx="792">
                  <c:v>0.80000000000000071</c:v>
                </c:pt>
                <c:pt idx="793">
                  <c:v>0.80000000000000071</c:v>
                </c:pt>
                <c:pt idx="794">
                  <c:v>0.80000000000000071</c:v>
                </c:pt>
                <c:pt idx="795">
                  <c:v>0.80000000000000071</c:v>
                </c:pt>
                <c:pt idx="796">
                  <c:v>0.80000000000000071</c:v>
                </c:pt>
                <c:pt idx="797">
                  <c:v>0.29999999999999716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-0.5</c:v>
                </c:pt>
                <c:pt idx="822">
                  <c:v>-0.5</c:v>
                </c:pt>
                <c:pt idx="823">
                  <c:v>-0.5</c:v>
                </c:pt>
                <c:pt idx="824">
                  <c:v>-0.5</c:v>
                </c:pt>
                <c:pt idx="825">
                  <c:v>-0.5</c:v>
                </c:pt>
                <c:pt idx="826">
                  <c:v>-0.5</c:v>
                </c:pt>
                <c:pt idx="827">
                  <c:v>-0.5</c:v>
                </c:pt>
                <c:pt idx="828">
                  <c:v>-0.5</c:v>
                </c:pt>
                <c:pt idx="829">
                  <c:v>-0.5</c:v>
                </c:pt>
                <c:pt idx="830">
                  <c:v>-0.5</c:v>
                </c:pt>
                <c:pt idx="831">
                  <c:v>-0.5</c:v>
                </c:pt>
                <c:pt idx="832">
                  <c:v>-0.5</c:v>
                </c:pt>
                <c:pt idx="833">
                  <c:v>-0.5</c:v>
                </c:pt>
                <c:pt idx="834">
                  <c:v>-0.5</c:v>
                </c:pt>
                <c:pt idx="835">
                  <c:v>-0.5</c:v>
                </c:pt>
                <c:pt idx="836">
                  <c:v>-0.5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0.29999999999999982</c:v>
                </c:pt>
                <c:pt idx="859">
                  <c:v>0.29999999999999982</c:v>
                </c:pt>
                <c:pt idx="860">
                  <c:v>0.29999999999999982</c:v>
                </c:pt>
                <c:pt idx="861">
                  <c:v>0.29999999999999982</c:v>
                </c:pt>
                <c:pt idx="862">
                  <c:v>0.29999999999999982</c:v>
                </c:pt>
                <c:pt idx="863">
                  <c:v>0.29999999999999982</c:v>
                </c:pt>
                <c:pt idx="864">
                  <c:v>0.29999999999999982</c:v>
                </c:pt>
                <c:pt idx="865">
                  <c:v>0.29999999999999982</c:v>
                </c:pt>
                <c:pt idx="866">
                  <c:v>0.30000000000000071</c:v>
                </c:pt>
                <c:pt idx="867">
                  <c:v>0.30000000000000071</c:v>
                </c:pt>
                <c:pt idx="868">
                  <c:v>0.30000000000000071</c:v>
                </c:pt>
                <c:pt idx="869">
                  <c:v>0.30000000000000071</c:v>
                </c:pt>
                <c:pt idx="870">
                  <c:v>0.30000000000000071</c:v>
                </c:pt>
                <c:pt idx="871">
                  <c:v>0.30000000000000071</c:v>
                </c:pt>
                <c:pt idx="872">
                  <c:v>0.30000000000000071</c:v>
                </c:pt>
                <c:pt idx="873">
                  <c:v>0.30000000000000071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0.5</c:v>
                </c:pt>
                <c:pt idx="936">
                  <c:v>0.5</c:v>
                </c:pt>
                <c:pt idx="937">
                  <c:v>0.5</c:v>
                </c:pt>
                <c:pt idx="938">
                  <c:v>0.5</c:v>
                </c:pt>
                <c:pt idx="939">
                  <c:v>0.5</c:v>
                </c:pt>
                <c:pt idx="940">
                  <c:v>0.5</c:v>
                </c:pt>
                <c:pt idx="941">
                  <c:v>0.19999999999999929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-0.75</c:v>
                </c:pt>
                <c:pt idx="971">
                  <c:v>-0.75</c:v>
                </c:pt>
                <c:pt idx="972">
                  <c:v>-0.75</c:v>
                </c:pt>
                <c:pt idx="973">
                  <c:v>-0.75</c:v>
                </c:pt>
                <c:pt idx="974">
                  <c:v>-0.75</c:v>
                </c:pt>
                <c:pt idx="975">
                  <c:v>-0.75</c:v>
                </c:pt>
                <c:pt idx="976">
                  <c:v>-0.75</c:v>
                </c:pt>
                <c:pt idx="977">
                  <c:v>-0.75</c:v>
                </c:pt>
                <c:pt idx="978">
                  <c:v>-0.75</c:v>
                </c:pt>
                <c:pt idx="979">
                  <c:v>-0.75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0.75</c:v>
                </c:pt>
                <c:pt idx="993">
                  <c:v>0.75</c:v>
                </c:pt>
                <c:pt idx="994">
                  <c:v>0.75</c:v>
                </c:pt>
                <c:pt idx="995">
                  <c:v>0.75</c:v>
                </c:pt>
                <c:pt idx="996">
                  <c:v>0.75</c:v>
                </c:pt>
                <c:pt idx="997">
                  <c:v>0.75</c:v>
                </c:pt>
                <c:pt idx="998">
                  <c:v>0.75</c:v>
                </c:pt>
                <c:pt idx="999">
                  <c:v>0.75</c:v>
                </c:pt>
                <c:pt idx="1000">
                  <c:v>0.75</c:v>
                </c:pt>
                <c:pt idx="1001">
                  <c:v>-0.75</c:v>
                </c:pt>
                <c:pt idx="1002">
                  <c:v>-0.75</c:v>
                </c:pt>
                <c:pt idx="1003">
                  <c:v>-0.75</c:v>
                </c:pt>
                <c:pt idx="1004">
                  <c:v>-0.75</c:v>
                </c:pt>
                <c:pt idx="1005">
                  <c:v>-0.75</c:v>
                </c:pt>
                <c:pt idx="1006">
                  <c:v>-0.75</c:v>
                </c:pt>
                <c:pt idx="1007">
                  <c:v>-0.75</c:v>
                </c:pt>
                <c:pt idx="1008">
                  <c:v>-0.75</c:v>
                </c:pt>
                <c:pt idx="1009">
                  <c:v>-0.75</c:v>
                </c:pt>
                <c:pt idx="1010">
                  <c:v>-0.75</c:v>
                </c:pt>
                <c:pt idx="1011">
                  <c:v>-0.75</c:v>
                </c:pt>
                <c:pt idx="1012">
                  <c:v>-0.75</c:v>
                </c:pt>
                <c:pt idx="1013">
                  <c:v>-0.75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0.75</c:v>
                </c:pt>
                <c:pt idx="1021">
                  <c:v>0.75</c:v>
                </c:pt>
                <c:pt idx="1022">
                  <c:v>0.75</c:v>
                </c:pt>
                <c:pt idx="1023">
                  <c:v>0.75</c:v>
                </c:pt>
                <c:pt idx="1024">
                  <c:v>0.75</c:v>
                </c:pt>
                <c:pt idx="1025">
                  <c:v>0.75</c:v>
                </c:pt>
                <c:pt idx="1026">
                  <c:v>0.75</c:v>
                </c:pt>
                <c:pt idx="1027">
                  <c:v>0.75</c:v>
                </c:pt>
                <c:pt idx="1028">
                  <c:v>0.75</c:v>
                </c:pt>
                <c:pt idx="1029">
                  <c:v>0.75</c:v>
                </c:pt>
                <c:pt idx="1030">
                  <c:v>0.75</c:v>
                </c:pt>
                <c:pt idx="1031">
                  <c:v>0.75</c:v>
                </c:pt>
                <c:pt idx="1032">
                  <c:v>0.75</c:v>
                </c:pt>
                <c:pt idx="1033">
                  <c:v>0.75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-0.75</c:v>
                </c:pt>
                <c:pt idx="1038">
                  <c:v>-0.75</c:v>
                </c:pt>
                <c:pt idx="1039">
                  <c:v>-0.75</c:v>
                </c:pt>
                <c:pt idx="1040">
                  <c:v>-0.75</c:v>
                </c:pt>
                <c:pt idx="1041">
                  <c:v>-0.75</c:v>
                </c:pt>
                <c:pt idx="1042">
                  <c:v>-0.75</c:v>
                </c:pt>
                <c:pt idx="1043">
                  <c:v>-0.75</c:v>
                </c:pt>
                <c:pt idx="1044">
                  <c:v>-0.75</c:v>
                </c:pt>
                <c:pt idx="1045">
                  <c:v>-0.75</c:v>
                </c:pt>
                <c:pt idx="1046">
                  <c:v>-0.75</c:v>
                </c:pt>
                <c:pt idx="1047">
                  <c:v>-0.75</c:v>
                </c:pt>
                <c:pt idx="1048">
                  <c:v>-0.75</c:v>
                </c:pt>
                <c:pt idx="1049">
                  <c:v>-0.75</c:v>
                </c:pt>
                <c:pt idx="1050">
                  <c:v>-0.75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0.79999999999999982</c:v>
                </c:pt>
                <c:pt idx="1060">
                  <c:v>0.79999999999999982</c:v>
                </c:pt>
                <c:pt idx="1061">
                  <c:v>0.79999999999999982</c:v>
                </c:pt>
                <c:pt idx="1062">
                  <c:v>0.79999999999999982</c:v>
                </c:pt>
                <c:pt idx="1063">
                  <c:v>0.79999999999999982</c:v>
                </c:pt>
                <c:pt idx="1064">
                  <c:v>0.79999999999999982</c:v>
                </c:pt>
                <c:pt idx="1065">
                  <c:v>0.80000000000000071</c:v>
                </c:pt>
                <c:pt idx="1066">
                  <c:v>0.80000000000000071</c:v>
                </c:pt>
                <c:pt idx="1067">
                  <c:v>0.80000000000000071</c:v>
                </c:pt>
                <c:pt idx="1068">
                  <c:v>0.80000000000000071</c:v>
                </c:pt>
                <c:pt idx="1069">
                  <c:v>0.80000000000000071</c:v>
                </c:pt>
                <c:pt idx="1070">
                  <c:v>0.80000000000000071</c:v>
                </c:pt>
                <c:pt idx="1071">
                  <c:v>0.80000000000000071</c:v>
                </c:pt>
                <c:pt idx="1072">
                  <c:v>9.9999999999996092E-2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-0.75</c:v>
                </c:pt>
                <c:pt idx="1084">
                  <c:v>-0.75</c:v>
                </c:pt>
                <c:pt idx="1085">
                  <c:v>-0.75</c:v>
                </c:pt>
                <c:pt idx="1086">
                  <c:v>-0.75</c:v>
                </c:pt>
                <c:pt idx="1087">
                  <c:v>-0.75</c:v>
                </c:pt>
                <c:pt idx="1088">
                  <c:v>-0.75</c:v>
                </c:pt>
                <c:pt idx="1089">
                  <c:v>-0.75</c:v>
                </c:pt>
                <c:pt idx="1090">
                  <c:v>-0.75</c:v>
                </c:pt>
                <c:pt idx="1091">
                  <c:v>-0.75</c:v>
                </c:pt>
                <c:pt idx="1092">
                  <c:v>-0.75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D9-48C8-BB60-01A44FCCF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760368"/>
        <c:axId val="1496761024"/>
      </c:scatterChart>
      <c:valAx>
        <c:axId val="149672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1992"/>
        <c:crosses val="autoZero"/>
        <c:crossBetween val="midCat"/>
      </c:valAx>
      <c:valAx>
        <c:axId val="149672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20352"/>
        <c:crosses val="autoZero"/>
        <c:crossBetween val="midCat"/>
      </c:valAx>
      <c:valAx>
        <c:axId val="14967610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((m/s)^2)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760368"/>
        <c:crosses val="max"/>
        <c:crossBetween val="midCat"/>
      </c:valAx>
      <c:valAx>
        <c:axId val="149676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6761024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 &amp; Resistive Force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Resistive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Cycle'!$P$3:$P$1111</c:f>
              <c:numCache>
                <c:formatCode>General</c:formatCode>
                <c:ptCount val="1109"/>
                <c:pt idx="0">
                  <c:v>0</c:v>
                </c:pt>
                <c:pt idx="1">
                  <c:v>73.241199000000009</c:v>
                </c:pt>
                <c:pt idx="2">
                  <c:v>75.910011300000008</c:v>
                </c:pt>
                <c:pt idx="3">
                  <c:v>80.358031800000006</c:v>
                </c:pt>
                <c:pt idx="4">
                  <c:v>86.585260500000004</c:v>
                </c:pt>
                <c:pt idx="5">
                  <c:v>94.591697400000015</c:v>
                </c:pt>
                <c:pt idx="6">
                  <c:v>104.3773425</c:v>
                </c:pt>
                <c:pt idx="7">
                  <c:v>115.94219580000001</c:v>
                </c:pt>
                <c:pt idx="8">
                  <c:v>129.28625729999999</c:v>
                </c:pt>
                <c:pt idx="9">
                  <c:v>144.409527</c:v>
                </c:pt>
                <c:pt idx="10">
                  <c:v>161.31200490000001</c:v>
                </c:pt>
                <c:pt idx="11">
                  <c:v>179.99369100000001</c:v>
                </c:pt>
                <c:pt idx="12">
                  <c:v>200.45458529999999</c:v>
                </c:pt>
                <c:pt idx="13">
                  <c:v>222.6946878</c:v>
                </c:pt>
                <c:pt idx="14">
                  <c:v>232.32740995520999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415.72996416160186</c:v>
                </c:pt>
                <c:pt idx="94">
                  <c:v>404.38751188660183</c:v>
                </c:pt>
                <c:pt idx="95">
                  <c:v>393.48986166160182</c:v>
                </c:pt>
                <c:pt idx="96">
                  <c:v>383.03701348660184</c:v>
                </c:pt>
                <c:pt idx="97">
                  <c:v>373.02896736160187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200.45458529999999</c:v>
                </c:pt>
                <c:pt idx="111">
                  <c:v>222.6946878</c:v>
                </c:pt>
                <c:pt idx="112">
                  <c:v>232.32740995520999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161.31200490000001</c:v>
                </c:pt>
                <c:pt idx="117">
                  <c:v>161.31200490000001</c:v>
                </c:pt>
                <c:pt idx="118">
                  <c:v>170.43044692500001</c:v>
                </c:pt>
                <c:pt idx="119">
                  <c:v>170.43044692500001</c:v>
                </c:pt>
                <c:pt idx="120">
                  <c:v>190.00173712499998</c:v>
                </c:pt>
                <c:pt idx="121">
                  <c:v>68.759778195360383</c:v>
                </c:pt>
                <c:pt idx="122">
                  <c:v>89.734952625570372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209.35783209320999</c:v>
                </c:pt>
                <c:pt idx="158">
                  <c:v>188.16746243120997</c:v>
                </c:pt>
                <c:pt idx="159">
                  <c:v>168.75630096921</c:v>
                </c:pt>
                <c:pt idx="160">
                  <c:v>151.12434770721001</c:v>
                </c:pt>
                <c:pt idx="161">
                  <c:v>135.27160264521001</c:v>
                </c:pt>
                <c:pt idx="162">
                  <c:v>121.19806578321001</c:v>
                </c:pt>
                <c:pt idx="163">
                  <c:v>108.90373712121001</c:v>
                </c:pt>
                <c:pt idx="164">
                  <c:v>98.388616659210015</c:v>
                </c:pt>
                <c:pt idx="165">
                  <c:v>89.652704397210016</c:v>
                </c:pt>
                <c:pt idx="166">
                  <c:v>82.696000335210016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89.652704397210016</c:v>
                </c:pt>
                <c:pt idx="179">
                  <c:v>98.388616659210015</c:v>
                </c:pt>
                <c:pt idx="180">
                  <c:v>108.90373712121001</c:v>
                </c:pt>
                <c:pt idx="181">
                  <c:v>121.19806578321001</c:v>
                </c:pt>
                <c:pt idx="182">
                  <c:v>135.27160264521001</c:v>
                </c:pt>
                <c:pt idx="183">
                  <c:v>151.12434770721001</c:v>
                </c:pt>
                <c:pt idx="184">
                  <c:v>168.75630096921</c:v>
                </c:pt>
                <c:pt idx="185">
                  <c:v>188.16746243120997</c:v>
                </c:pt>
                <c:pt idx="186">
                  <c:v>209.35783209320999</c:v>
                </c:pt>
                <c:pt idx="187">
                  <c:v>232.32740995520999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209.35783209320999</c:v>
                </c:pt>
                <c:pt idx="215">
                  <c:v>188.16746243120997</c:v>
                </c:pt>
                <c:pt idx="216">
                  <c:v>168.75630096921</c:v>
                </c:pt>
                <c:pt idx="217">
                  <c:v>151.12434770721001</c:v>
                </c:pt>
                <c:pt idx="218">
                  <c:v>135.27160264521001</c:v>
                </c:pt>
                <c:pt idx="219">
                  <c:v>121.19806578321001</c:v>
                </c:pt>
                <c:pt idx="220">
                  <c:v>108.90373712121001</c:v>
                </c:pt>
                <c:pt idx="221">
                  <c:v>98.388616659210015</c:v>
                </c:pt>
                <c:pt idx="222">
                  <c:v>89.652704397210016</c:v>
                </c:pt>
                <c:pt idx="223">
                  <c:v>82.696000335210016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85.951951341210005</c:v>
                </c:pt>
                <c:pt idx="237">
                  <c:v>89.652704397210016</c:v>
                </c:pt>
                <c:pt idx="238">
                  <c:v>93.798259503210005</c:v>
                </c:pt>
                <c:pt idx="239">
                  <c:v>98.388616659210015</c:v>
                </c:pt>
                <c:pt idx="240">
                  <c:v>103.42377586521</c:v>
                </c:pt>
                <c:pt idx="241">
                  <c:v>108.90373712121001</c:v>
                </c:pt>
                <c:pt idx="242">
                  <c:v>114.82850042721</c:v>
                </c:pt>
                <c:pt idx="243">
                  <c:v>121.19806578321001</c:v>
                </c:pt>
                <c:pt idx="244">
                  <c:v>128.01243318921001</c:v>
                </c:pt>
                <c:pt idx="245">
                  <c:v>135.27160264521001</c:v>
                </c:pt>
                <c:pt idx="246">
                  <c:v>142.97557415121003</c:v>
                </c:pt>
                <c:pt idx="247">
                  <c:v>151.12434770721001</c:v>
                </c:pt>
                <c:pt idx="248">
                  <c:v>159.71792331321001</c:v>
                </c:pt>
                <c:pt idx="249">
                  <c:v>168.75630096921</c:v>
                </c:pt>
                <c:pt idx="250">
                  <c:v>178.23948067521002</c:v>
                </c:pt>
                <c:pt idx="251">
                  <c:v>188.16746243120997</c:v>
                </c:pt>
                <c:pt idx="252">
                  <c:v>209.35783209320999</c:v>
                </c:pt>
                <c:pt idx="253">
                  <c:v>232.32740995520999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353.9446928546397</c:v>
                </c:pt>
                <c:pt idx="268">
                  <c:v>343.04704262963969</c:v>
                </c:pt>
                <c:pt idx="269">
                  <c:v>332.59419445463965</c:v>
                </c:pt>
                <c:pt idx="270">
                  <c:v>322.58614832963974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285.10615387104656</c:v>
                </c:pt>
                <c:pt idx="286">
                  <c:v>211.352235525</c:v>
                </c:pt>
                <c:pt idx="287">
                  <c:v>222.6946878</c:v>
                </c:pt>
                <c:pt idx="288">
                  <c:v>232.32740995520999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209.35783209320999</c:v>
                </c:pt>
                <c:pt idx="297">
                  <c:v>188.16746243120997</c:v>
                </c:pt>
                <c:pt idx="298">
                  <c:v>168.75630096921</c:v>
                </c:pt>
                <c:pt idx="299">
                  <c:v>151.12434770721001</c:v>
                </c:pt>
                <c:pt idx="300">
                  <c:v>135.27160264521001</c:v>
                </c:pt>
                <c:pt idx="301">
                  <c:v>121.19806578321001</c:v>
                </c:pt>
                <c:pt idx="302">
                  <c:v>108.90373712121001</c:v>
                </c:pt>
                <c:pt idx="303">
                  <c:v>98.388616659210015</c:v>
                </c:pt>
                <c:pt idx="304">
                  <c:v>89.652704397210016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93.798259503210005</c:v>
                </c:pt>
                <c:pt idx="314">
                  <c:v>98.388616659210015</c:v>
                </c:pt>
                <c:pt idx="315">
                  <c:v>103.42377586521</c:v>
                </c:pt>
                <c:pt idx="316">
                  <c:v>108.90373712121001</c:v>
                </c:pt>
                <c:pt idx="317">
                  <c:v>114.82850042721</c:v>
                </c:pt>
                <c:pt idx="318">
                  <c:v>121.19806578321001</c:v>
                </c:pt>
                <c:pt idx="319">
                  <c:v>128.01243318921001</c:v>
                </c:pt>
                <c:pt idx="320">
                  <c:v>135.27160264521001</c:v>
                </c:pt>
                <c:pt idx="321">
                  <c:v>142.97557415121003</c:v>
                </c:pt>
                <c:pt idx="322">
                  <c:v>151.12434770721001</c:v>
                </c:pt>
                <c:pt idx="323">
                  <c:v>-24.278975392391857</c:v>
                </c:pt>
                <c:pt idx="324">
                  <c:v>-4.8678139303918897</c:v>
                </c:pt>
                <c:pt idx="325">
                  <c:v>16.322555731608134</c:v>
                </c:pt>
                <c:pt idx="326">
                  <c:v>39.292133593608128</c:v>
                </c:pt>
                <c:pt idx="327">
                  <c:v>39.292133593608128</c:v>
                </c:pt>
                <c:pt idx="328">
                  <c:v>16.322555731608134</c:v>
                </c:pt>
                <c:pt idx="329">
                  <c:v>-4.8678139303918897</c:v>
                </c:pt>
                <c:pt idx="330">
                  <c:v>-24.278975392391857</c:v>
                </c:pt>
                <c:pt idx="331">
                  <c:v>-41.910928654391853</c:v>
                </c:pt>
                <c:pt idx="332">
                  <c:v>-57.76367371639185</c:v>
                </c:pt>
                <c:pt idx="333">
                  <c:v>-71.837210578391847</c:v>
                </c:pt>
                <c:pt idx="334">
                  <c:v>-84.131539240391845</c:v>
                </c:pt>
                <c:pt idx="335">
                  <c:v>111.27711039760817</c:v>
                </c:pt>
                <c:pt idx="336">
                  <c:v>295.57647449721003</c:v>
                </c:pt>
                <c:pt idx="337">
                  <c:v>288.61977043521</c:v>
                </c:pt>
                <c:pt idx="338">
                  <c:v>283.44227457321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285.80862147921005</c:v>
                </c:pt>
                <c:pt idx="344">
                  <c:v>288.61977043521</c:v>
                </c:pt>
                <c:pt idx="345">
                  <c:v>291.87572144121003</c:v>
                </c:pt>
                <c:pt idx="346">
                  <c:v>295.57647449721003</c:v>
                </c:pt>
                <c:pt idx="347">
                  <c:v>299.72202960321005</c:v>
                </c:pt>
                <c:pt idx="348">
                  <c:v>304.31238675921003</c:v>
                </c:pt>
                <c:pt idx="349">
                  <c:v>309.34754596521003</c:v>
                </c:pt>
                <c:pt idx="350">
                  <c:v>314.82750722121</c:v>
                </c:pt>
                <c:pt idx="351">
                  <c:v>320.75227052721004</c:v>
                </c:pt>
                <c:pt idx="352">
                  <c:v>327.12183588321</c:v>
                </c:pt>
                <c:pt idx="353">
                  <c:v>333.93620328921003</c:v>
                </c:pt>
                <c:pt idx="354">
                  <c:v>341.19537274521002</c:v>
                </c:pt>
                <c:pt idx="355">
                  <c:v>352.91813077296001</c:v>
                </c:pt>
                <c:pt idx="356">
                  <c:v>365.64169341321002</c:v>
                </c:pt>
                <c:pt idx="357">
                  <c:v>379.36606066595999</c:v>
                </c:pt>
                <c:pt idx="358">
                  <c:v>394.09123253120998</c:v>
                </c:pt>
                <c:pt idx="359">
                  <c:v>415.28160219321001</c:v>
                </c:pt>
                <c:pt idx="360">
                  <c:v>438.25118005521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420.85719588996</c:v>
                </c:pt>
                <c:pt idx="368">
                  <c:v>404.46401633721001</c:v>
                </c:pt>
                <c:pt idx="369">
                  <c:v>389.07164139695999</c:v>
                </c:pt>
                <c:pt idx="370">
                  <c:v>374.68007106921004</c:v>
                </c:pt>
                <c:pt idx="371">
                  <c:v>361.28930535396</c:v>
                </c:pt>
                <c:pt idx="372">
                  <c:v>348.89934425121004</c:v>
                </c:pt>
                <c:pt idx="373">
                  <c:v>337.51018776096004</c:v>
                </c:pt>
                <c:pt idx="374">
                  <c:v>327.12183588321</c:v>
                </c:pt>
                <c:pt idx="375">
                  <c:v>317.73428861796003</c:v>
                </c:pt>
                <c:pt idx="376">
                  <c:v>309.34754596521003</c:v>
                </c:pt>
                <c:pt idx="377">
                  <c:v>301.96160792496005</c:v>
                </c:pt>
                <c:pt idx="378">
                  <c:v>295.57647449721003</c:v>
                </c:pt>
                <c:pt idx="379">
                  <c:v>290.19214568196003</c:v>
                </c:pt>
                <c:pt idx="380">
                  <c:v>285.80862147921005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290.19214568196003</c:v>
                </c:pt>
                <c:pt idx="392">
                  <c:v>295.57647449721003</c:v>
                </c:pt>
                <c:pt idx="393">
                  <c:v>301.96160792496005</c:v>
                </c:pt>
                <c:pt idx="394">
                  <c:v>309.34754596521003</c:v>
                </c:pt>
                <c:pt idx="395">
                  <c:v>317.73428861796003</c:v>
                </c:pt>
                <c:pt idx="396">
                  <c:v>330.47341932996</c:v>
                </c:pt>
                <c:pt idx="397">
                  <c:v>344.99175824196004</c:v>
                </c:pt>
                <c:pt idx="398">
                  <c:v>361.28930535396</c:v>
                </c:pt>
                <c:pt idx="399">
                  <c:v>379.36606066595999</c:v>
                </c:pt>
                <c:pt idx="400">
                  <c:v>399.22202417796001</c:v>
                </c:pt>
                <c:pt idx="401">
                  <c:v>420.85719588996</c:v>
                </c:pt>
                <c:pt idx="402">
                  <c:v>438.25118005521</c:v>
                </c:pt>
                <c:pt idx="403">
                  <c:v>420.85719588996</c:v>
                </c:pt>
                <c:pt idx="404">
                  <c:v>404.46401633721001</c:v>
                </c:pt>
                <c:pt idx="405">
                  <c:v>389.07164139695999</c:v>
                </c:pt>
                <c:pt idx="406">
                  <c:v>374.68007106921004</c:v>
                </c:pt>
                <c:pt idx="407">
                  <c:v>361.28930535396</c:v>
                </c:pt>
                <c:pt idx="408">
                  <c:v>348.89934425121004</c:v>
                </c:pt>
                <c:pt idx="409">
                  <c:v>337.51018776096004</c:v>
                </c:pt>
                <c:pt idx="410">
                  <c:v>327.12183588321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337.51018776096004</c:v>
                </c:pt>
                <c:pt idx="418">
                  <c:v>348.89934425121004</c:v>
                </c:pt>
                <c:pt idx="419">
                  <c:v>361.28930535396</c:v>
                </c:pt>
                <c:pt idx="420">
                  <c:v>374.68007106921004</c:v>
                </c:pt>
                <c:pt idx="421">
                  <c:v>389.07164139695999</c:v>
                </c:pt>
                <c:pt idx="422">
                  <c:v>404.46401633721001</c:v>
                </c:pt>
                <c:pt idx="423">
                  <c:v>420.85719588996</c:v>
                </c:pt>
                <c:pt idx="424">
                  <c:v>438.25118005521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420.85719588996</c:v>
                </c:pt>
                <c:pt idx="474">
                  <c:v>404.46401633721001</c:v>
                </c:pt>
                <c:pt idx="475">
                  <c:v>389.07164139695999</c:v>
                </c:pt>
                <c:pt idx="476">
                  <c:v>374.68007106921004</c:v>
                </c:pt>
                <c:pt idx="477">
                  <c:v>361.28930535396</c:v>
                </c:pt>
                <c:pt idx="478">
                  <c:v>348.89934425121004</c:v>
                </c:pt>
                <c:pt idx="479">
                  <c:v>337.51018776096004</c:v>
                </c:pt>
                <c:pt idx="480">
                  <c:v>327.12183588321</c:v>
                </c:pt>
                <c:pt idx="481">
                  <c:v>317.73428861796003</c:v>
                </c:pt>
                <c:pt idx="482">
                  <c:v>309.34754596521003</c:v>
                </c:pt>
                <c:pt idx="483">
                  <c:v>301.96160792496005</c:v>
                </c:pt>
                <c:pt idx="484">
                  <c:v>295.57647449721003</c:v>
                </c:pt>
                <c:pt idx="485">
                  <c:v>290.19214568196003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295.57647449721003</c:v>
                </c:pt>
                <c:pt idx="494">
                  <c:v>301.96160792496005</c:v>
                </c:pt>
                <c:pt idx="495">
                  <c:v>309.34754596521003</c:v>
                </c:pt>
                <c:pt idx="496">
                  <c:v>317.73428861796003</c:v>
                </c:pt>
                <c:pt idx="497">
                  <c:v>327.12183588321</c:v>
                </c:pt>
                <c:pt idx="498">
                  <c:v>337.51018776096004</c:v>
                </c:pt>
                <c:pt idx="499">
                  <c:v>348.89934425121004</c:v>
                </c:pt>
                <c:pt idx="500">
                  <c:v>361.28930535396</c:v>
                </c:pt>
                <c:pt idx="501">
                  <c:v>374.68007106921004</c:v>
                </c:pt>
                <c:pt idx="502">
                  <c:v>394.09123253120998</c:v>
                </c:pt>
                <c:pt idx="503">
                  <c:v>415.28160219321001</c:v>
                </c:pt>
                <c:pt idx="504">
                  <c:v>438.25118005521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420.85719588996</c:v>
                </c:pt>
                <c:pt idx="528">
                  <c:v>404.46401633721001</c:v>
                </c:pt>
                <c:pt idx="529">
                  <c:v>389.07164139695999</c:v>
                </c:pt>
                <c:pt idx="530">
                  <c:v>374.68007106921004</c:v>
                </c:pt>
                <c:pt idx="531">
                  <c:v>361.28930535396</c:v>
                </c:pt>
                <c:pt idx="532">
                  <c:v>348.89934425121004</c:v>
                </c:pt>
                <c:pt idx="533">
                  <c:v>337.51018776096004</c:v>
                </c:pt>
                <c:pt idx="534">
                  <c:v>327.12183588321</c:v>
                </c:pt>
                <c:pt idx="535">
                  <c:v>317.73428861796003</c:v>
                </c:pt>
                <c:pt idx="536">
                  <c:v>309.34754596521003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317.73428861796003</c:v>
                </c:pt>
                <c:pt idx="545">
                  <c:v>327.12183588321</c:v>
                </c:pt>
                <c:pt idx="546">
                  <c:v>337.51018776096004</c:v>
                </c:pt>
                <c:pt idx="547">
                  <c:v>348.89934425121004</c:v>
                </c:pt>
                <c:pt idx="548">
                  <c:v>361.28930535396</c:v>
                </c:pt>
                <c:pt idx="549">
                  <c:v>374.68007106921004</c:v>
                </c:pt>
                <c:pt idx="550">
                  <c:v>394.09123253120998</c:v>
                </c:pt>
                <c:pt idx="551">
                  <c:v>415.28160219321001</c:v>
                </c:pt>
                <c:pt idx="552">
                  <c:v>438.25118005521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420.85719588996</c:v>
                </c:pt>
                <c:pt idx="560">
                  <c:v>404.46401633721001</c:v>
                </c:pt>
                <c:pt idx="561">
                  <c:v>389.07164139695999</c:v>
                </c:pt>
                <c:pt idx="562">
                  <c:v>374.68007106921004</c:v>
                </c:pt>
                <c:pt idx="563">
                  <c:v>361.28930535396</c:v>
                </c:pt>
                <c:pt idx="564">
                  <c:v>348.89934425121004</c:v>
                </c:pt>
                <c:pt idx="565">
                  <c:v>337.51018776096004</c:v>
                </c:pt>
                <c:pt idx="566">
                  <c:v>327.12183588321</c:v>
                </c:pt>
                <c:pt idx="567">
                  <c:v>317.73428861796003</c:v>
                </c:pt>
                <c:pt idx="568">
                  <c:v>309.34754596521003</c:v>
                </c:pt>
                <c:pt idx="569">
                  <c:v>301.96160792496005</c:v>
                </c:pt>
                <c:pt idx="570">
                  <c:v>295.57647449721003</c:v>
                </c:pt>
                <c:pt idx="571">
                  <c:v>290.19214568196003</c:v>
                </c:pt>
                <c:pt idx="572">
                  <c:v>285.80862147921005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287.44193460681004</c:v>
                </c:pt>
                <c:pt idx="585">
                  <c:v>289.23537647241</c:v>
                </c:pt>
                <c:pt idx="586">
                  <c:v>291.18894707601004</c:v>
                </c:pt>
                <c:pt idx="587">
                  <c:v>293.30264641760999</c:v>
                </c:pt>
                <c:pt idx="588">
                  <c:v>295.57647449721003</c:v>
                </c:pt>
                <c:pt idx="589">
                  <c:v>576.28579631481</c:v>
                </c:pt>
                <c:pt idx="590">
                  <c:v>578.87988187041003</c:v>
                </c:pt>
                <c:pt idx="591">
                  <c:v>581.63409616400997</c:v>
                </c:pt>
                <c:pt idx="592">
                  <c:v>589.22019512676002</c:v>
                </c:pt>
                <c:pt idx="593">
                  <c:v>597.80709870201008</c:v>
                </c:pt>
                <c:pt idx="594">
                  <c:v>607.39480688976005</c:v>
                </c:pt>
                <c:pt idx="595">
                  <c:v>617.98331969001003</c:v>
                </c:pt>
                <c:pt idx="596">
                  <c:v>629.57263710276004</c:v>
                </c:pt>
                <c:pt idx="597">
                  <c:v>642.16275912801007</c:v>
                </c:pt>
                <c:pt idx="598">
                  <c:v>655.75368576576</c:v>
                </c:pt>
                <c:pt idx="599">
                  <c:v>670.34541701601006</c:v>
                </c:pt>
                <c:pt idx="600">
                  <c:v>685.93795287876003</c:v>
                </c:pt>
                <c:pt idx="601">
                  <c:v>702.53129335401002</c:v>
                </c:pt>
                <c:pt idx="602">
                  <c:v>716.52654505521002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888.58664698660186</c:v>
                </c:pt>
                <c:pt idx="609">
                  <c:v>877.68899676160186</c:v>
                </c:pt>
                <c:pt idx="610">
                  <c:v>877.68899676160186</c:v>
                </c:pt>
                <c:pt idx="611">
                  <c:v>888.58664698660186</c:v>
                </c:pt>
                <c:pt idx="612">
                  <c:v>899.92909926160189</c:v>
                </c:pt>
                <c:pt idx="613">
                  <c:v>909.56182141681188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704.81935509921004</c:v>
                </c:pt>
                <c:pt idx="691">
                  <c:v>693.55696719321008</c:v>
                </c:pt>
                <c:pt idx="692">
                  <c:v>682.73938133721003</c:v>
                </c:pt>
                <c:pt idx="693">
                  <c:v>672.36659753121</c:v>
                </c:pt>
                <c:pt idx="694">
                  <c:v>662.43861577521</c:v>
                </c:pt>
                <c:pt idx="695">
                  <c:v>652.95543606921001</c:v>
                </c:pt>
                <c:pt idx="696">
                  <c:v>643.91705841321004</c:v>
                </c:pt>
                <c:pt idx="697">
                  <c:v>635.32348280720998</c:v>
                </c:pt>
                <c:pt idx="698">
                  <c:v>627.17470925121006</c:v>
                </c:pt>
                <c:pt idx="699">
                  <c:v>619.47073774521004</c:v>
                </c:pt>
                <c:pt idx="700">
                  <c:v>612.21156828921005</c:v>
                </c:pt>
                <c:pt idx="701">
                  <c:v>605.39720088321008</c:v>
                </c:pt>
                <c:pt idx="702">
                  <c:v>599.02763552721001</c:v>
                </c:pt>
                <c:pt idx="703">
                  <c:v>593.10287222121008</c:v>
                </c:pt>
                <c:pt idx="704">
                  <c:v>587.62291096521005</c:v>
                </c:pt>
                <c:pt idx="705">
                  <c:v>582.58775175921005</c:v>
                </c:pt>
                <c:pt idx="706">
                  <c:v>577.99739460321007</c:v>
                </c:pt>
                <c:pt idx="707">
                  <c:v>573.85183949720999</c:v>
                </c:pt>
                <c:pt idx="708">
                  <c:v>570.15108644121005</c:v>
                </c:pt>
                <c:pt idx="709">
                  <c:v>566.89513543521002</c:v>
                </c:pt>
                <c:pt idx="710">
                  <c:v>564.08398647921001</c:v>
                </c:pt>
                <c:pt idx="711">
                  <c:v>561.71763957321002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563.08407147081004</c:v>
                </c:pt>
                <c:pt idx="724">
                  <c:v>564.61063210641009</c:v>
                </c:pt>
                <c:pt idx="725">
                  <c:v>566.29732148001005</c:v>
                </c:pt>
                <c:pt idx="726">
                  <c:v>568.14413959161004</c:v>
                </c:pt>
                <c:pt idx="727">
                  <c:v>570.15108644121005</c:v>
                </c:pt>
                <c:pt idx="728">
                  <c:v>572.31816202881009</c:v>
                </c:pt>
                <c:pt idx="729">
                  <c:v>574.64536635441004</c:v>
                </c:pt>
                <c:pt idx="730">
                  <c:v>577.13269941801002</c:v>
                </c:pt>
                <c:pt idx="731">
                  <c:v>579.78016121961002</c:v>
                </c:pt>
                <c:pt idx="732">
                  <c:v>582.58775175921005</c:v>
                </c:pt>
                <c:pt idx="733">
                  <c:v>585.55547103680999</c:v>
                </c:pt>
                <c:pt idx="734">
                  <c:v>588.68331905241007</c:v>
                </c:pt>
                <c:pt idx="735">
                  <c:v>597.20350232016006</c:v>
                </c:pt>
                <c:pt idx="736">
                  <c:v>606.72449020041006</c:v>
                </c:pt>
                <c:pt idx="737">
                  <c:v>810.28155905476183</c:v>
                </c:pt>
                <c:pt idx="738">
                  <c:v>821.80415616001187</c:v>
                </c:pt>
                <c:pt idx="739">
                  <c:v>834.32755787776182</c:v>
                </c:pt>
                <c:pt idx="740">
                  <c:v>847.8517642080119</c:v>
                </c:pt>
                <c:pt idx="741">
                  <c:v>862.37677515076189</c:v>
                </c:pt>
                <c:pt idx="742">
                  <c:v>690.26498722116003</c:v>
                </c:pt>
                <c:pt idx="743">
                  <c:v>712.96768385316</c:v>
                </c:pt>
                <c:pt idx="744">
                  <c:v>716.52654505521002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704.81935509921004</c:v>
                </c:pt>
                <c:pt idx="756">
                  <c:v>693.55696719321008</c:v>
                </c:pt>
                <c:pt idx="757">
                  <c:v>682.73938133721003</c:v>
                </c:pt>
                <c:pt idx="758">
                  <c:v>672.36659753121</c:v>
                </c:pt>
                <c:pt idx="759">
                  <c:v>662.43861577521</c:v>
                </c:pt>
                <c:pt idx="760">
                  <c:v>652.95543606921001</c:v>
                </c:pt>
                <c:pt idx="761">
                  <c:v>643.91705841321004</c:v>
                </c:pt>
                <c:pt idx="762">
                  <c:v>635.32348280720998</c:v>
                </c:pt>
                <c:pt idx="763">
                  <c:v>627.17470925121006</c:v>
                </c:pt>
                <c:pt idx="764">
                  <c:v>619.47073774521004</c:v>
                </c:pt>
                <c:pt idx="765">
                  <c:v>612.21156828921005</c:v>
                </c:pt>
                <c:pt idx="766">
                  <c:v>605.39720088321008</c:v>
                </c:pt>
                <c:pt idx="767">
                  <c:v>599.02763552721001</c:v>
                </c:pt>
                <c:pt idx="768">
                  <c:v>593.10287222121008</c:v>
                </c:pt>
                <c:pt idx="769">
                  <c:v>587.62291096521005</c:v>
                </c:pt>
                <c:pt idx="770">
                  <c:v>582.58775175921005</c:v>
                </c:pt>
                <c:pt idx="771">
                  <c:v>577.99739460321007</c:v>
                </c:pt>
                <c:pt idx="772">
                  <c:v>573.85183949720999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576.28579631481</c:v>
                </c:pt>
                <c:pt idx="784">
                  <c:v>578.87988187041003</c:v>
                </c:pt>
                <c:pt idx="785">
                  <c:v>581.63409616401009</c:v>
                </c:pt>
                <c:pt idx="786">
                  <c:v>584.54843919561006</c:v>
                </c:pt>
                <c:pt idx="787">
                  <c:v>587.62291096521005</c:v>
                </c:pt>
                <c:pt idx="788">
                  <c:v>596.60435395881007</c:v>
                </c:pt>
                <c:pt idx="789">
                  <c:v>606.72449020041006</c:v>
                </c:pt>
                <c:pt idx="790">
                  <c:v>617.98331969001003</c:v>
                </c:pt>
                <c:pt idx="791">
                  <c:v>630.38084242760999</c:v>
                </c:pt>
                <c:pt idx="792">
                  <c:v>643.91705841321004</c:v>
                </c:pt>
                <c:pt idx="793">
                  <c:v>658.59196764681008</c:v>
                </c:pt>
                <c:pt idx="794">
                  <c:v>674.40557012841009</c:v>
                </c:pt>
                <c:pt idx="795">
                  <c:v>691.35786585801009</c:v>
                </c:pt>
                <c:pt idx="796">
                  <c:v>585.41801350975277</c:v>
                </c:pt>
                <c:pt idx="797">
                  <c:v>592.49570372935261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704.81935509921004</c:v>
                </c:pt>
                <c:pt idx="822">
                  <c:v>693.55696719321008</c:v>
                </c:pt>
                <c:pt idx="823">
                  <c:v>682.73938133721003</c:v>
                </c:pt>
                <c:pt idx="824">
                  <c:v>672.36659753121</c:v>
                </c:pt>
                <c:pt idx="825">
                  <c:v>662.43861577521</c:v>
                </c:pt>
                <c:pt idx="826">
                  <c:v>652.95543606921001</c:v>
                </c:pt>
                <c:pt idx="827">
                  <c:v>643.91705841321004</c:v>
                </c:pt>
                <c:pt idx="828">
                  <c:v>635.32348280720998</c:v>
                </c:pt>
                <c:pt idx="829">
                  <c:v>627.17470925121006</c:v>
                </c:pt>
                <c:pt idx="830">
                  <c:v>619.47073774521004</c:v>
                </c:pt>
                <c:pt idx="831">
                  <c:v>612.21156828921005</c:v>
                </c:pt>
                <c:pt idx="832">
                  <c:v>605.39720088321008</c:v>
                </c:pt>
                <c:pt idx="833">
                  <c:v>599.02763552721001</c:v>
                </c:pt>
                <c:pt idx="834">
                  <c:v>593.10287222121008</c:v>
                </c:pt>
                <c:pt idx="835">
                  <c:v>587.62291096521005</c:v>
                </c:pt>
                <c:pt idx="836">
                  <c:v>582.58775175921005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140.31488703681001</c:v>
                </c:pt>
                <c:pt idx="859">
                  <c:v>143.44273505241</c:v>
                </c:pt>
                <c:pt idx="860">
                  <c:v>146.73071180600999</c:v>
                </c:pt>
                <c:pt idx="861">
                  <c:v>150.17881729761001</c:v>
                </c:pt>
                <c:pt idx="862">
                  <c:v>153.78705152721</c:v>
                </c:pt>
                <c:pt idx="863">
                  <c:v>157.55541449481001</c:v>
                </c:pt>
                <c:pt idx="864">
                  <c:v>161.48390620040999</c:v>
                </c:pt>
                <c:pt idx="865">
                  <c:v>165.57252664401</c:v>
                </c:pt>
                <c:pt idx="866">
                  <c:v>169.82127582561</c:v>
                </c:pt>
                <c:pt idx="867">
                  <c:v>174.23015374521</c:v>
                </c:pt>
                <c:pt idx="868">
                  <c:v>178.79916040281003</c:v>
                </c:pt>
                <c:pt idx="869">
                  <c:v>183.52829579841003</c:v>
                </c:pt>
                <c:pt idx="870">
                  <c:v>188.41755993201005</c:v>
                </c:pt>
                <c:pt idx="871">
                  <c:v>193.46695280361007</c:v>
                </c:pt>
                <c:pt idx="872">
                  <c:v>198.67647441321009</c:v>
                </c:pt>
                <c:pt idx="873">
                  <c:v>204.04612476081007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213.35138364681004</c:v>
                </c:pt>
                <c:pt idx="936">
                  <c:v>223.10144458281002</c:v>
                </c:pt>
                <c:pt idx="937">
                  <c:v>233.29630756881002</c:v>
                </c:pt>
                <c:pt idx="938">
                  <c:v>243.93597260481005</c:v>
                </c:pt>
                <c:pt idx="939">
                  <c:v>255.02043969081001</c:v>
                </c:pt>
                <c:pt idx="940">
                  <c:v>266.54970882681005</c:v>
                </c:pt>
                <c:pt idx="941">
                  <c:v>271.28596105521001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253.89197688996001</c:v>
                </c:pt>
                <c:pt idx="971">
                  <c:v>237.49879733721002</c:v>
                </c:pt>
                <c:pt idx="972">
                  <c:v>222.10642239696</c:v>
                </c:pt>
                <c:pt idx="973">
                  <c:v>207.71485206921</c:v>
                </c:pt>
                <c:pt idx="974">
                  <c:v>194.32408635396001</c:v>
                </c:pt>
                <c:pt idx="975">
                  <c:v>181.93412525121002</c:v>
                </c:pt>
                <c:pt idx="976">
                  <c:v>170.54496876096002</c:v>
                </c:pt>
                <c:pt idx="977">
                  <c:v>160.15661688321001</c:v>
                </c:pt>
                <c:pt idx="978">
                  <c:v>150.76906961796001</c:v>
                </c:pt>
                <c:pt idx="979">
                  <c:v>142.38232696521001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150.76906961796001</c:v>
                </c:pt>
                <c:pt idx="993">
                  <c:v>160.15661688321001</c:v>
                </c:pt>
                <c:pt idx="994">
                  <c:v>170.54496876096002</c:v>
                </c:pt>
                <c:pt idx="995">
                  <c:v>181.93412525121002</c:v>
                </c:pt>
                <c:pt idx="996">
                  <c:v>194.32408635396001</c:v>
                </c:pt>
                <c:pt idx="997">
                  <c:v>207.71485206921</c:v>
                </c:pt>
                <c:pt idx="998">
                  <c:v>222.10642239696</c:v>
                </c:pt>
                <c:pt idx="999">
                  <c:v>237.49879733721002</c:v>
                </c:pt>
                <c:pt idx="1000">
                  <c:v>253.89197688996001</c:v>
                </c:pt>
                <c:pt idx="1001">
                  <c:v>237.49879733721002</c:v>
                </c:pt>
                <c:pt idx="1002">
                  <c:v>222.10642239696</c:v>
                </c:pt>
                <c:pt idx="1003">
                  <c:v>207.71485206921</c:v>
                </c:pt>
                <c:pt idx="1004">
                  <c:v>194.32408635396001</c:v>
                </c:pt>
                <c:pt idx="1005">
                  <c:v>181.93412525121002</c:v>
                </c:pt>
                <c:pt idx="1006">
                  <c:v>170.54496876096002</c:v>
                </c:pt>
                <c:pt idx="1007">
                  <c:v>160.15661688321001</c:v>
                </c:pt>
                <c:pt idx="1008">
                  <c:v>150.76906961796001</c:v>
                </c:pt>
                <c:pt idx="1009">
                  <c:v>142.38232696521001</c:v>
                </c:pt>
                <c:pt idx="1010">
                  <c:v>134.99638892496</c:v>
                </c:pt>
                <c:pt idx="1011">
                  <c:v>128.61125549721001</c:v>
                </c:pt>
                <c:pt idx="1012">
                  <c:v>123.22692668196002</c:v>
                </c:pt>
                <c:pt idx="1013">
                  <c:v>118.84340247921001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123.22692668196002</c:v>
                </c:pt>
                <c:pt idx="1021">
                  <c:v>128.61125549721001</c:v>
                </c:pt>
                <c:pt idx="1022">
                  <c:v>134.99638892496</c:v>
                </c:pt>
                <c:pt idx="1023">
                  <c:v>142.38232696521001</c:v>
                </c:pt>
                <c:pt idx="1024">
                  <c:v>150.76906961796001</c:v>
                </c:pt>
                <c:pt idx="1025">
                  <c:v>160.15661688321001</c:v>
                </c:pt>
                <c:pt idx="1026">
                  <c:v>170.54496876096002</c:v>
                </c:pt>
                <c:pt idx="1027">
                  <c:v>181.93412525121002</c:v>
                </c:pt>
                <c:pt idx="1028">
                  <c:v>194.32408635396001</c:v>
                </c:pt>
                <c:pt idx="1029">
                  <c:v>207.71485206921</c:v>
                </c:pt>
                <c:pt idx="1030">
                  <c:v>222.10642239696</c:v>
                </c:pt>
                <c:pt idx="1031">
                  <c:v>237.49879733721002</c:v>
                </c:pt>
                <c:pt idx="1032">
                  <c:v>253.89197688996001</c:v>
                </c:pt>
                <c:pt idx="1033">
                  <c:v>271.28596105521001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253.89197688996001</c:v>
                </c:pt>
                <c:pt idx="1038">
                  <c:v>237.49879733721002</c:v>
                </c:pt>
                <c:pt idx="1039">
                  <c:v>222.10642239696</c:v>
                </c:pt>
                <c:pt idx="1040">
                  <c:v>207.71485206921</c:v>
                </c:pt>
                <c:pt idx="1041">
                  <c:v>194.32408635396001</c:v>
                </c:pt>
                <c:pt idx="1042">
                  <c:v>181.93412525121002</c:v>
                </c:pt>
                <c:pt idx="1043">
                  <c:v>170.54496876096002</c:v>
                </c:pt>
                <c:pt idx="1044">
                  <c:v>160.15661688321001</c:v>
                </c:pt>
                <c:pt idx="1045">
                  <c:v>150.76906961796001</c:v>
                </c:pt>
                <c:pt idx="1046">
                  <c:v>142.38232696521001</c:v>
                </c:pt>
                <c:pt idx="1047">
                  <c:v>134.99638892496</c:v>
                </c:pt>
                <c:pt idx="1048">
                  <c:v>128.61125549721001</c:v>
                </c:pt>
                <c:pt idx="1049">
                  <c:v>123.22692668196002</c:v>
                </c:pt>
                <c:pt idx="1050">
                  <c:v>118.84340247921001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123.55474579281001</c:v>
                </c:pt>
                <c:pt idx="1060">
                  <c:v>129.40478235441</c:v>
                </c:pt>
                <c:pt idx="1061">
                  <c:v>136.39351216401002</c:v>
                </c:pt>
                <c:pt idx="1062">
                  <c:v>144.52093522160999</c:v>
                </c:pt>
                <c:pt idx="1063">
                  <c:v>153.78705152721</c:v>
                </c:pt>
                <c:pt idx="1064">
                  <c:v>164.19186108080999</c:v>
                </c:pt>
                <c:pt idx="1065">
                  <c:v>175.73536388241001</c:v>
                </c:pt>
                <c:pt idx="1066">
                  <c:v>188.41755993201002</c:v>
                </c:pt>
                <c:pt idx="1067">
                  <c:v>202.23844922961001</c:v>
                </c:pt>
                <c:pt idx="1068">
                  <c:v>217.19803177521004</c:v>
                </c:pt>
                <c:pt idx="1069">
                  <c:v>233.29630756881005</c:v>
                </c:pt>
                <c:pt idx="1070">
                  <c:v>250.5332766104101</c:v>
                </c:pt>
                <c:pt idx="1071">
                  <c:v>268.90893890001007</c:v>
                </c:pt>
                <c:pt idx="1072">
                  <c:v>271.28596105521001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253.89197688996001</c:v>
                </c:pt>
                <c:pt idx="1084">
                  <c:v>237.49879733721002</c:v>
                </c:pt>
                <c:pt idx="1085">
                  <c:v>222.10642239696</c:v>
                </c:pt>
                <c:pt idx="1086">
                  <c:v>207.71485206921</c:v>
                </c:pt>
                <c:pt idx="1087">
                  <c:v>194.32408635396001</c:v>
                </c:pt>
                <c:pt idx="1088">
                  <c:v>181.93412525121002</c:v>
                </c:pt>
                <c:pt idx="1089">
                  <c:v>170.54496876096002</c:v>
                </c:pt>
                <c:pt idx="1090">
                  <c:v>160.15661688321001</c:v>
                </c:pt>
                <c:pt idx="1091">
                  <c:v>150.76906961796001</c:v>
                </c:pt>
                <c:pt idx="1092">
                  <c:v>142.38232696521001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114.82850042721</c:v>
                </c:pt>
                <c:pt idx="1105">
                  <c:v>128.01243318921001</c:v>
                </c:pt>
                <c:pt idx="1106">
                  <c:v>142.97557415121003</c:v>
                </c:pt>
                <c:pt idx="1107">
                  <c:v>159.71792331321001</c:v>
                </c:pt>
                <c:pt idx="1108">
                  <c:v>178.23948067521002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E2-4108-8987-9B718F136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679024"/>
        <c:axId val="1496679352"/>
      </c:scatterChart>
      <c:scatterChart>
        <c:scatterStyle val="smoothMarker"/>
        <c:varyColors val="0"/>
        <c:ser>
          <c:idx val="1"/>
          <c:order val="1"/>
          <c:tx>
            <c:v>Power Required For Motion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Cycle'!$S$3:$S$1111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416.39218556090736</c:v>
                </c:pt>
                <c:pt idx="160">
                  <c:v>434.02413882290733</c:v>
                </c:pt>
                <c:pt idx="161">
                  <c:v>449.87688388490733</c:v>
                </c:pt>
                <c:pt idx="162">
                  <c:v>463.9504207469073</c:v>
                </c:pt>
                <c:pt idx="163">
                  <c:v>476.2447494089073</c:v>
                </c:pt>
                <c:pt idx="164">
                  <c:v>486.75986987090732</c:v>
                </c:pt>
                <c:pt idx="165">
                  <c:v>495.49578213290732</c:v>
                </c:pt>
                <c:pt idx="166">
                  <c:v>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434.02413882290733</c:v>
                </c:pt>
                <c:pt idx="218">
                  <c:v>449.87688388490733</c:v>
                </c:pt>
                <c:pt idx="219">
                  <c:v>463.9504207469073</c:v>
                </c:pt>
                <c:pt idx="220">
                  <c:v>476.2447494089073</c:v>
                </c:pt>
                <c:pt idx="221">
                  <c:v>488.93161876898466</c:v>
                </c:pt>
                <c:pt idx="222">
                  <c:v>497.66753103098466</c:v>
                </c:pt>
                <c:pt idx="223">
                  <c:v>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375.79065443690735</c:v>
                </c:pt>
                <c:pt idx="297">
                  <c:v>396.98102409890737</c:v>
                </c:pt>
                <c:pt idx="298">
                  <c:v>416.39218556090736</c:v>
                </c:pt>
                <c:pt idx="299">
                  <c:v>434.02413882290733</c:v>
                </c:pt>
                <c:pt idx="300">
                  <c:v>449.87688388490733</c:v>
                </c:pt>
                <c:pt idx="301">
                  <c:v>463.9504207469073</c:v>
                </c:pt>
                <c:pt idx="302">
                  <c:v>476.2447494089073</c:v>
                </c:pt>
                <c:pt idx="303">
                  <c:v>488.93161876898466</c:v>
                </c:pt>
                <c:pt idx="304">
                  <c:v>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23.111975392391855</c:v>
                </c:pt>
                <c:pt idx="324">
                  <c:v>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568.82593079850926</c:v>
                </c:pt>
                <c:pt idx="329">
                  <c:v>590.01630046050923</c:v>
                </c:pt>
                <c:pt idx="330">
                  <c:v>609.42746192250922</c:v>
                </c:pt>
                <c:pt idx="331">
                  <c:v>627.05941518450913</c:v>
                </c:pt>
                <c:pt idx="332">
                  <c:v>642.91216024650919</c:v>
                </c:pt>
                <c:pt idx="333">
                  <c:v>656.98569710850916</c:v>
                </c:pt>
                <c:pt idx="334">
                  <c:v>669.28002577050916</c:v>
                </c:pt>
                <c:pt idx="335">
                  <c:v>473.87137613250917</c:v>
                </c:pt>
                <c:pt idx="336">
                  <c:v>289.57201203290731</c:v>
                </c:pt>
                <c:pt idx="337">
                  <c:v>296.52871609490734</c:v>
                </c:pt>
                <c:pt idx="338">
                  <c:v>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18.004169007628036</c:v>
                </c:pt>
                <c:pt idx="368">
                  <c:v>34.39734856037802</c:v>
                </c:pt>
                <c:pt idx="369">
                  <c:v>49.789723500628043</c:v>
                </c:pt>
                <c:pt idx="370">
                  <c:v>64.181293828377989</c:v>
                </c:pt>
                <c:pt idx="371">
                  <c:v>77.572059543628029</c:v>
                </c:pt>
                <c:pt idx="372">
                  <c:v>89.962020646377994</c:v>
                </c:pt>
                <c:pt idx="373">
                  <c:v>101.351177136628</c:v>
                </c:pt>
                <c:pt idx="374">
                  <c:v>111.73952901437804</c:v>
                </c:pt>
                <c:pt idx="375">
                  <c:v>121.127076279628</c:v>
                </c:pt>
                <c:pt idx="376">
                  <c:v>129.513818932378</c:v>
                </c:pt>
                <c:pt idx="377">
                  <c:v>136.89975697262798</c:v>
                </c:pt>
                <c:pt idx="378">
                  <c:v>144.91370207393595</c:v>
                </c:pt>
                <c:pt idx="379">
                  <c:v>150.29803088918595</c:v>
                </c:pt>
                <c:pt idx="380">
                  <c:v>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18.004169007628036</c:v>
                </c:pt>
                <c:pt idx="404">
                  <c:v>34.39734856037802</c:v>
                </c:pt>
                <c:pt idx="405">
                  <c:v>49.789723500628043</c:v>
                </c:pt>
                <c:pt idx="406">
                  <c:v>64.181293828377989</c:v>
                </c:pt>
                <c:pt idx="407">
                  <c:v>77.572059543628029</c:v>
                </c:pt>
                <c:pt idx="408">
                  <c:v>89.962020646377994</c:v>
                </c:pt>
                <c:pt idx="409">
                  <c:v>101.351177136628</c:v>
                </c:pt>
                <c:pt idx="410">
                  <c:v>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18.004169007628036</c:v>
                </c:pt>
                <c:pt idx="474">
                  <c:v>34.39734856037802</c:v>
                </c:pt>
                <c:pt idx="475">
                  <c:v>49.789723500628043</c:v>
                </c:pt>
                <c:pt idx="476">
                  <c:v>64.181293828377989</c:v>
                </c:pt>
                <c:pt idx="477">
                  <c:v>77.572059543628029</c:v>
                </c:pt>
                <c:pt idx="478">
                  <c:v>89.962020646377994</c:v>
                </c:pt>
                <c:pt idx="479">
                  <c:v>101.351177136628</c:v>
                </c:pt>
                <c:pt idx="480">
                  <c:v>111.73952901437804</c:v>
                </c:pt>
                <c:pt idx="481">
                  <c:v>122.75588795318595</c:v>
                </c:pt>
                <c:pt idx="482">
                  <c:v>131.14263060593595</c:v>
                </c:pt>
                <c:pt idx="483">
                  <c:v>138.52856864618593</c:v>
                </c:pt>
                <c:pt idx="484">
                  <c:v>144.91370207393595</c:v>
                </c:pt>
                <c:pt idx="485">
                  <c:v>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64.181293828377989</c:v>
                </c:pt>
                <c:pt idx="531">
                  <c:v>77.572059543628029</c:v>
                </c:pt>
                <c:pt idx="532">
                  <c:v>89.962020646377994</c:v>
                </c:pt>
                <c:pt idx="533">
                  <c:v>101.351177136628</c:v>
                </c:pt>
                <c:pt idx="534">
                  <c:v>111.73952901437804</c:v>
                </c:pt>
                <c:pt idx="535">
                  <c:v>121.127076279628</c:v>
                </c:pt>
                <c:pt idx="536">
                  <c:v>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34.39734856037802</c:v>
                </c:pt>
                <c:pt idx="561">
                  <c:v>49.789723500628043</c:v>
                </c:pt>
                <c:pt idx="562">
                  <c:v>64.181293828377989</c:v>
                </c:pt>
                <c:pt idx="563">
                  <c:v>77.572059543628029</c:v>
                </c:pt>
                <c:pt idx="564">
                  <c:v>89.962020646377994</c:v>
                </c:pt>
                <c:pt idx="565">
                  <c:v>101.351177136628</c:v>
                </c:pt>
                <c:pt idx="566">
                  <c:v>111.73952901437804</c:v>
                </c:pt>
                <c:pt idx="567">
                  <c:v>121.127076279628</c:v>
                </c:pt>
                <c:pt idx="568">
                  <c:v>129.513818932378</c:v>
                </c:pt>
                <c:pt idx="569">
                  <c:v>136.89975697262798</c:v>
                </c:pt>
                <c:pt idx="570">
                  <c:v>143.284890400378</c:v>
                </c:pt>
                <c:pt idx="571">
                  <c:v>148.669219215628</c:v>
                </c:pt>
                <c:pt idx="572">
                  <c:v>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216.75494250062803</c:v>
                </c:pt>
                <c:pt idx="973">
                  <c:v>231.14651282837804</c:v>
                </c:pt>
                <c:pt idx="974">
                  <c:v>244.53727854362802</c:v>
                </c:pt>
                <c:pt idx="975">
                  <c:v>256.92723964637798</c:v>
                </c:pt>
                <c:pt idx="976">
                  <c:v>269.94520781018593</c:v>
                </c:pt>
                <c:pt idx="977">
                  <c:v>280.33355968793597</c:v>
                </c:pt>
                <c:pt idx="978">
                  <c:v>289.72110695318599</c:v>
                </c:pt>
                <c:pt idx="979">
                  <c:v>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201.36256756037801</c:v>
                </c:pt>
                <c:pt idx="1002">
                  <c:v>216.75494250062803</c:v>
                </c:pt>
                <c:pt idx="1003">
                  <c:v>231.14651282837804</c:v>
                </c:pt>
                <c:pt idx="1004">
                  <c:v>244.53727854362802</c:v>
                </c:pt>
                <c:pt idx="1005">
                  <c:v>256.92723964637798</c:v>
                </c:pt>
                <c:pt idx="1006">
                  <c:v>268.31639613662799</c:v>
                </c:pt>
                <c:pt idx="1007">
                  <c:v>278.70474801437803</c:v>
                </c:pt>
                <c:pt idx="1008">
                  <c:v>288.09229527962805</c:v>
                </c:pt>
                <c:pt idx="1009">
                  <c:v>296.47903793237799</c:v>
                </c:pt>
                <c:pt idx="1010">
                  <c:v>303.86497597262803</c:v>
                </c:pt>
                <c:pt idx="1011">
                  <c:v>310.25010940037805</c:v>
                </c:pt>
                <c:pt idx="1012">
                  <c:v>315.63443821562799</c:v>
                </c:pt>
                <c:pt idx="1013">
                  <c:v>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231.14651282837804</c:v>
                </c:pt>
                <c:pt idx="1041">
                  <c:v>244.53727854362802</c:v>
                </c:pt>
                <c:pt idx="1042">
                  <c:v>256.92723964637798</c:v>
                </c:pt>
                <c:pt idx="1043">
                  <c:v>268.31639613662799</c:v>
                </c:pt>
                <c:pt idx="1044">
                  <c:v>278.70474801437803</c:v>
                </c:pt>
                <c:pt idx="1045">
                  <c:v>288.09229527962805</c:v>
                </c:pt>
                <c:pt idx="1046">
                  <c:v>296.47903793237799</c:v>
                </c:pt>
                <c:pt idx="1047">
                  <c:v>303.86497597262803</c:v>
                </c:pt>
                <c:pt idx="1048">
                  <c:v>310.25010940037805</c:v>
                </c:pt>
                <c:pt idx="1049">
                  <c:v>317.26324988918594</c:v>
                </c:pt>
                <c:pt idx="1050">
                  <c:v>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184.96938800762803</c:v>
                </c:pt>
                <c:pt idx="1084">
                  <c:v>201.36256756037801</c:v>
                </c:pt>
                <c:pt idx="1085">
                  <c:v>216.75494250062803</c:v>
                </c:pt>
                <c:pt idx="1086">
                  <c:v>231.14651282837804</c:v>
                </c:pt>
                <c:pt idx="1087">
                  <c:v>244.53727854362802</c:v>
                </c:pt>
                <c:pt idx="1088">
                  <c:v>256.92723964637798</c:v>
                </c:pt>
                <c:pt idx="1089">
                  <c:v>269.94520781018593</c:v>
                </c:pt>
                <c:pt idx="1090">
                  <c:v>280.33355968793597</c:v>
                </c:pt>
                <c:pt idx="1091">
                  <c:v>289.72110695318599</c:v>
                </c:pt>
                <c:pt idx="1092">
                  <c:v>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DE2-4108-8987-9B718F136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840759"/>
        <c:axId val="330838463"/>
      </c:scatterChart>
      <c:valAx>
        <c:axId val="149667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9352"/>
        <c:crosses val="autoZero"/>
        <c:crossBetween val="midCat"/>
      </c:valAx>
      <c:valAx>
        <c:axId val="1496679352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679024"/>
        <c:crosses val="autoZero"/>
        <c:crossBetween val="midCat"/>
      </c:valAx>
      <c:valAx>
        <c:axId val="33083846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840759"/>
        <c:crosses val="max"/>
        <c:crossBetween val="midCat"/>
      </c:valAx>
      <c:valAx>
        <c:axId val="33084075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0838463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 &amp; Torque Demand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Power Required For Motion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Cycle'!$S$3:$S$1111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416.39218556090736</c:v>
                </c:pt>
                <c:pt idx="160">
                  <c:v>434.02413882290733</c:v>
                </c:pt>
                <c:pt idx="161">
                  <c:v>449.87688388490733</c:v>
                </c:pt>
                <c:pt idx="162">
                  <c:v>463.9504207469073</c:v>
                </c:pt>
                <c:pt idx="163">
                  <c:v>476.2447494089073</c:v>
                </c:pt>
                <c:pt idx="164">
                  <c:v>486.75986987090732</c:v>
                </c:pt>
                <c:pt idx="165">
                  <c:v>495.49578213290732</c:v>
                </c:pt>
                <c:pt idx="166">
                  <c:v>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434.02413882290733</c:v>
                </c:pt>
                <c:pt idx="218">
                  <c:v>449.87688388490733</c:v>
                </c:pt>
                <c:pt idx="219">
                  <c:v>463.9504207469073</c:v>
                </c:pt>
                <c:pt idx="220">
                  <c:v>476.2447494089073</c:v>
                </c:pt>
                <c:pt idx="221">
                  <c:v>488.93161876898466</c:v>
                </c:pt>
                <c:pt idx="222">
                  <c:v>497.66753103098466</c:v>
                </c:pt>
                <c:pt idx="223">
                  <c:v>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375.79065443690735</c:v>
                </c:pt>
                <c:pt idx="297">
                  <c:v>396.98102409890737</c:v>
                </c:pt>
                <c:pt idx="298">
                  <c:v>416.39218556090736</c:v>
                </c:pt>
                <c:pt idx="299">
                  <c:v>434.02413882290733</c:v>
                </c:pt>
                <c:pt idx="300">
                  <c:v>449.87688388490733</c:v>
                </c:pt>
                <c:pt idx="301">
                  <c:v>463.9504207469073</c:v>
                </c:pt>
                <c:pt idx="302">
                  <c:v>476.2447494089073</c:v>
                </c:pt>
                <c:pt idx="303">
                  <c:v>488.93161876898466</c:v>
                </c:pt>
                <c:pt idx="304">
                  <c:v>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23.111975392391855</c:v>
                </c:pt>
                <c:pt idx="324">
                  <c:v>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568.82593079850926</c:v>
                </c:pt>
                <c:pt idx="329">
                  <c:v>590.01630046050923</c:v>
                </c:pt>
                <c:pt idx="330">
                  <c:v>609.42746192250922</c:v>
                </c:pt>
                <c:pt idx="331">
                  <c:v>627.05941518450913</c:v>
                </c:pt>
                <c:pt idx="332">
                  <c:v>642.91216024650919</c:v>
                </c:pt>
                <c:pt idx="333">
                  <c:v>656.98569710850916</c:v>
                </c:pt>
                <c:pt idx="334">
                  <c:v>669.28002577050916</c:v>
                </c:pt>
                <c:pt idx="335">
                  <c:v>473.87137613250917</c:v>
                </c:pt>
                <c:pt idx="336">
                  <c:v>289.57201203290731</c:v>
                </c:pt>
                <c:pt idx="337">
                  <c:v>296.52871609490734</c:v>
                </c:pt>
                <c:pt idx="338">
                  <c:v>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18.004169007628036</c:v>
                </c:pt>
                <c:pt idx="368">
                  <c:v>34.39734856037802</c:v>
                </c:pt>
                <c:pt idx="369">
                  <c:v>49.789723500628043</c:v>
                </c:pt>
                <c:pt idx="370">
                  <c:v>64.181293828377989</c:v>
                </c:pt>
                <c:pt idx="371">
                  <c:v>77.572059543628029</c:v>
                </c:pt>
                <c:pt idx="372">
                  <c:v>89.962020646377994</c:v>
                </c:pt>
                <c:pt idx="373">
                  <c:v>101.351177136628</c:v>
                </c:pt>
                <c:pt idx="374">
                  <c:v>111.73952901437804</c:v>
                </c:pt>
                <c:pt idx="375">
                  <c:v>121.127076279628</c:v>
                </c:pt>
                <c:pt idx="376">
                  <c:v>129.513818932378</c:v>
                </c:pt>
                <c:pt idx="377">
                  <c:v>136.89975697262798</c:v>
                </c:pt>
                <c:pt idx="378">
                  <c:v>144.91370207393595</c:v>
                </c:pt>
                <c:pt idx="379">
                  <c:v>150.29803088918595</c:v>
                </c:pt>
                <c:pt idx="380">
                  <c:v>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18.004169007628036</c:v>
                </c:pt>
                <c:pt idx="404">
                  <c:v>34.39734856037802</c:v>
                </c:pt>
                <c:pt idx="405">
                  <c:v>49.789723500628043</c:v>
                </c:pt>
                <c:pt idx="406">
                  <c:v>64.181293828377989</c:v>
                </c:pt>
                <c:pt idx="407">
                  <c:v>77.572059543628029</c:v>
                </c:pt>
                <c:pt idx="408">
                  <c:v>89.962020646377994</c:v>
                </c:pt>
                <c:pt idx="409">
                  <c:v>101.351177136628</c:v>
                </c:pt>
                <c:pt idx="410">
                  <c:v>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18.004169007628036</c:v>
                </c:pt>
                <c:pt idx="474">
                  <c:v>34.39734856037802</c:v>
                </c:pt>
                <c:pt idx="475">
                  <c:v>49.789723500628043</c:v>
                </c:pt>
                <c:pt idx="476">
                  <c:v>64.181293828377989</c:v>
                </c:pt>
                <c:pt idx="477">
                  <c:v>77.572059543628029</c:v>
                </c:pt>
                <c:pt idx="478">
                  <c:v>89.962020646377994</c:v>
                </c:pt>
                <c:pt idx="479">
                  <c:v>101.351177136628</c:v>
                </c:pt>
                <c:pt idx="480">
                  <c:v>111.73952901437804</c:v>
                </c:pt>
                <c:pt idx="481">
                  <c:v>122.75588795318595</c:v>
                </c:pt>
                <c:pt idx="482">
                  <c:v>131.14263060593595</c:v>
                </c:pt>
                <c:pt idx="483">
                  <c:v>138.52856864618593</c:v>
                </c:pt>
                <c:pt idx="484">
                  <c:v>144.91370207393595</c:v>
                </c:pt>
                <c:pt idx="485">
                  <c:v>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64.181293828377989</c:v>
                </c:pt>
                <c:pt idx="531">
                  <c:v>77.572059543628029</c:v>
                </c:pt>
                <c:pt idx="532">
                  <c:v>89.962020646377994</c:v>
                </c:pt>
                <c:pt idx="533">
                  <c:v>101.351177136628</c:v>
                </c:pt>
                <c:pt idx="534">
                  <c:v>111.73952901437804</c:v>
                </c:pt>
                <c:pt idx="535">
                  <c:v>121.127076279628</c:v>
                </c:pt>
                <c:pt idx="536">
                  <c:v>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34.39734856037802</c:v>
                </c:pt>
                <c:pt idx="561">
                  <c:v>49.789723500628043</c:v>
                </c:pt>
                <c:pt idx="562">
                  <c:v>64.181293828377989</c:v>
                </c:pt>
                <c:pt idx="563">
                  <c:v>77.572059543628029</c:v>
                </c:pt>
                <c:pt idx="564">
                  <c:v>89.962020646377994</c:v>
                </c:pt>
                <c:pt idx="565">
                  <c:v>101.351177136628</c:v>
                </c:pt>
                <c:pt idx="566">
                  <c:v>111.73952901437804</c:v>
                </c:pt>
                <c:pt idx="567">
                  <c:v>121.127076279628</c:v>
                </c:pt>
                <c:pt idx="568">
                  <c:v>129.513818932378</c:v>
                </c:pt>
                <c:pt idx="569">
                  <c:v>136.89975697262798</c:v>
                </c:pt>
                <c:pt idx="570">
                  <c:v>143.284890400378</c:v>
                </c:pt>
                <c:pt idx="571">
                  <c:v>148.669219215628</c:v>
                </c:pt>
                <c:pt idx="572">
                  <c:v>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216.75494250062803</c:v>
                </c:pt>
                <c:pt idx="973">
                  <c:v>231.14651282837804</c:v>
                </c:pt>
                <c:pt idx="974">
                  <c:v>244.53727854362802</c:v>
                </c:pt>
                <c:pt idx="975">
                  <c:v>256.92723964637798</c:v>
                </c:pt>
                <c:pt idx="976">
                  <c:v>269.94520781018593</c:v>
                </c:pt>
                <c:pt idx="977">
                  <c:v>280.33355968793597</c:v>
                </c:pt>
                <c:pt idx="978">
                  <c:v>289.72110695318599</c:v>
                </c:pt>
                <c:pt idx="979">
                  <c:v>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201.36256756037801</c:v>
                </c:pt>
                <c:pt idx="1002">
                  <c:v>216.75494250062803</c:v>
                </c:pt>
                <c:pt idx="1003">
                  <c:v>231.14651282837804</c:v>
                </c:pt>
                <c:pt idx="1004">
                  <c:v>244.53727854362802</c:v>
                </c:pt>
                <c:pt idx="1005">
                  <c:v>256.92723964637798</c:v>
                </c:pt>
                <c:pt idx="1006">
                  <c:v>268.31639613662799</c:v>
                </c:pt>
                <c:pt idx="1007">
                  <c:v>278.70474801437803</c:v>
                </c:pt>
                <c:pt idx="1008">
                  <c:v>288.09229527962805</c:v>
                </c:pt>
                <c:pt idx="1009">
                  <c:v>296.47903793237799</c:v>
                </c:pt>
                <c:pt idx="1010">
                  <c:v>303.86497597262803</c:v>
                </c:pt>
                <c:pt idx="1011">
                  <c:v>310.25010940037805</c:v>
                </c:pt>
                <c:pt idx="1012">
                  <c:v>315.63443821562799</c:v>
                </c:pt>
                <c:pt idx="1013">
                  <c:v>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231.14651282837804</c:v>
                </c:pt>
                <c:pt idx="1041">
                  <c:v>244.53727854362802</c:v>
                </c:pt>
                <c:pt idx="1042">
                  <c:v>256.92723964637798</c:v>
                </c:pt>
                <c:pt idx="1043">
                  <c:v>268.31639613662799</c:v>
                </c:pt>
                <c:pt idx="1044">
                  <c:v>278.70474801437803</c:v>
                </c:pt>
                <c:pt idx="1045">
                  <c:v>288.09229527962805</c:v>
                </c:pt>
                <c:pt idx="1046">
                  <c:v>296.47903793237799</c:v>
                </c:pt>
                <c:pt idx="1047">
                  <c:v>303.86497597262803</c:v>
                </c:pt>
                <c:pt idx="1048">
                  <c:v>310.25010940037805</c:v>
                </c:pt>
                <c:pt idx="1049">
                  <c:v>317.26324988918594</c:v>
                </c:pt>
                <c:pt idx="1050">
                  <c:v>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184.96938800762803</c:v>
                </c:pt>
                <c:pt idx="1084">
                  <c:v>201.36256756037801</c:v>
                </c:pt>
                <c:pt idx="1085">
                  <c:v>216.75494250062803</c:v>
                </c:pt>
                <c:pt idx="1086">
                  <c:v>231.14651282837804</c:v>
                </c:pt>
                <c:pt idx="1087">
                  <c:v>244.53727854362802</c:v>
                </c:pt>
                <c:pt idx="1088">
                  <c:v>256.92723964637798</c:v>
                </c:pt>
                <c:pt idx="1089">
                  <c:v>269.94520781018593</c:v>
                </c:pt>
                <c:pt idx="1090">
                  <c:v>280.33355968793597</c:v>
                </c:pt>
                <c:pt idx="1091">
                  <c:v>289.72110695318599</c:v>
                </c:pt>
                <c:pt idx="1092">
                  <c:v>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C1-4422-B624-2E1F89AAA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28728"/>
        <c:axId val="1419127416"/>
      </c:scatterChart>
      <c:scatterChart>
        <c:scatterStyle val="smoothMarker"/>
        <c:varyColors val="0"/>
        <c:ser>
          <c:idx val="0"/>
          <c:order val="0"/>
          <c:tx>
            <c:v>Torque Demand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Cycle'!$T$3:$T$1111</c:f>
              <c:numCache>
                <c:formatCode>General</c:formatCode>
                <c:ptCount val="1109"/>
                <c:pt idx="0">
                  <c:v>0</c:v>
                </c:pt>
                <c:pt idx="1">
                  <c:v>8.4105294004096063</c:v>
                </c:pt>
                <c:pt idx="2">
                  <c:v>4.2222548869939818</c:v>
                </c:pt>
                <c:pt idx="3">
                  <c:v>2.8337145766506295</c:v>
                </c:pt>
                <c:pt idx="4">
                  <c:v>2.1451078170753464</c:v>
                </c:pt>
                <c:pt idx="5">
                  <c:v>1.7364744778072909</c:v>
                </c:pt>
                <c:pt idx="6">
                  <c:v>1.4678278486928489</c:v>
                </c:pt>
                <c:pt idx="7">
                  <c:v>1.2752234016972332</c:v>
                </c:pt>
                <c:pt idx="8">
                  <c:v>1.1370582099715514</c:v>
                </c:pt>
                <c:pt idx="9">
                  <c:v>1.0321134588944181</c:v>
                </c:pt>
                <c:pt idx="10">
                  <c:v>1.0183103745763591</c:v>
                </c:pt>
                <c:pt idx="11">
                  <c:v>0.24713673828508664</c:v>
                </c:pt>
                <c:pt idx="12">
                  <c:v>0.27504918801016476</c:v>
                </c:pt>
                <c:pt idx="13">
                  <c:v>0.3053888072765541</c:v>
                </c:pt>
                <c:pt idx="14">
                  <c:v>0.31759034207768627</c:v>
                </c:pt>
                <c:pt idx="15">
                  <c:v>0.31693762037236189</c:v>
                </c:pt>
                <c:pt idx="16">
                  <c:v>0.31693762037236189</c:v>
                </c:pt>
                <c:pt idx="17">
                  <c:v>0.31693762037236189</c:v>
                </c:pt>
                <c:pt idx="18">
                  <c:v>0.31693762037236189</c:v>
                </c:pt>
                <c:pt idx="19">
                  <c:v>0.31693762037236189</c:v>
                </c:pt>
                <c:pt idx="20">
                  <c:v>0.31693762037236189</c:v>
                </c:pt>
                <c:pt idx="21">
                  <c:v>0.31693762037236189</c:v>
                </c:pt>
                <c:pt idx="22">
                  <c:v>0.31693762037236189</c:v>
                </c:pt>
                <c:pt idx="23">
                  <c:v>0.31693762037236189</c:v>
                </c:pt>
                <c:pt idx="24">
                  <c:v>0.31693762037236189</c:v>
                </c:pt>
                <c:pt idx="25">
                  <c:v>0.31693762037236189</c:v>
                </c:pt>
                <c:pt idx="26">
                  <c:v>0.31693762037236189</c:v>
                </c:pt>
                <c:pt idx="27">
                  <c:v>0.31693762037236189</c:v>
                </c:pt>
                <c:pt idx="28">
                  <c:v>0.31693762037236189</c:v>
                </c:pt>
                <c:pt idx="29">
                  <c:v>0.31693762037236189</c:v>
                </c:pt>
                <c:pt idx="30">
                  <c:v>0.31693762037236189</c:v>
                </c:pt>
                <c:pt idx="31">
                  <c:v>0.31693762037236189</c:v>
                </c:pt>
                <c:pt idx="32">
                  <c:v>0.31693762037236189</c:v>
                </c:pt>
                <c:pt idx="33">
                  <c:v>0.31693762037236189</c:v>
                </c:pt>
                <c:pt idx="34">
                  <c:v>0.31693762037236189</c:v>
                </c:pt>
                <c:pt idx="35">
                  <c:v>0.31693762037236189</c:v>
                </c:pt>
                <c:pt idx="36">
                  <c:v>0.31693762037236189</c:v>
                </c:pt>
                <c:pt idx="37">
                  <c:v>0.31693762037236189</c:v>
                </c:pt>
                <c:pt idx="38">
                  <c:v>0.31693762037236189</c:v>
                </c:pt>
                <c:pt idx="39">
                  <c:v>0.31693762037236189</c:v>
                </c:pt>
                <c:pt idx="40">
                  <c:v>0.31693762037236189</c:v>
                </c:pt>
                <c:pt idx="41">
                  <c:v>0.31693762037236189</c:v>
                </c:pt>
                <c:pt idx="42">
                  <c:v>0.31693762037236189</c:v>
                </c:pt>
                <c:pt idx="43">
                  <c:v>0.31693762037236189</c:v>
                </c:pt>
                <c:pt idx="44">
                  <c:v>0.31693762037236189</c:v>
                </c:pt>
                <c:pt idx="45">
                  <c:v>0.31693762037236189</c:v>
                </c:pt>
                <c:pt idx="46">
                  <c:v>0.31693762037236189</c:v>
                </c:pt>
                <c:pt idx="47">
                  <c:v>0.31693762037236189</c:v>
                </c:pt>
                <c:pt idx="48">
                  <c:v>0.31693762037236189</c:v>
                </c:pt>
                <c:pt idx="49">
                  <c:v>0.31693762037236189</c:v>
                </c:pt>
                <c:pt idx="50">
                  <c:v>0.31693762037236189</c:v>
                </c:pt>
                <c:pt idx="51">
                  <c:v>0.31693762037236189</c:v>
                </c:pt>
                <c:pt idx="52">
                  <c:v>0.31693762037236189</c:v>
                </c:pt>
                <c:pt idx="53">
                  <c:v>0.31693762037236189</c:v>
                </c:pt>
                <c:pt idx="54">
                  <c:v>0.31693762037236189</c:v>
                </c:pt>
                <c:pt idx="55">
                  <c:v>0.31693762037236189</c:v>
                </c:pt>
                <c:pt idx="56">
                  <c:v>0.31693762037236189</c:v>
                </c:pt>
                <c:pt idx="57">
                  <c:v>0.31693762037236189</c:v>
                </c:pt>
                <c:pt idx="58">
                  <c:v>0.31693762037236189</c:v>
                </c:pt>
                <c:pt idx="59">
                  <c:v>0.31693762037236189</c:v>
                </c:pt>
                <c:pt idx="60">
                  <c:v>0.31693762037236189</c:v>
                </c:pt>
                <c:pt idx="61">
                  <c:v>0.31693762037236189</c:v>
                </c:pt>
                <c:pt idx="62">
                  <c:v>0.31693762037236189</c:v>
                </c:pt>
                <c:pt idx="63">
                  <c:v>0.31693762037236189</c:v>
                </c:pt>
                <c:pt idx="64">
                  <c:v>0.31693762037236189</c:v>
                </c:pt>
                <c:pt idx="65">
                  <c:v>0.31693762037236189</c:v>
                </c:pt>
                <c:pt idx="66">
                  <c:v>0.31693762037236189</c:v>
                </c:pt>
                <c:pt idx="67">
                  <c:v>0.31693762037236189</c:v>
                </c:pt>
                <c:pt idx="68">
                  <c:v>0.31693762037236189</c:v>
                </c:pt>
                <c:pt idx="69">
                  <c:v>0.31693762037236189</c:v>
                </c:pt>
                <c:pt idx="70">
                  <c:v>0.31693762037236189</c:v>
                </c:pt>
                <c:pt idx="71">
                  <c:v>0.31693762037236189</c:v>
                </c:pt>
                <c:pt idx="72">
                  <c:v>0.31693762037236189</c:v>
                </c:pt>
                <c:pt idx="73">
                  <c:v>0.31693762037236189</c:v>
                </c:pt>
                <c:pt idx="74">
                  <c:v>0.31693762037236189</c:v>
                </c:pt>
                <c:pt idx="75">
                  <c:v>0.31693762037236189</c:v>
                </c:pt>
                <c:pt idx="76">
                  <c:v>0.31693762037236189</c:v>
                </c:pt>
                <c:pt idx="77">
                  <c:v>0.31693762037236189</c:v>
                </c:pt>
                <c:pt idx="78">
                  <c:v>0.31693762037236189</c:v>
                </c:pt>
                <c:pt idx="79">
                  <c:v>0.31693762037236189</c:v>
                </c:pt>
                <c:pt idx="80">
                  <c:v>0.31693762037236189</c:v>
                </c:pt>
                <c:pt idx="81">
                  <c:v>0.31693762037236189</c:v>
                </c:pt>
                <c:pt idx="82">
                  <c:v>0.31693762037236189</c:v>
                </c:pt>
                <c:pt idx="83">
                  <c:v>0.31693762037236189</c:v>
                </c:pt>
                <c:pt idx="84">
                  <c:v>0.31693762037236189</c:v>
                </c:pt>
                <c:pt idx="85">
                  <c:v>0.31693762037236189</c:v>
                </c:pt>
                <c:pt idx="86">
                  <c:v>0.31693762037236189</c:v>
                </c:pt>
                <c:pt idx="87">
                  <c:v>0.31693762037236189</c:v>
                </c:pt>
                <c:pt idx="88">
                  <c:v>0.31693762037236189</c:v>
                </c:pt>
                <c:pt idx="89">
                  <c:v>0.31693762037236189</c:v>
                </c:pt>
                <c:pt idx="90">
                  <c:v>0.31693762037236189</c:v>
                </c:pt>
                <c:pt idx="91">
                  <c:v>0.31693762037236189</c:v>
                </c:pt>
                <c:pt idx="92">
                  <c:v>0.31693762037236189</c:v>
                </c:pt>
                <c:pt idx="93">
                  <c:v>0.25829978231438322</c:v>
                </c:pt>
                <c:pt idx="94">
                  <c:v>0.17795634404380509</c:v>
                </c:pt>
                <c:pt idx="95">
                  <c:v>0.17521330366893006</c:v>
                </c:pt>
                <c:pt idx="96">
                  <c:v>0.16454396624622752</c:v>
                </c:pt>
                <c:pt idx="97">
                  <c:v>0.146340194686394</c:v>
                </c:pt>
                <c:pt idx="98">
                  <c:v>0.67850747510930554</c:v>
                </c:pt>
                <c:pt idx="99">
                  <c:v>0.67850747510930554</c:v>
                </c:pt>
                <c:pt idx="100">
                  <c:v>0.67850747510930554</c:v>
                </c:pt>
                <c:pt idx="101">
                  <c:v>0.67850747510930554</c:v>
                </c:pt>
                <c:pt idx="102">
                  <c:v>0.67850747510930554</c:v>
                </c:pt>
                <c:pt idx="103">
                  <c:v>0.67850747510930554</c:v>
                </c:pt>
                <c:pt idx="104">
                  <c:v>0.67850747510930554</c:v>
                </c:pt>
                <c:pt idx="105">
                  <c:v>0.67850747510930554</c:v>
                </c:pt>
                <c:pt idx="106">
                  <c:v>0.67850747510930554</c:v>
                </c:pt>
                <c:pt idx="107">
                  <c:v>0.67850747510930554</c:v>
                </c:pt>
                <c:pt idx="108">
                  <c:v>0.67850747510930554</c:v>
                </c:pt>
                <c:pt idx="109">
                  <c:v>0.6476662262407008</c:v>
                </c:pt>
                <c:pt idx="110">
                  <c:v>0.3208907193451922</c:v>
                </c:pt>
                <c:pt idx="111">
                  <c:v>0.32888025399013515</c:v>
                </c:pt>
                <c:pt idx="112">
                  <c:v>0.34202036839135441</c:v>
                </c:pt>
                <c:pt idx="113">
                  <c:v>0.34131743732408198</c:v>
                </c:pt>
                <c:pt idx="114">
                  <c:v>0.34131743732408198</c:v>
                </c:pt>
                <c:pt idx="115">
                  <c:v>0.34131743732408198</c:v>
                </c:pt>
                <c:pt idx="116">
                  <c:v>0.23114077512473666</c:v>
                </c:pt>
                <c:pt idx="117">
                  <c:v>0.23698710424522193</c:v>
                </c:pt>
                <c:pt idx="118">
                  <c:v>0.25124044606863494</c:v>
                </c:pt>
                <c:pt idx="119">
                  <c:v>0.25038321305976613</c:v>
                </c:pt>
                <c:pt idx="120">
                  <c:v>0.28085030287457419</c:v>
                </c:pt>
                <c:pt idx="121">
                  <c:v>0.10273100680875849</c:v>
                </c:pt>
                <c:pt idx="122">
                  <c:v>0.13339180664669426</c:v>
                </c:pt>
                <c:pt idx="123">
                  <c:v>0.13183164257055302</c:v>
                </c:pt>
                <c:pt idx="124">
                  <c:v>0.13183164257055302</c:v>
                </c:pt>
                <c:pt idx="125">
                  <c:v>0.13183164257055302</c:v>
                </c:pt>
                <c:pt idx="126">
                  <c:v>0.13183164257055302</c:v>
                </c:pt>
                <c:pt idx="127">
                  <c:v>0.13183164257055302</c:v>
                </c:pt>
                <c:pt idx="128">
                  <c:v>0.13183164257055302</c:v>
                </c:pt>
                <c:pt idx="129">
                  <c:v>0.13183164257055302</c:v>
                </c:pt>
                <c:pt idx="130">
                  <c:v>0.13183164257055302</c:v>
                </c:pt>
                <c:pt idx="131">
                  <c:v>0.13183164257055302</c:v>
                </c:pt>
                <c:pt idx="132">
                  <c:v>0.13183164257055302</c:v>
                </c:pt>
                <c:pt idx="133">
                  <c:v>0.1318316425705528</c:v>
                </c:pt>
                <c:pt idx="134">
                  <c:v>0.1318316425705528</c:v>
                </c:pt>
                <c:pt idx="135">
                  <c:v>0.1318316425705528</c:v>
                </c:pt>
                <c:pt idx="136">
                  <c:v>0.1318316425705528</c:v>
                </c:pt>
                <c:pt idx="137">
                  <c:v>0.1318316425705528</c:v>
                </c:pt>
                <c:pt idx="138">
                  <c:v>0.1318316425705528</c:v>
                </c:pt>
                <c:pt idx="139">
                  <c:v>0.1318316425705528</c:v>
                </c:pt>
                <c:pt idx="140">
                  <c:v>0.1318316425705528</c:v>
                </c:pt>
                <c:pt idx="141">
                  <c:v>0.1318316425705528</c:v>
                </c:pt>
                <c:pt idx="142">
                  <c:v>0.13183164257055285</c:v>
                </c:pt>
                <c:pt idx="143">
                  <c:v>0.13183164257055285</c:v>
                </c:pt>
                <c:pt idx="144">
                  <c:v>0.13183164257055285</c:v>
                </c:pt>
                <c:pt idx="145">
                  <c:v>0.27821893918471186</c:v>
                </c:pt>
                <c:pt idx="146">
                  <c:v>0.34131743732408198</c:v>
                </c:pt>
                <c:pt idx="147">
                  <c:v>0.34131743732408198</c:v>
                </c:pt>
                <c:pt idx="148">
                  <c:v>0.34131743732408198</c:v>
                </c:pt>
                <c:pt idx="149">
                  <c:v>0.34131743732408198</c:v>
                </c:pt>
                <c:pt idx="150">
                  <c:v>0.34131743732408198</c:v>
                </c:pt>
                <c:pt idx="151">
                  <c:v>0.34131743732408198</c:v>
                </c:pt>
                <c:pt idx="152">
                  <c:v>0.34131743732408198</c:v>
                </c:pt>
                <c:pt idx="153">
                  <c:v>0.34131743732408198</c:v>
                </c:pt>
                <c:pt idx="154">
                  <c:v>0.34131743732408198</c:v>
                </c:pt>
                <c:pt idx="155">
                  <c:v>0.34131743732408198</c:v>
                </c:pt>
                <c:pt idx="156">
                  <c:v>0.34131743732408198</c:v>
                </c:pt>
                <c:pt idx="157">
                  <c:v>0.30585784646814623</c:v>
                </c:pt>
                <c:pt idx="158">
                  <c:v>0.27472659652059078</c:v>
                </c:pt>
                <c:pt idx="159">
                  <c:v>0.66270874596856133</c:v>
                </c:pt>
                <c:pt idx="160">
                  <c:v>0.75356822307129501</c:v>
                </c:pt>
                <c:pt idx="161">
                  <c:v>0.8592015582367396</c:v>
                </c:pt>
                <c:pt idx="162">
                  <c:v>0.98453337081913228</c:v>
                </c:pt>
                <c:pt idx="163">
                  <c:v>1.1369505898498291</c:v>
                </c:pt>
                <c:pt idx="164">
                  <c:v>1.3280612466638166</c:v>
                </c:pt>
                <c:pt idx="165">
                  <c:v>1.5772120601527406</c:v>
                </c:pt>
                <c:pt idx="166">
                  <c:v>1.9192271243215635</c:v>
                </c:pt>
                <c:pt idx="167">
                  <c:v>0.315875453454665</c:v>
                </c:pt>
                <c:pt idx="168">
                  <c:v>0.315875453454665</c:v>
                </c:pt>
                <c:pt idx="169">
                  <c:v>0.315875453454665</c:v>
                </c:pt>
                <c:pt idx="170">
                  <c:v>0.315875453454665</c:v>
                </c:pt>
                <c:pt idx="171">
                  <c:v>0.315875453454665</c:v>
                </c:pt>
                <c:pt idx="172">
                  <c:v>0.315875453454665</c:v>
                </c:pt>
                <c:pt idx="173">
                  <c:v>0.315875453454665</c:v>
                </c:pt>
                <c:pt idx="174">
                  <c:v>0.315875453454665</c:v>
                </c:pt>
                <c:pt idx="175">
                  <c:v>0.315875453454665</c:v>
                </c:pt>
                <c:pt idx="176">
                  <c:v>0.315875453454665</c:v>
                </c:pt>
                <c:pt idx="177">
                  <c:v>0.315875453454665</c:v>
                </c:pt>
                <c:pt idx="178">
                  <c:v>2.5858461531039687</c:v>
                </c:pt>
                <c:pt idx="179">
                  <c:v>2.6192148799579145</c:v>
                </c:pt>
                <c:pt idx="180">
                  <c:v>2.6593796815275317</c:v>
                </c:pt>
                <c:pt idx="181">
                  <c:v>1.9271750629128703</c:v>
                </c:pt>
                <c:pt idx="182">
                  <c:v>1.5287789105994318</c:v>
                </c:pt>
                <c:pt idx="183">
                  <c:v>1.2783432112707309</c:v>
                </c:pt>
                <c:pt idx="184">
                  <c:v>1.1075785250876573</c:v>
                </c:pt>
                <c:pt idx="185">
                  <c:v>1.1360959001445701</c:v>
                </c:pt>
                <c:pt idx="186">
                  <c:v>1.1672271500921254</c:v>
                </c:pt>
                <c:pt idx="187">
                  <c:v>1.2009722749303235</c:v>
                </c:pt>
                <c:pt idx="188">
                  <c:v>0.34131743732408198</c:v>
                </c:pt>
                <c:pt idx="189">
                  <c:v>0.34131743732408198</c:v>
                </c:pt>
                <c:pt idx="190">
                  <c:v>0.34131743732408198</c:v>
                </c:pt>
                <c:pt idx="191">
                  <c:v>0.34131743732408198</c:v>
                </c:pt>
                <c:pt idx="192">
                  <c:v>0.34131743732408198</c:v>
                </c:pt>
                <c:pt idx="193">
                  <c:v>0.34131743732408198</c:v>
                </c:pt>
                <c:pt idx="194">
                  <c:v>0.34131743732408198</c:v>
                </c:pt>
                <c:pt idx="195">
                  <c:v>0.34131743732408198</c:v>
                </c:pt>
                <c:pt idx="196">
                  <c:v>0.34131743732408198</c:v>
                </c:pt>
                <c:pt idx="197">
                  <c:v>0.34131743732408198</c:v>
                </c:pt>
                <c:pt idx="198">
                  <c:v>0.34131743732408198</c:v>
                </c:pt>
                <c:pt idx="199">
                  <c:v>0.34131743732408198</c:v>
                </c:pt>
                <c:pt idx="200">
                  <c:v>0.34131743732408198</c:v>
                </c:pt>
                <c:pt idx="201">
                  <c:v>0.34131743732408198</c:v>
                </c:pt>
                <c:pt idx="202">
                  <c:v>0.34131743732408198</c:v>
                </c:pt>
                <c:pt idx="203">
                  <c:v>0.34131743732408198</c:v>
                </c:pt>
                <c:pt idx="204">
                  <c:v>0.34131743732408198</c:v>
                </c:pt>
                <c:pt idx="205">
                  <c:v>0.34131743732408198</c:v>
                </c:pt>
                <c:pt idx="206">
                  <c:v>0.34131743732408198</c:v>
                </c:pt>
                <c:pt idx="207">
                  <c:v>0.34131743732408198</c:v>
                </c:pt>
                <c:pt idx="208">
                  <c:v>0.34131743732408198</c:v>
                </c:pt>
                <c:pt idx="209">
                  <c:v>0.34131743732408198</c:v>
                </c:pt>
                <c:pt idx="210">
                  <c:v>0.34131743732408198</c:v>
                </c:pt>
                <c:pt idx="211">
                  <c:v>0.34131743732408198</c:v>
                </c:pt>
                <c:pt idx="212">
                  <c:v>0.34131743732408198</c:v>
                </c:pt>
                <c:pt idx="213">
                  <c:v>0.34131743732408198</c:v>
                </c:pt>
                <c:pt idx="214">
                  <c:v>0.30585784646814623</c:v>
                </c:pt>
                <c:pt idx="215">
                  <c:v>0.27472659652059078</c:v>
                </c:pt>
                <c:pt idx="216">
                  <c:v>0.24620922146367819</c:v>
                </c:pt>
                <c:pt idx="217">
                  <c:v>0.72080438728558638</c:v>
                </c:pt>
                <c:pt idx="218">
                  <c:v>0.8592015582367396</c:v>
                </c:pt>
                <c:pt idx="219">
                  <c:v>1.0424470985143754</c:v>
                </c:pt>
                <c:pt idx="220">
                  <c:v>1.2993721026855189</c:v>
                </c:pt>
                <c:pt idx="221">
                  <c:v>1.697801104603768</c:v>
                </c:pt>
                <c:pt idx="222">
                  <c:v>2.3761874273976127</c:v>
                </c:pt>
                <c:pt idx="223">
                  <c:v>3.8550451881127294</c:v>
                </c:pt>
                <c:pt idx="224">
                  <c:v>0.63175090690933</c:v>
                </c:pt>
                <c:pt idx="225">
                  <c:v>0.63175090690933</c:v>
                </c:pt>
                <c:pt idx="226">
                  <c:v>0.63175090690933</c:v>
                </c:pt>
                <c:pt idx="227">
                  <c:v>0.63175090690933</c:v>
                </c:pt>
                <c:pt idx="228">
                  <c:v>0.63175090690933</c:v>
                </c:pt>
                <c:pt idx="229">
                  <c:v>0.63175090690933</c:v>
                </c:pt>
                <c:pt idx="230">
                  <c:v>0.63175090690933</c:v>
                </c:pt>
                <c:pt idx="231">
                  <c:v>0.63175090690933</c:v>
                </c:pt>
                <c:pt idx="232">
                  <c:v>0.63175090690933</c:v>
                </c:pt>
                <c:pt idx="233">
                  <c:v>0.63175090690933</c:v>
                </c:pt>
                <c:pt idx="234">
                  <c:v>0.63175090690933</c:v>
                </c:pt>
                <c:pt idx="235">
                  <c:v>0.63175090690933</c:v>
                </c:pt>
                <c:pt idx="236">
                  <c:v>1.8125141174248227</c:v>
                </c:pt>
                <c:pt idx="237">
                  <c:v>1.6268301437205044</c:v>
                </c:pt>
                <c:pt idx="238">
                  <c:v>1.479981983435968</c:v>
                </c:pt>
                <c:pt idx="239">
                  <c:v>1.3613780510930911</c:v>
                </c:pt>
                <c:pt idx="240">
                  <c:v>1.2605008439836238</c:v>
                </c:pt>
                <c:pt idx="241">
                  <c:v>1.1796407099266275</c:v>
                </c:pt>
                <c:pt idx="242">
                  <c:v>1.1115456083627153</c:v>
                </c:pt>
                <c:pt idx="243">
                  <c:v>1.0536625327932692</c:v>
                </c:pt>
                <c:pt idx="244">
                  <c:v>1.0040767283443279</c:v>
                </c:pt>
                <c:pt idx="245">
                  <c:v>0.96132397070050779</c:v>
                </c:pt>
                <c:pt idx="246">
                  <c:v>0.92426541872762191</c:v>
                </c:pt>
                <c:pt idx="247">
                  <c:v>0.89200198731973346</c:v>
                </c:pt>
                <c:pt idx="248">
                  <c:v>0.86381440839209278</c:v>
                </c:pt>
                <c:pt idx="249">
                  <c:v>0.83912041730466458</c:v>
                </c:pt>
                <c:pt idx="250">
                  <c:v>0.81744361571560142</c:v>
                </c:pt>
                <c:pt idx="251">
                  <c:v>0.31346763844465764</c:v>
                </c:pt>
                <c:pt idx="252">
                  <c:v>0.33506067671225659</c:v>
                </c:pt>
                <c:pt idx="253">
                  <c:v>0.3185296245316897</c:v>
                </c:pt>
                <c:pt idx="254">
                  <c:v>0.31693762037236189</c:v>
                </c:pt>
                <c:pt idx="255">
                  <c:v>0.31693762037236189</c:v>
                </c:pt>
                <c:pt idx="256">
                  <c:v>0.31693762037236189</c:v>
                </c:pt>
                <c:pt idx="257">
                  <c:v>0.31693762037236189</c:v>
                </c:pt>
                <c:pt idx="258">
                  <c:v>0.31693762037236189</c:v>
                </c:pt>
                <c:pt idx="259">
                  <c:v>0.31693762037236189</c:v>
                </c:pt>
                <c:pt idx="260">
                  <c:v>0.31693762037236189</c:v>
                </c:pt>
                <c:pt idx="261">
                  <c:v>0.31693762037236189</c:v>
                </c:pt>
                <c:pt idx="262">
                  <c:v>0.31693762037236189</c:v>
                </c:pt>
                <c:pt idx="263">
                  <c:v>0.31693762037236189</c:v>
                </c:pt>
                <c:pt idx="264">
                  <c:v>0.31693762037236189</c:v>
                </c:pt>
                <c:pt idx="265">
                  <c:v>0.32867605075652345</c:v>
                </c:pt>
                <c:pt idx="266">
                  <c:v>0.34131743732408198</c:v>
                </c:pt>
                <c:pt idx="267">
                  <c:v>0.27278968280054505</c:v>
                </c:pt>
                <c:pt idx="268">
                  <c:v>8.0329955105585438E-2</c:v>
                </c:pt>
                <c:pt idx="269">
                  <c:v>6.6463023173407187E-2</c:v>
                </c:pt>
                <c:pt idx="270">
                  <c:v>5.2107742283266548E-2</c:v>
                </c:pt>
                <c:pt idx="271">
                  <c:v>0.56008560086877301</c:v>
                </c:pt>
                <c:pt idx="272">
                  <c:v>0.56008560086877301</c:v>
                </c:pt>
                <c:pt idx="273">
                  <c:v>0.56008560086877301</c:v>
                </c:pt>
                <c:pt idx="274">
                  <c:v>0.56008560086877301</c:v>
                </c:pt>
                <c:pt idx="275">
                  <c:v>0.56008560086877301</c:v>
                </c:pt>
                <c:pt idx="276">
                  <c:v>0.56008560086877301</c:v>
                </c:pt>
                <c:pt idx="277">
                  <c:v>0.56008560086877301</c:v>
                </c:pt>
                <c:pt idx="278">
                  <c:v>0.5600856008687729</c:v>
                </c:pt>
                <c:pt idx="279">
                  <c:v>0.5600856008687729</c:v>
                </c:pt>
                <c:pt idx="280">
                  <c:v>0.5600856008687729</c:v>
                </c:pt>
                <c:pt idx="281">
                  <c:v>0.5600856008687729</c:v>
                </c:pt>
                <c:pt idx="282">
                  <c:v>0.5600856008687729</c:v>
                </c:pt>
                <c:pt idx="283">
                  <c:v>0.5600856008687729</c:v>
                </c:pt>
                <c:pt idx="284">
                  <c:v>0.5600856008687729</c:v>
                </c:pt>
                <c:pt idx="285">
                  <c:v>1.4452729854104875</c:v>
                </c:pt>
                <c:pt idx="286">
                  <c:v>0.33730619926620353</c:v>
                </c:pt>
                <c:pt idx="287">
                  <c:v>0.32802302098126629</c:v>
                </c:pt>
                <c:pt idx="288">
                  <c:v>0.31759034207768627</c:v>
                </c:pt>
                <c:pt idx="289">
                  <c:v>0.31693762037236189</c:v>
                </c:pt>
                <c:pt idx="290">
                  <c:v>0.31693762037236189</c:v>
                </c:pt>
                <c:pt idx="291">
                  <c:v>0.31693762037236189</c:v>
                </c:pt>
                <c:pt idx="292">
                  <c:v>0.31693762037236189</c:v>
                </c:pt>
                <c:pt idx="293">
                  <c:v>0.31693762037236189</c:v>
                </c:pt>
                <c:pt idx="294">
                  <c:v>0.31693762037236189</c:v>
                </c:pt>
                <c:pt idx="295">
                  <c:v>0.31693762037236189</c:v>
                </c:pt>
                <c:pt idx="296">
                  <c:v>0.55208252512035783</c:v>
                </c:pt>
                <c:pt idx="297">
                  <c:v>0.63181492299023934</c:v>
                </c:pt>
                <c:pt idx="298">
                  <c:v>0.72295499560206711</c:v>
                </c:pt>
                <c:pt idx="299">
                  <c:v>0.82892504537842437</c:v>
                </c:pt>
                <c:pt idx="300">
                  <c:v>0.95466839804082171</c:v>
                </c:pt>
                <c:pt idx="301">
                  <c:v>1.107600042171524</c:v>
                </c:pt>
                <c:pt idx="302">
                  <c:v>1.2993721026855189</c:v>
                </c:pt>
                <c:pt idx="303">
                  <c:v>1.5563176792201203</c:v>
                </c:pt>
                <c:pt idx="304">
                  <c:v>1.5841249515984084</c:v>
                </c:pt>
                <c:pt idx="305">
                  <c:v>0.28537342132744947</c:v>
                </c:pt>
                <c:pt idx="306">
                  <c:v>0.28537342132744947</c:v>
                </c:pt>
                <c:pt idx="307">
                  <c:v>0.28537342132744947</c:v>
                </c:pt>
                <c:pt idx="308">
                  <c:v>0.28537342132744947</c:v>
                </c:pt>
                <c:pt idx="309">
                  <c:v>0.28537342132744947</c:v>
                </c:pt>
                <c:pt idx="310">
                  <c:v>0.28537342132744947</c:v>
                </c:pt>
                <c:pt idx="311">
                  <c:v>0.28537342132744947</c:v>
                </c:pt>
                <c:pt idx="312">
                  <c:v>0.28537342132744947</c:v>
                </c:pt>
                <c:pt idx="313">
                  <c:v>1.0571299881685485</c:v>
                </c:pt>
                <c:pt idx="314">
                  <c:v>0.93594741012649996</c:v>
                </c:pt>
                <c:pt idx="315">
                  <c:v>0.84033389598908248</c:v>
                </c:pt>
                <c:pt idx="316">
                  <c:v>0.76676646145230798</c:v>
                </c:pt>
                <c:pt idx="317">
                  <c:v>0.7073472053217279</c:v>
                </c:pt>
                <c:pt idx="318">
                  <c:v>0.65853908299579322</c:v>
                </c:pt>
                <c:pt idx="319">
                  <c:v>0.61789337128881716</c:v>
                </c:pt>
                <c:pt idx="320">
                  <c:v>0.58366098221102258</c:v>
                </c:pt>
                <c:pt idx="321">
                  <c:v>0.59417062632489992</c:v>
                </c:pt>
                <c:pt idx="322">
                  <c:v>0.60528706282410494</c:v>
                </c:pt>
                <c:pt idx="323">
                  <c:v>3.1529015385577813E-2</c:v>
                </c:pt>
                <c:pt idx="324">
                  <c:v>5.04859568987327E-3</c:v>
                </c:pt>
                <c:pt idx="325">
                  <c:v>2.38589935471425E-2</c:v>
                </c:pt>
                <c:pt idx="326">
                  <c:v>5.5193752325469372E-2</c:v>
                </c:pt>
                <c:pt idx="327">
                  <c:v>5.3601748166141584E-2</c:v>
                </c:pt>
                <c:pt idx="328">
                  <c:v>0.8356750028809028</c:v>
                </c:pt>
                <c:pt idx="329">
                  <c:v>0.93904010723082965</c:v>
                </c:pt>
                <c:pt idx="330">
                  <c:v>1.0581097420463474</c:v>
                </c:pt>
                <c:pt idx="331">
                  <c:v>1.1975952664671328</c:v>
                </c:pt>
                <c:pt idx="332">
                  <c:v>1.3643019770282754</c:v>
                </c:pt>
                <c:pt idx="333">
                  <c:v>1.5684378185324095</c:v>
                </c:pt>
                <c:pt idx="334">
                  <c:v>1.8260438470979596</c:v>
                </c:pt>
                <c:pt idx="335">
                  <c:v>1.5083794380249524</c:v>
                </c:pt>
                <c:pt idx="336">
                  <c:v>1.106083610306472</c:v>
                </c:pt>
                <c:pt idx="337">
                  <c:v>1.4158203280559332</c:v>
                </c:pt>
                <c:pt idx="338">
                  <c:v>1.4405410498341871</c:v>
                </c:pt>
                <c:pt idx="339">
                  <c:v>1.3533371723860985</c:v>
                </c:pt>
                <c:pt idx="340">
                  <c:v>1.3533371723860985</c:v>
                </c:pt>
                <c:pt idx="341">
                  <c:v>1.3533371723860985</c:v>
                </c:pt>
                <c:pt idx="342">
                  <c:v>1.3533371723860985</c:v>
                </c:pt>
                <c:pt idx="343">
                  <c:v>2.761574757711045</c:v>
                </c:pt>
                <c:pt idx="344">
                  <c:v>2.4666640046884396</c:v>
                </c:pt>
                <c:pt idx="345">
                  <c:v>2.2324344209492746</c:v>
                </c:pt>
                <c:pt idx="346">
                  <c:v>2.0423365966889735</c:v>
                </c:pt>
                <c:pt idx="347">
                  <c:v>1.8853375920378204</c:v>
                </c:pt>
                <c:pt idx="348">
                  <c:v>1.7537992178552431</c:v>
                </c:pt>
                <c:pt idx="349">
                  <c:v>1.6422656247551184</c:v>
                </c:pt>
                <c:pt idx="350">
                  <c:v>0.80318753447758506</c:v>
                </c:pt>
                <c:pt idx="351">
                  <c:v>0.76713264407472692</c:v>
                </c:pt>
                <c:pt idx="352">
                  <c:v>0.73631892823627398</c:v>
                </c:pt>
                <c:pt idx="353">
                  <c:v>0.70987285786815912</c:v>
                </c:pt>
                <c:pt idx="354">
                  <c:v>0.68710480473822366</c:v>
                </c:pt>
                <c:pt idx="355">
                  <c:v>0.67569558459851653</c:v>
                </c:pt>
                <c:pt idx="356">
                  <c:v>0.66666266595594137</c:v>
                </c:pt>
                <c:pt idx="357">
                  <c:v>0.66018855447522073</c:v>
                </c:pt>
                <c:pt idx="358">
                  <c:v>0.65593949270046048</c:v>
                </c:pt>
                <c:pt idx="359">
                  <c:v>0.66279853582759696</c:v>
                </c:pt>
                <c:pt idx="360">
                  <c:v>0.59944778948769573</c:v>
                </c:pt>
                <c:pt idx="361">
                  <c:v>0.59785578532836803</c:v>
                </c:pt>
                <c:pt idx="362">
                  <c:v>0.59785578532836803</c:v>
                </c:pt>
                <c:pt idx="363">
                  <c:v>0.59785578532836803</c:v>
                </c:pt>
                <c:pt idx="364">
                  <c:v>0.59785578532836803</c:v>
                </c:pt>
                <c:pt idx="365">
                  <c:v>0.59785578532836803</c:v>
                </c:pt>
                <c:pt idx="366">
                  <c:v>0.59785578532836803</c:v>
                </c:pt>
                <c:pt idx="367">
                  <c:v>2.645033071223913E-2</c:v>
                </c:pt>
                <c:pt idx="368">
                  <c:v>5.4745080526390516E-2</c:v>
                </c:pt>
                <c:pt idx="369">
                  <c:v>8.6446697566949032E-2</c:v>
                </c:pt>
                <c:pt idx="370">
                  <c:v>0.12257724200183655</c:v>
                </c:pt>
                <c:pt idx="371">
                  <c:v>0.16461302296249647</c:v>
                </c:pt>
                <c:pt idx="372">
                  <c:v>0.21476850414609305</c:v>
                </c:pt>
                <c:pt idx="373">
                  <c:v>0.27652355707674231</c:v>
                </c:pt>
                <c:pt idx="374">
                  <c:v>0.35567796762797049</c:v>
                </c:pt>
                <c:pt idx="375">
                  <c:v>0.46267135037212465</c:v>
                </c:pt>
                <c:pt idx="376">
                  <c:v>0.6183829344538998</c:v>
                </c:pt>
                <c:pt idx="377">
                  <c:v>0.87153092121091635</c:v>
                </c:pt>
                <c:pt idx="378">
                  <c:v>1.3838239204087892</c:v>
                </c:pt>
                <c:pt idx="379">
                  <c:v>1.4352404731795392</c:v>
                </c:pt>
                <c:pt idx="380">
                  <c:v>1.4771000458813763</c:v>
                </c:pt>
                <c:pt idx="381">
                  <c:v>2.7292712932018039</c:v>
                </c:pt>
                <c:pt idx="382">
                  <c:v>2.7292712932018039</c:v>
                </c:pt>
                <c:pt idx="383">
                  <c:v>2.7292712932018039</c:v>
                </c:pt>
                <c:pt idx="384">
                  <c:v>2.7292712932018039</c:v>
                </c:pt>
                <c:pt idx="385">
                  <c:v>2.7292712932018039</c:v>
                </c:pt>
                <c:pt idx="386">
                  <c:v>2.7292712932018039</c:v>
                </c:pt>
                <c:pt idx="387">
                  <c:v>2.7292712932018039</c:v>
                </c:pt>
                <c:pt idx="388">
                  <c:v>2.7292712932018039</c:v>
                </c:pt>
                <c:pt idx="389">
                  <c:v>2.7292712932018039</c:v>
                </c:pt>
                <c:pt idx="390">
                  <c:v>2.7292712932018039</c:v>
                </c:pt>
                <c:pt idx="391">
                  <c:v>4.6516681366578805</c:v>
                </c:pt>
                <c:pt idx="392">
                  <c:v>3.5144593788787857</c:v>
                </c:pt>
                <c:pt idx="393">
                  <c:v>2.8359569162388936</c:v>
                </c:pt>
                <c:pt idx="394">
                  <c:v>2.386807601168603</c:v>
                </c:pt>
                <c:pt idx="395">
                  <c:v>2.0642732259230132</c:v>
                </c:pt>
                <c:pt idx="396">
                  <c:v>2.1858862848128005</c:v>
                </c:pt>
                <c:pt idx="397">
                  <c:v>1.776437012690179</c:v>
                </c:pt>
                <c:pt idx="398">
                  <c:v>1.5063025290732941</c:v>
                </c:pt>
                <c:pt idx="399">
                  <c:v>1.3157764960311162</c:v>
                </c:pt>
                <c:pt idx="400">
                  <c:v>1.3428637081121486</c:v>
                </c:pt>
                <c:pt idx="401">
                  <c:v>1.3723780897344924</c:v>
                </c:pt>
                <c:pt idx="402">
                  <c:v>1.2408604193524451</c:v>
                </c:pt>
                <c:pt idx="403">
                  <c:v>2.645033071223913E-2</c:v>
                </c:pt>
                <c:pt idx="404">
                  <c:v>5.2555277305334901E-2</c:v>
                </c:pt>
                <c:pt idx="405">
                  <c:v>7.9242806103036592E-2</c:v>
                </c:pt>
                <c:pt idx="406">
                  <c:v>0.10658890608855351</c:v>
                </c:pt>
                <c:pt idx="407">
                  <c:v>0.13468338242386077</c:v>
                </c:pt>
                <c:pt idx="408">
                  <c:v>0.1636331460160709</c:v>
                </c:pt>
                <c:pt idx="409">
                  <c:v>0.19356648995371958</c:v>
                </c:pt>
                <c:pt idx="410">
                  <c:v>0.22463871639661295</c:v>
                </c:pt>
                <c:pt idx="411">
                  <c:v>0.6941740956547815</c:v>
                </c:pt>
                <c:pt idx="412">
                  <c:v>0.6941740956547815</c:v>
                </c:pt>
                <c:pt idx="413">
                  <c:v>0.6941740956547815</c:v>
                </c:pt>
                <c:pt idx="414">
                  <c:v>0.6941740956547815</c:v>
                </c:pt>
                <c:pt idx="415">
                  <c:v>0.6941740956547815</c:v>
                </c:pt>
                <c:pt idx="416">
                  <c:v>0.6941740956547815</c:v>
                </c:pt>
                <c:pt idx="417">
                  <c:v>1.6475116037538353</c:v>
                </c:pt>
                <c:pt idx="418">
                  <c:v>1.5045121300152968</c:v>
                </c:pt>
                <c:pt idx="419">
                  <c:v>1.3892501933326589</c:v>
                </c:pt>
                <c:pt idx="420">
                  <c:v>0.59771485752628606</c:v>
                </c:pt>
                <c:pt idx="421">
                  <c:v>0.57287977208441221</c:v>
                </c:pt>
                <c:pt idx="422">
                  <c:v>0.55295783885836525</c:v>
                </c:pt>
                <c:pt idx="423">
                  <c:v>0.57532117221962076</c:v>
                </c:pt>
                <c:pt idx="424">
                  <c:v>0.59904978844786383</c:v>
                </c:pt>
                <c:pt idx="425">
                  <c:v>0.59785578532836803</c:v>
                </c:pt>
                <c:pt idx="426">
                  <c:v>0.59785578532836803</c:v>
                </c:pt>
                <c:pt idx="427">
                  <c:v>0.59785578532836803</c:v>
                </c:pt>
                <c:pt idx="428">
                  <c:v>0.59785578532836803</c:v>
                </c:pt>
                <c:pt idx="429">
                  <c:v>0.59785578532836803</c:v>
                </c:pt>
                <c:pt idx="430">
                  <c:v>0.59785578532836803</c:v>
                </c:pt>
                <c:pt idx="431">
                  <c:v>0.59785578532836803</c:v>
                </c:pt>
                <c:pt idx="432">
                  <c:v>0.59785578532836803</c:v>
                </c:pt>
                <c:pt idx="433">
                  <c:v>0.59785578532836803</c:v>
                </c:pt>
                <c:pt idx="434">
                  <c:v>0.59785578532836803</c:v>
                </c:pt>
                <c:pt idx="435">
                  <c:v>0.59785578532836803</c:v>
                </c:pt>
                <c:pt idx="436">
                  <c:v>0.59785578532836803</c:v>
                </c:pt>
                <c:pt idx="437">
                  <c:v>0.59785578532836803</c:v>
                </c:pt>
                <c:pt idx="438">
                  <c:v>0.59785578532836803</c:v>
                </c:pt>
                <c:pt idx="439">
                  <c:v>0.59785578532836803</c:v>
                </c:pt>
                <c:pt idx="440">
                  <c:v>0.59785578532836803</c:v>
                </c:pt>
                <c:pt idx="441">
                  <c:v>0.59785578532836803</c:v>
                </c:pt>
                <c:pt idx="442">
                  <c:v>0.59785578532836803</c:v>
                </c:pt>
                <c:pt idx="443">
                  <c:v>0.59785578532836803</c:v>
                </c:pt>
                <c:pt idx="444">
                  <c:v>0.59785578532836803</c:v>
                </c:pt>
                <c:pt idx="445">
                  <c:v>0.59785578532836803</c:v>
                </c:pt>
                <c:pt idx="446">
                  <c:v>0.59785578532836803</c:v>
                </c:pt>
                <c:pt idx="447">
                  <c:v>0.59785578532836803</c:v>
                </c:pt>
                <c:pt idx="448">
                  <c:v>0.59785578532836803</c:v>
                </c:pt>
                <c:pt idx="449">
                  <c:v>0.59785578532836803</c:v>
                </c:pt>
                <c:pt idx="450">
                  <c:v>0.59785578532836803</c:v>
                </c:pt>
                <c:pt idx="451">
                  <c:v>0.59785578532836803</c:v>
                </c:pt>
                <c:pt idx="452">
                  <c:v>0.59785578532836803</c:v>
                </c:pt>
                <c:pt idx="453">
                  <c:v>0.59785578532836803</c:v>
                </c:pt>
                <c:pt idx="454">
                  <c:v>0.59785578532836803</c:v>
                </c:pt>
                <c:pt idx="455">
                  <c:v>0.59785578532836803</c:v>
                </c:pt>
                <c:pt idx="456">
                  <c:v>0.59785578532836803</c:v>
                </c:pt>
                <c:pt idx="457">
                  <c:v>0.59785578532836803</c:v>
                </c:pt>
                <c:pt idx="458">
                  <c:v>0.59785578532836803</c:v>
                </c:pt>
                <c:pt idx="459">
                  <c:v>0.59785578532836803</c:v>
                </c:pt>
                <c:pt idx="460">
                  <c:v>0.59785578532836803</c:v>
                </c:pt>
                <c:pt idx="461">
                  <c:v>0.59785578532836803</c:v>
                </c:pt>
                <c:pt idx="462">
                  <c:v>0.59785578532836803</c:v>
                </c:pt>
                <c:pt idx="463">
                  <c:v>0.59785578532836803</c:v>
                </c:pt>
                <c:pt idx="464">
                  <c:v>0.59785578532836803</c:v>
                </c:pt>
                <c:pt idx="465">
                  <c:v>0.59785578532836803</c:v>
                </c:pt>
                <c:pt idx="466">
                  <c:v>0.59785578532836803</c:v>
                </c:pt>
                <c:pt idx="467">
                  <c:v>0.59785578532836803</c:v>
                </c:pt>
                <c:pt idx="468">
                  <c:v>0.59785578532836803</c:v>
                </c:pt>
                <c:pt idx="469">
                  <c:v>0.59785578532836803</c:v>
                </c:pt>
                <c:pt idx="470">
                  <c:v>0.59785578532836803</c:v>
                </c:pt>
                <c:pt idx="471">
                  <c:v>0.59785578532836803</c:v>
                </c:pt>
                <c:pt idx="472">
                  <c:v>0.59785578532836803</c:v>
                </c:pt>
                <c:pt idx="473">
                  <c:v>2.645033071223913E-2</c:v>
                </c:pt>
                <c:pt idx="474">
                  <c:v>5.4745080526390516E-2</c:v>
                </c:pt>
                <c:pt idx="475">
                  <c:v>8.6446697566949032E-2</c:v>
                </c:pt>
                <c:pt idx="476">
                  <c:v>0.12257724200183655</c:v>
                </c:pt>
                <c:pt idx="477">
                  <c:v>0.16461302296249647</c:v>
                </c:pt>
                <c:pt idx="478">
                  <c:v>0.21476850414609305</c:v>
                </c:pt>
                <c:pt idx="479">
                  <c:v>0.27652355707674231</c:v>
                </c:pt>
                <c:pt idx="480">
                  <c:v>0.35567796762797049</c:v>
                </c:pt>
                <c:pt idx="481">
                  <c:v>0.46889295267322539</c:v>
                </c:pt>
                <c:pt idx="482">
                  <c:v>0.62615993733027564</c:v>
                </c:pt>
                <c:pt idx="483">
                  <c:v>0.88190025837941755</c:v>
                </c:pt>
                <c:pt idx="484">
                  <c:v>1.3838239204087892</c:v>
                </c:pt>
                <c:pt idx="485">
                  <c:v>1.4352404731795392</c:v>
                </c:pt>
                <c:pt idx="486">
                  <c:v>2.7711308659036411</c:v>
                </c:pt>
                <c:pt idx="487">
                  <c:v>2.7711308659036411</c:v>
                </c:pt>
                <c:pt idx="488">
                  <c:v>2.7711308659036411</c:v>
                </c:pt>
                <c:pt idx="489">
                  <c:v>2.7711308659036411</c:v>
                </c:pt>
                <c:pt idx="490">
                  <c:v>2.7711308659036411</c:v>
                </c:pt>
                <c:pt idx="491">
                  <c:v>2.7711308659036411</c:v>
                </c:pt>
                <c:pt idx="492">
                  <c:v>2.7711308659036411</c:v>
                </c:pt>
                <c:pt idx="493">
                  <c:v>4.685945838505047</c:v>
                </c:pt>
                <c:pt idx="494">
                  <c:v>3.5371691424222411</c:v>
                </c:pt>
                <c:pt idx="495">
                  <c:v>2.8579475191012231</c:v>
                </c:pt>
                <c:pt idx="496">
                  <c:v>2.4083187635768484</c:v>
                </c:pt>
                <c:pt idx="497">
                  <c:v>2.0898859325076988</c:v>
                </c:pt>
                <c:pt idx="498">
                  <c:v>1.8534505542230648</c:v>
                </c:pt>
                <c:pt idx="499">
                  <c:v>1.6716801444614406</c:v>
                </c:pt>
                <c:pt idx="500">
                  <c:v>1.5281752126659245</c:v>
                </c:pt>
                <c:pt idx="501">
                  <c:v>0.65205257184685761</c:v>
                </c:pt>
                <c:pt idx="502">
                  <c:v>0.62907301505107849</c:v>
                </c:pt>
                <c:pt idx="503">
                  <c:v>0.61181403307162796</c:v>
                </c:pt>
                <c:pt idx="504">
                  <c:v>0.59944778948769573</c:v>
                </c:pt>
                <c:pt idx="505">
                  <c:v>0.59785578532836803</c:v>
                </c:pt>
                <c:pt idx="506">
                  <c:v>0.59785578532836803</c:v>
                </c:pt>
                <c:pt idx="507">
                  <c:v>0.59785578532836803</c:v>
                </c:pt>
                <c:pt idx="508">
                  <c:v>0.59785578532836803</c:v>
                </c:pt>
                <c:pt idx="509">
                  <c:v>0.59785578532836803</c:v>
                </c:pt>
                <c:pt idx="510">
                  <c:v>0.59785578532836803</c:v>
                </c:pt>
                <c:pt idx="511">
                  <c:v>0.59785578532836803</c:v>
                </c:pt>
                <c:pt idx="512">
                  <c:v>0.59785578532836803</c:v>
                </c:pt>
                <c:pt idx="513">
                  <c:v>0.59785578532836803</c:v>
                </c:pt>
                <c:pt idx="514">
                  <c:v>0.59785578532836803</c:v>
                </c:pt>
                <c:pt idx="515">
                  <c:v>0.59785578532836803</c:v>
                </c:pt>
                <c:pt idx="516">
                  <c:v>0.59785578532836803</c:v>
                </c:pt>
                <c:pt idx="517">
                  <c:v>0.59785578532836803</c:v>
                </c:pt>
                <c:pt idx="518">
                  <c:v>0.59785578532836803</c:v>
                </c:pt>
                <c:pt idx="519">
                  <c:v>0.59785578532836803</c:v>
                </c:pt>
                <c:pt idx="520">
                  <c:v>0.59785578532836803</c:v>
                </c:pt>
                <c:pt idx="521">
                  <c:v>0.59785578532836803</c:v>
                </c:pt>
                <c:pt idx="522">
                  <c:v>0.59785578532836803</c:v>
                </c:pt>
                <c:pt idx="523">
                  <c:v>0.59785578532836803</c:v>
                </c:pt>
                <c:pt idx="524">
                  <c:v>0.59785578532836803</c:v>
                </c:pt>
                <c:pt idx="525">
                  <c:v>0.59785578532836803</c:v>
                </c:pt>
                <c:pt idx="526">
                  <c:v>0.59785578532836803</c:v>
                </c:pt>
                <c:pt idx="527">
                  <c:v>0.61700494797913896</c:v>
                </c:pt>
                <c:pt idx="528">
                  <c:v>0.64233147138926905</c:v>
                </c:pt>
                <c:pt idx="529">
                  <c:v>0.67400044997740705</c:v>
                </c:pt>
                <c:pt idx="530">
                  <c:v>0.12257724200183655</c:v>
                </c:pt>
                <c:pt idx="531">
                  <c:v>0.16461302296249647</c:v>
                </c:pt>
                <c:pt idx="532">
                  <c:v>0.21476850414609305</c:v>
                </c:pt>
                <c:pt idx="533">
                  <c:v>0.27652355707674231</c:v>
                </c:pt>
                <c:pt idx="534">
                  <c:v>0.35567796762797049</c:v>
                </c:pt>
                <c:pt idx="535">
                  <c:v>0.46267135037212465</c:v>
                </c:pt>
                <c:pt idx="536">
                  <c:v>0.49470634756311982</c:v>
                </c:pt>
                <c:pt idx="537">
                  <c:v>1.1816205857690516</c:v>
                </c:pt>
                <c:pt idx="538">
                  <c:v>1.1816205857690516</c:v>
                </c:pt>
                <c:pt idx="539">
                  <c:v>1.1816205857690516</c:v>
                </c:pt>
                <c:pt idx="540">
                  <c:v>1.1816205857690516</c:v>
                </c:pt>
                <c:pt idx="541">
                  <c:v>1.1816205857690516</c:v>
                </c:pt>
                <c:pt idx="542">
                  <c:v>1.1816205857690516</c:v>
                </c:pt>
                <c:pt idx="543">
                  <c:v>1.1816205857690516</c:v>
                </c:pt>
                <c:pt idx="544">
                  <c:v>2.4083187635768484</c:v>
                </c:pt>
                <c:pt idx="545">
                  <c:v>2.0898859325076988</c:v>
                </c:pt>
                <c:pt idx="546">
                  <c:v>1.8534505542230648</c:v>
                </c:pt>
                <c:pt idx="547">
                  <c:v>1.6716801444614406</c:v>
                </c:pt>
                <c:pt idx="548">
                  <c:v>0.69168335036713302</c:v>
                </c:pt>
                <c:pt idx="549">
                  <c:v>0.65205257184685761</c:v>
                </c:pt>
                <c:pt idx="550">
                  <c:v>0.62907301505107849</c:v>
                </c:pt>
                <c:pt idx="551">
                  <c:v>0.61181403307162796</c:v>
                </c:pt>
                <c:pt idx="552">
                  <c:v>0.59944778948769573</c:v>
                </c:pt>
                <c:pt idx="553">
                  <c:v>0.59785578532836803</c:v>
                </c:pt>
                <c:pt idx="554">
                  <c:v>0.59785578532836803</c:v>
                </c:pt>
                <c:pt idx="555">
                  <c:v>0.59785578532836803</c:v>
                </c:pt>
                <c:pt idx="556">
                  <c:v>0.59785578532836803</c:v>
                </c:pt>
                <c:pt idx="557">
                  <c:v>0.59785578532836803</c:v>
                </c:pt>
                <c:pt idx="558">
                  <c:v>0.59785578532836803</c:v>
                </c:pt>
                <c:pt idx="559">
                  <c:v>0.57293316598062904</c:v>
                </c:pt>
                <c:pt idx="560">
                  <c:v>5.0533920485898942E-2</c:v>
                </c:pt>
                <c:pt idx="561">
                  <c:v>7.9242806103036592E-2</c:v>
                </c:pt>
                <c:pt idx="562">
                  <c:v>0.11143385636530598</c:v>
                </c:pt>
                <c:pt idx="563">
                  <c:v>0.14815172066624682</c:v>
                </c:pt>
                <c:pt idx="564">
                  <c:v>0.19090533701874937</c:v>
                </c:pt>
                <c:pt idx="565">
                  <c:v>0.24195811244214951</c:v>
                </c:pt>
                <c:pt idx="566">
                  <c:v>0.30486682939540333</c:v>
                </c:pt>
                <c:pt idx="567">
                  <c:v>0.38555945864343721</c:v>
                </c:pt>
                <c:pt idx="568">
                  <c:v>0.49470634756311982</c:v>
                </c:pt>
                <c:pt idx="569">
                  <c:v>0.65364819090818727</c:v>
                </c:pt>
                <c:pt idx="570">
                  <c:v>0.91217994310402484</c:v>
                </c:pt>
                <c:pt idx="571">
                  <c:v>1.4196864674267873</c:v>
                </c:pt>
                <c:pt idx="572">
                  <c:v>1.4615460401286244</c:v>
                </c:pt>
                <c:pt idx="573">
                  <c:v>2.7292712932018039</c:v>
                </c:pt>
                <c:pt idx="574">
                  <c:v>2.7292712932018039</c:v>
                </c:pt>
                <c:pt idx="575">
                  <c:v>2.7292712932018039</c:v>
                </c:pt>
                <c:pt idx="576">
                  <c:v>2.7292712932018039</c:v>
                </c:pt>
                <c:pt idx="577">
                  <c:v>2.7292712932018039</c:v>
                </c:pt>
                <c:pt idx="578">
                  <c:v>2.7292712932018039</c:v>
                </c:pt>
                <c:pt idx="579">
                  <c:v>2.7292712932018039</c:v>
                </c:pt>
                <c:pt idx="580">
                  <c:v>2.7292712932018039</c:v>
                </c:pt>
                <c:pt idx="581">
                  <c:v>2.7292712932018039</c:v>
                </c:pt>
                <c:pt idx="582">
                  <c:v>2.7292712932018039</c:v>
                </c:pt>
                <c:pt idx="583">
                  <c:v>2.7292712932018039</c:v>
                </c:pt>
                <c:pt idx="584">
                  <c:v>3.5369561744051512</c:v>
                </c:pt>
                <c:pt idx="585">
                  <c:v>2.9588808841932872</c:v>
                </c:pt>
                <c:pt idx="586">
                  <c:v>2.5468437436482567</c:v>
                </c:pt>
                <c:pt idx="587">
                  <c:v>2.2385804466449959</c:v>
                </c:pt>
                <c:pt idx="588">
                  <c:v>1.9994997120029159</c:v>
                </c:pt>
                <c:pt idx="589">
                  <c:v>2.871780368144496</c:v>
                </c:pt>
                <c:pt idx="590">
                  <c:v>2.6197173137090415</c:v>
                </c:pt>
                <c:pt idx="591">
                  <c:v>2.4101744739498363</c:v>
                </c:pt>
                <c:pt idx="592">
                  <c:v>3.0207556094677313</c:v>
                </c:pt>
                <c:pt idx="593">
                  <c:v>2.8284156056461134</c:v>
                </c:pt>
                <c:pt idx="594">
                  <c:v>2.6642694636857547</c:v>
                </c:pt>
                <c:pt idx="595">
                  <c:v>2.5230308344876691</c:v>
                </c:pt>
                <c:pt idx="596">
                  <c:v>1.4165491425069945</c:v>
                </c:pt>
                <c:pt idx="597">
                  <c:v>1.3645690366492549</c:v>
                </c:pt>
                <c:pt idx="598">
                  <c:v>1.3200725166857854</c:v>
                </c:pt>
                <c:pt idx="599">
                  <c:v>1.2819370447324454</c:v>
                </c:pt>
                <c:pt idx="600">
                  <c:v>1.2492538996449307</c:v>
                </c:pt>
                <c:pt idx="601">
                  <c:v>1.2212795823051743</c:v>
                </c:pt>
                <c:pt idx="602">
                  <c:v>0.9784301296564053</c:v>
                </c:pt>
                <c:pt idx="603">
                  <c:v>0.97747492716080864</c:v>
                </c:pt>
                <c:pt idx="604">
                  <c:v>0.97747492716080864</c:v>
                </c:pt>
                <c:pt idx="605">
                  <c:v>0.97747492716080864</c:v>
                </c:pt>
                <c:pt idx="606">
                  <c:v>0.97747492716080864</c:v>
                </c:pt>
                <c:pt idx="607">
                  <c:v>0.97747492716080864</c:v>
                </c:pt>
                <c:pt idx="608">
                  <c:v>1.30388251807805</c:v>
                </c:pt>
                <c:pt idx="609">
                  <c:v>1.3959567542268134</c:v>
                </c:pt>
                <c:pt idx="610">
                  <c:v>1.3968854233197545</c:v>
                </c:pt>
                <c:pt idx="611">
                  <c:v>1.3062999151630599</c:v>
                </c:pt>
                <c:pt idx="612">
                  <c:v>1.2284659841915573</c:v>
                </c:pt>
                <c:pt idx="613">
                  <c:v>1.2414635210723535</c:v>
                </c:pt>
                <c:pt idx="614">
                  <c:v>1.240810799367029</c:v>
                </c:pt>
                <c:pt idx="615">
                  <c:v>0.97747492716080864</c:v>
                </c:pt>
                <c:pt idx="616">
                  <c:v>0.97747492716080864</c:v>
                </c:pt>
                <c:pt idx="617">
                  <c:v>0.97747492716080864</c:v>
                </c:pt>
                <c:pt idx="618">
                  <c:v>0.97747492716080864</c:v>
                </c:pt>
                <c:pt idx="619">
                  <c:v>0.97747492716080864</c:v>
                </c:pt>
                <c:pt idx="620">
                  <c:v>0.97747492716080864</c:v>
                </c:pt>
                <c:pt idx="621">
                  <c:v>0.97747492716080864</c:v>
                </c:pt>
                <c:pt idx="622">
                  <c:v>0.97747492716080864</c:v>
                </c:pt>
                <c:pt idx="623">
                  <c:v>0.97747492716080864</c:v>
                </c:pt>
                <c:pt idx="624">
                  <c:v>0.97747492716080864</c:v>
                </c:pt>
                <c:pt idx="625">
                  <c:v>0.97747492716080864</c:v>
                </c:pt>
                <c:pt idx="626">
                  <c:v>0.97747492716080864</c:v>
                </c:pt>
                <c:pt idx="627">
                  <c:v>0.78295240346110295</c:v>
                </c:pt>
                <c:pt idx="628">
                  <c:v>0.78295240346110295</c:v>
                </c:pt>
                <c:pt idx="629">
                  <c:v>0.78295240346110295</c:v>
                </c:pt>
                <c:pt idx="630">
                  <c:v>0.78295240346110295</c:v>
                </c:pt>
                <c:pt idx="631">
                  <c:v>0.78295240346110295</c:v>
                </c:pt>
                <c:pt idx="632">
                  <c:v>0.78295240346110295</c:v>
                </c:pt>
                <c:pt idx="633">
                  <c:v>0.78295240346110295</c:v>
                </c:pt>
                <c:pt idx="634">
                  <c:v>0.78295240346110295</c:v>
                </c:pt>
                <c:pt idx="635">
                  <c:v>0.78295240346110295</c:v>
                </c:pt>
                <c:pt idx="636">
                  <c:v>0.78295240346110329</c:v>
                </c:pt>
                <c:pt idx="637">
                  <c:v>0.97747492716080864</c:v>
                </c:pt>
                <c:pt idx="638">
                  <c:v>0.97747492716080864</c:v>
                </c:pt>
                <c:pt idx="639">
                  <c:v>0.97747492716080864</c:v>
                </c:pt>
                <c:pt idx="640">
                  <c:v>0.97747492716080864</c:v>
                </c:pt>
                <c:pt idx="641">
                  <c:v>0.97747492716080864</c:v>
                </c:pt>
                <c:pt idx="642">
                  <c:v>0.97747492716080864</c:v>
                </c:pt>
                <c:pt idx="643">
                  <c:v>0.97747492716080864</c:v>
                </c:pt>
                <c:pt idx="644">
                  <c:v>0.97747492716080864</c:v>
                </c:pt>
                <c:pt idx="645">
                  <c:v>0.97747492716080864</c:v>
                </c:pt>
                <c:pt idx="646">
                  <c:v>0.97747492716080864</c:v>
                </c:pt>
                <c:pt idx="647">
                  <c:v>0.97747492716080864</c:v>
                </c:pt>
                <c:pt idx="648">
                  <c:v>0.97747492716080864</c:v>
                </c:pt>
                <c:pt idx="649">
                  <c:v>0.97747492716080864</c:v>
                </c:pt>
                <c:pt idx="650">
                  <c:v>0.97747492716080864</c:v>
                </c:pt>
                <c:pt idx="651">
                  <c:v>0.97747492716080864</c:v>
                </c:pt>
                <c:pt idx="652">
                  <c:v>0.97747492716080864</c:v>
                </c:pt>
                <c:pt idx="653">
                  <c:v>0.97747492716080864</c:v>
                </c:pt>
                <c:pt idx="654">
                  <c:v>0.97747492716080864</c:v>
                </c:pt>
                <c:pt idx="655">
                  <c:v>0.97747492716080864</c:v>
                </c:pt>
                <c:pt idx="656">
                  <c:v>0.97747492716080864</c:v>
                </c:pt>
                <c:pt idx="657">
                  <c:v>0.97747492716080864</c:v>
                </c:pt>
                <c:pt idx="658">
                  <c:v>0.97747492716080864</c:v>
                </c:pt>
                <c:pt idx="659">
                  <c:v>0.97747492716080864</c:v>
                </c:pt>
                <c:pt idx="660">
                  <c:v>0.97747492716080864</c:v>
                </c:pt>
                <c:pt idx="661">
                  <c:v>0.97747492716080864</c:v>
                </c:pt>
                <c:pt idx="662">
                  <c:v>0.97747492716080864</c:v>
                </c:pt>
                <c:pt idx="663">
                  <c:v>0.97747492716080864</c:v>
                </c:pt>
                <c:pt idx="664">
                  <c:v>0.97747492716080864</c:v>
                </c:pt>
                <c:pt idx="665">
                  <c:v>0.97747492716080864</c:v>
                </c:pt>
                <c:pt idx="666">
                  <c:v>0.97747492716080864</c:v>
                </c:pt>
                <c:pt idx="667">
                  <c:v>0.97747492716080864</c:v>
                </c:pt>
                <c:pt idx="668">
                  <c:v>0.97747492716080864</c:v>
                </c:pt>
                <c:pt idx="669">
                  <c:v>0.97747492716080864</c:v>
                </c:pt>
                <c:pt idx="670">
                  <c:v>0.97747492716080864</c:v>
                </c:pt>
                <c:pt idx="671">
                  <c:v>0.97747492716080864</c:v>
                </c:pt>
                <c:pt idx="672">
                  <c:v>0.97747492716080864</c:v>
                </c:pt>
                <c:pt idx="673">
                  <c:v>0.97747492716080864</c:v>
                </c:pt>
                <c:pt idx="674">
                  <c:v>0.97747492716080864</c:v>
                </c:pt>
                <c:pt idx="675">
                  <c:v>0.97747492716080864</c:v>
                </c:pt>
                <c:pt idx="676">
                  <c:v>0.97747492716080864</c:v>
                </c:pt>
                <c:pt idx="677">
                  <c:v>0.97747492716080864</c:v>
                </c:pt>
                <c:pt idx="678">
                  <c:v>0.97747492716080864</c:v>
                </c:pt>
                <c:pt idx="679">
                  <c:v>0.97747492716080864</c:v>
                </c:pt>
                <c:pt idx="680">
                  <c:v>0.97747492716080864</c:v>
                </c:pt>
                <c:pt idx="681">
                  <c:v>0.97747492716080864</c:v>
                </c:pt>
                <c:pt idx="682">
                  <c:v>0.97747492716080864</c:v>
                </c:pt>
                <c:pt idx="683">
                  <c:v>0.97747492716080864</c:v>
                </c:pt>
                <c:pt idx="684">
                  <c:v>0.97747492716080864</c:v>
                </c:pt>
                <c:pt idx="685">
                  <c:v>0.97747492716080864</c:v>
                </c:pt>
                <c:pt idx="686">
                  <c:v>0.97747492716080864</c:v>
                </c:pt>
                <c:pt idx="687">
                  <c:v>0.97747492716080864</c:v>
                </c:pt>
                <c:pt idx="688">
                  <c:v>0.97747492716080864</c:v>
                </c:pt>
                <c:pt idx="689">
                  <c:v>0.97747492716080864</c:v>
                </c:pt>
                <c:pt idx="690">
                  <c:v>0.99628993281410705</c:v>
                </c:pt>
                <c:pt idx="691">
                  <c:v>1.0180629483261117</c:v>
                </c:pt>
                <c:pt idx="692">
                  <c:v>1.0422574125506436</c:v>
                </c:pt>
                <c:pt idx="693">
                  <c:v>0.60445830529966271</c:v>
                </c:pt>
                <c:pt idx="694">
                  <c:v>0.61425123295901951</c:v>
                </c:pt>
                <c:pt idx="695">
                  <c:v>0.62570670798691719</c:v>
                </c:pt>
                <c:pt idx="696">
                  <c:v>0.63906223715028965</c:v>
                </c:pt>
                <c:pt idx="697">
                  <c:v>0.65460282856945795</c:v>
                </c:pt>
                <c:pt idx="698">
                  <c:v>0.67267349207428528</c:v>
                </c:pt>
                <c:pt idx="699">
                  <c:v>0.69369590634571421</c:v>
                </c:pt>
                <c:pt idx="700">
                  <c:v>0.71819096857785136</c:v>
                </c:pt>
                <c:pt idx="701">
                  <c:v>0.74680980026332922</c:v>
                </c:pt>
                <c:pt idx="702">
                  <c:v>0.78037715529281559</c:v>
                </c:pt>
                <c:pt idx="703">
                  <c:v>0.81995343152574196</c:v>
                </c:pt>
                <c:pt idx="704">
                  <c:v>0.86692530308597782</c:v>
                </c:pt>
                <c:pt idx="705">
                  <c:v>0.92314166880535131</c:v>
                </c:pt>
                <c:pt idx="706">
                  <c:v>0.98735308630235419</c:v>
                </c:pt>
                <c:pt idx="707">
                  <c:v>1.0702535408450753</c:v>
                </c:pt>
                <c:pt idx="708">
                  <c:v>1.1734641171516436</c:v>
                </c:pt>
                <c:pt idx="709">
                  <c:v>1.3046011108835012</c:v>
                </c:pt>
                <c:pt idx="710">
                  <c:v>1.4756329866514863</c:v>
                </c:pt>
                <c:pt idx="711">
                  <c:v>1.462720444691711</c:v>
                </c:pt>
                <c:pt idx="712">
                  <c:v>3.0651476214853037</c:v>
                </c:pt>
                <c:pt idx="713">
                  <c:v>3.0651476214853037</c:v>
                </c:pt>
                <c:pt idx="714">
                  <c:v>3.0651476214853037</c:v>
                </c:pt>
                <c:pt idx="715">
                  <c:v>3.0651476214853037</c:v>
                </c:pt>
                <c:pt idx="716">
                  <c:v>3.0651476214853037</c:v>
                </c:pt>
                <c:pt idx="717">
                  <c:v>3.0651476214853037</c:v>
                </c:pt>
                <c:pt idx="718">
                  <c:v>3.0651476214853037</c:v>
                </c:pt>
                <c:pt idx="719">
                  <c:v>3.0651476214853037</c:v>
                </c:pt>
                <c:pt idx="720">
                  <c:v>3.0651476214853037</c:v>
                </c:pt>
                <c:pt idx="721">
                  <c:v>3.0651476214853037</c:v>
                </c:pt>
                <c:pt idx="722">
                  <c:v>3.0651476214853037</c:v>
                </c:pt>
                <c:pt idx="723">
                  <c:v>4.0340601923923671</c:v>
                </c:pt>
                <c:pt idx="724">
                  <c:v>3.5370914584758784</c:v>
                </c:pt>
                <c:pt idx="725">
                  <c:v>3.1512398284568426</c:v>
                </c:pt>
                <c:pt idx="726">
                  <c:v>2.8431701711660256</c:v>
                </c:pt>
                <c:pt idx="727">
                  <c:v>2.5916692213139121</c:v>
                </c:pt>
                <c:pt idx="728">
                  <c:v>2.3805209346071248</c:v>
                </c:pt>
                <c:pt idx="729">
                  <c:v>2.204241836351267</c:v>
                </c:pt>
                <c:pt idx="730">
                  <c:v>2.0535823569351113</c:v>
                </c:pt>
                <c:pt idx="731">
                  <c:v>1.9234185725907162</c:v>
                </c:pt>
                <c:pt idx="732">
                  <c:v>1.8099075404921274</c:v>
                </c:pt>
                <c:pt idx="733">
                  <c:v>1.7101105396547902</c:v>
                </c:pt>
                <c:pt idx="734">
                  <c:v>1.6217418982018295</c:v>
                </c:pt>
                <c:pt idx="735">
                  <c:v>2.0828822523985617</c:v>
                </c:pt>
                <c:pt idx="736">
                  <c:v>1.9969218871897514</c:v>
                </c:pt>
                <c:pt idx="737">
                  <c:v>2.2720830968603432</c:v>
                </c:pt>
                <c:pt idx="738">
                  <c:v>1.4283653898575015</c:v>
                </c:pt>
                <c:pt idx="739">
                  <c:v>1.3870607515614926</c:v>
                </c:pt>
                <c:pt idx="740">
                  <c:v>1.3507909964683038</c:v>
                </c:pt>
                <c:pt idx="741">
                  <c:v>1.3189519385935962</c:v>
                </c:pt>
                <c:pt idx="742">
                  <c:v>1.0157983253363061</c:v>
                </c:pt>
                <c:pt idx="743">
                  <c:v>1.0102939108319855</c:v>
                </c:pt>
                <c:pt idx="744">
                  <c:v>0.97771372778470789</c:v>
                </c:pt>
                <c:pt idx="745">
                  <c:v>0.97747492716080864</c:v>
                </c:pt>
                <c:pt idx="746">
                  <c:v>0.97747492716080864</c:v>
                </c:pt>
                <c:pt idx="747">
                  <c:v>0.97747492716080864</c:v>
                </c:pt>
                <c:pt idx="748">
                  <c:v>0.97747492716080864</c:v>
                </c:pt>
                <c:pt idx="749">
                  <c:v>0.97747492716080864</c:v>
                </c:pt>
                <c:pt idx="750">
                  <c:v>0.97747492716080864</c:v>
                </c:pt>
                <c:pt idx="751">
                  <c:v>0.97747492716080864</c:v>
                </c:pt>
                <c:pt idx="752">
                  <c:v>0.97747492716080864</c:v>
                </c:pt>
                <c:pt idx="753">
                  <c:v>0.97747492716080864</c:v>
                </c:pt>
                <c:pt idx="754">
                  <c:v>0.97747492716080864</c:v>
                </c:pt>
                <c:pt idx="755">
                  <c:v>1.0346087763838803</c:v>
                </c:pt>
                <c:pt idx="756">
                  <c:v>1.1029015273532876</c:v>
                </c:pt>
                <c:pt idx="757">
                  <c:v>0.67741865832343362</c:v>
                </c:pt>
                <c:pt idx="758">
                  <c:v>0.72534996635959526</c:v>
                </c:pt>
                <c:pt idx="759">
                  <c:v>0.78487657544763612</c:v>
                </c:pt>
                <c:pt idx="760">
                  <c:v>0.86034672348201113</c:v>
                </c:pt>
                <c:pt idx="761">
                  <c:v>0.95859335572543447</c:v>
                </c:pt>
                <c:pt idx="762">
                  <c:v>1.09100471428243</c:v>
                </c:pt>
                <c:pt idx="763">
                  <c:v>1.2780796349411421</c:v>
                </c:pt>
                <c:pt idx="764">
                  <c:v>1.5608157892778571</c:v>
                </c:pt>
                <c:pt idx="765">
                  <c:v>1.5261558082279341</c:v>
                </c:pt>
                <c:pt idx="766">
                  <c:v>1.4936196005266584</c:v>
                </c:pt>
                <c:pt idx="767">
                  <c:v>1.4632071661740294</c:v>
                </c:pt>
                <c:pt idx="768">
                  <c:v>1.4349185051700484</c:v>
                </c:pt>
                <c:pt idx="769">
                  <c:v>1.408753617514714</c:v>
                </c:pt>
                <c:pt idx="770">
                  <c:v>1.3847125032080272</c:v>
                </c:pt>
                <c:pt idx="771">
                  <c:v>1.3627951622499876</c:v>
                </c:pt>
                <c:pt idx="772">
                  <c:v>1.3430015946405949</c:v>
                </c:pt>
                <c:pt idx="773">
                  <c:v>2.7399407057507377</c:v>
                </c:pt>
                <c:pt idx="774">
                  <c:v>2.7399407057507377</c:v>
                </c:pt>
                <c:pt idx="775">
                  <c:v>2.7399407057507377</c:v>
                </c:pt>
                <c:pt idx="776">
                  <c:v>2.7399407057507377</c:v>
                </c:pt>
                <c:pt idx="777">
                  <c:v>2.7399407057507377</c:v>
                </c:pt>
                <c:pt idx="778">
                  <c:v>2.7399407057507377</c:v>
                </c:pt>
                <c:pt idx="779">
                  <c:v>2.7399407057507377</c:v>
                </c:pt>
                <c:pt idx="780">
                  <c:v>2.7399407057507377</c:v>
                </c:pt>
                <c:pt idx="781">
                  <c:v>2.7399407057507377</c:v>
                </c:pt>
                <c:pt idx="782">
                  <c:v>2.7399407057507377</c:v>
                </c:pt>
                <c:pt idx="783">
                  <c:v>3.1908670757161066</c:v>
                </c:pt>
                <c:pt idx="784">
                  <c:v>2.8816890450799448</c:v>
                </c:pt>
                <c:pt idx="785">
                  <c:v>2.6292812443089133</c:v>
                </c:pt>
                <c:pt idx="786">
                  <c:v>2.4194511159367278</c:v>
                </c:pt>
                <c:pt idx="787">
                  <c:v>2.2423730432559639</c:v>
                </c:pt>
                <c:pt idx="788">
                  <c:v>2.9049591644896973</c:v>
                </c:pt>
                <c:pt idx="789">
                  <c:v>2.7370659355122089</c:v>
                </c:pt>
                <c:pt idx="790">
                  <c:v>2.5928777900431759</c:v>
                </c:pt>
                <c:pt idx="791">
                  <c:v>1.4184961998728174</c:v>
                </c:pt>
                <c:pt idx="792">
                  <c:v>1.3684155979003423</c:v>
                </c:pt>
                <c:pt idx="793">
                  <c:v>1.3258958423555118</c:v>
                </c:pt>
                <c:pt idx="794">
                  <c:v>1.2898028062741791</c:v>
                </c:pt>
                <c:pt idx="795">
                  <c:v>1.2592183868758446</c:v>
                </c:pt>
                <c:pt idx="796">
                  <c:v>1.018044629236208</c:v>
                </c:pt>
                <c:pt idx="797">
                  <c:v>0.98456702770240756</c:v>
                </c:pt>
                <c:pt idx="798">
                  <c:v>0.94298620009237588</c:v>
                </c:pt>
                <c:pt idx="799">
                  <c:v>0.90526675208868101</c:v>
                </c:pt>
                <c:pt idx="800">
                  <c:v>0.87044880008527004</c:v>
                </c:pt>
                <c:pt idx="801">
                  <c:v>0.83820995563766754</c:v>
                </c:pt>
                <c:pt idx="802">
                  <c:v>0.80827388579346537</c:v>
                </c:pt>
                <c:pt idx="803">
                  <c:v>0.80827388579346537</c:v>
                </c:pt>
                <c:pt idx="804">
                  <c:v>0.91888346460282411</c:v>
                </c:pt>
                <c:pt idx="805">
                  <c:v>0.97747492716080864</c:v>
                </c:pt>
                <c:pt idx="806">
                  <c:v>0.97747492716080864</c:v>
                </c:pt>
                <c:pt idx="807">
                  <c:v>0.97747492716080864</c:v>
                </c:pt>
                <c:pt idx="808">
                  <c:v>0.97747492716080864</c:v>
                </c:pt>
                <c:pt idx="809">
                  <c:v>0.97747492716080864</c:v>
                </c:pt>
                <c:pt idx="810">
                  <c:v>0.97747492716080864</c:v>
                </c:pt>
                <c:pt idx="811">
                  <c:v>0.97747492716080864</c:v>
                </c:pt>
                <c:pt idx="812">
                  <c:v>0.97747492716080864</c:v>
                </c:pt>
                <c:pt idx="813">
                  <c:v>0.97747492716080864</c:v>
                </c:pt>
                <c:pt idx="814">
                  <c:v>0.97747492716080864</c:v>
                </c:pt>
                <c:pt idx="815">
                  <c:v>0.97747492716080864</c:v>
                </c:pt>
                <c:pt idx="816">
                  <c:v>0.97747492716080864</c:v>
                </c:pt>
                <c:pt idx="817">
                  <c:v>0.97747492716080864</c:v>
                </c:pt>
                <c:pt idx="818">
                  <c:v>0.97747492716080864</c:v>
                </c:pt>
                <c:pt idx="819">
                  <c:v>0.97747492716080864</c:v>
                </c:pt>
                <c:pt idx="820">
                  <c:v>0.97747492716080864</c:v>
                </c:pt>
                <c:pt idx="821">
                  <c:v>0.99628993281410705</c:v>
                </c:pt>
                <c:pt idx="822">
                  <c:v>1.0180629483261117</c:v>
                </c:pt>
                <c:pt idx="823">
                  <c:v>0.59612841932462146</c:v>
                </c:pt>
                <c:pt idx="824">
                  <c:v>0.60445830529966271</c:v>
                </c:pt>
                <c:pt idx="825">
                  <c:v>0.61425123295901951</c:v>
                </c:pt>
                <c:pt idx="826">
                  <c:v>0.62570670798691719</c:v>
                </c:pt>
                <c:pt idx="827">
                  <c:v>0.63906223715028965</c:v>
                </c:pt>
                <c:pt idx="828">
                  <c:v>0.65460282856945795</c:v>
                </c:pt>
                <c:pt idx="829">
                  <c:v>0.67267349207428528</c:v>
                </c:pt>
                <c:pt idx="830">
                  <c:v>0.69369590634571421</c:v>
                </c:pt>
                <c:pt idx="831">
                  <c:v>0.71819096857785136</c:v>
                </c:pt>
                <c:pt idx="832">
                  <c:v>0.74680980026332922</c:v>
                </c:pt>
                <c:pt idx="833">
                  <c:v>0.78037715529281559</c:v>
                </c:pt>
                <c:pt idx="834">
                  <c:v>0.81995343152574196</c:v>
                </c:pt>
                <c:pt idx="835">
                  <c:v>0.86373473780336196</c:v>
                </c:pt>
                <c:pt idx="836">
                  <c:v>0.91968522308251754</c:v>
                </c:pt>
                <c:pt idx="837">
                  <c:v>0.43718961337100143</c:v>
                </c:pt>
                <c:pt idx="838">
                  <c:v>0.43718961337100143</c:v>
                </c:pt>
                <c:pt idx="839">
                  <c:v>0.43718961337100143</c:v>
                </c:pt>
                <c:pt idx="840">
                  <c:v>0.43718961337100143</c:v>
                </c:pt>
                <c:pt idx="841">
                  <c:v>0.43718961337100143</c:v>
                </c:pt>
                <c:pt idx="842">
                  <c:v>0.43718961337100143</c:v>
                </c:pt>
                <c:pt idx="843">
                  <c:v>0.43718961337100143</c:v>
                </c:pt>
                <c:pt idx="844">
                  <c:v>0.43718961337100143</c:v>
                </c:pt>
                <c:pt idx="845">
                  <c:v>0.43718961337100143</c:v>
                </c:pt>
                <c:pt idx="846">
                  <c:v>0.43718961337100143</c:v>
                </c:pt>
                <c:pt idx="847">
                  <c:v>0.43718961337100143</c:v>
                </c:pt>
                <c:pt idx="848">
                  <c:v>0.43718961337100143</c:v>
                </c:pt>
                <c:pt idx="849">
                  <c:v>0.43718961337100143</c:v>
                </c:pt>
                <c:pt idx="850">
                  <c:v>0.43718961337100143</c:v>
                </c:pt>
                <c:pt idx="851">
                  <c:v>0.43718961337100143</c:v>
                </c:pt>
                <c:pt idx="852">
                  <c:v>0.43718961337100143</c:v>
                </c:pt>
                <c:pt idx="853">
                  <c:v>0.43718961337100143</c:v>
                </c:pt>
                <c:pt idx="854">
                  <c:v>0.43718961337100143</c:v>
                </c:pt>
                <c:pt idx="855">
                  <c:v>0.43718961337100143</c:v>
                </c:pt>
                <c:pt idx="856">
                  <c:v>0.43718961337100143</c:v>
                </c:pt>
                <c:pt idx="857">
                  <c:v>0.43718961337100143</c:v>
                </c:pt>
                <c:pt idx="858">
                  <c:v>0.92998677148019193</c:v>
                </c:pt>
                <c:pt idx="859">
                  <c:v>0.87209307305314276</c:v>
                </c:pt>
                <c:pt idx="860">
                  <c:v>0.82232629889930664</c:v>
                </c:pt>
                <c:pt idx="861">
                  <c:v>0.77916265071745683</c:v>
                </c:pt>
                <c:pt idx="862">
                  <c:v>0.73997296455933625</c:v>
                </c:pt>
                <c:pt idx="863">
                  <c:v>0.70686006999925743</c:v>
                </c:pt>
                <c:pt idx="864">
                  <c:v>0.67755466261624497</c:v>
                </c:pt>
                <c:pt idx="865">
                  <c:v>0.65148561933373894</c:v>
                </c:pt>
                <c:pt idx="866">
                  <c:v>0.62819060242309654</c:v>
                </c:pt>
                <c:pt idx="867">
                  <c:v>0.60729133556088</c:v>
                </c:pt>
                <c:pt idx="868">
                  <c:v>0.58847532961033888</c:v>
                </c:pt>
                <c:pt idx="869">
                  <c:v>0.57148217695751402</c:v>
                </c:pt>
                <c:pt idx="870">
                  <c:v>0.55609313520667936</c:v>
                </c:pt>
                <c:pt idx="871">
                  <c:v>0.28474100316182244</c:v>
                </c:pt>
                <c:pt idx="872">
                  <c:v>0.28156500555119401</c:v>
                </c:pt>
                <c:pt idx="873">
                  <c:v>0.27883431017147126</c:v>
                </c:pt>
                <c:pt idx="874">
                  <c:v>0.27835670892367281</c:v>
                </c:pt>
                <c:pt idx="875">
                  <c:v>0.27835670892367281</c:v>
                </c:pt>
                <c:pt idx="876">
                  <c:v>0.27835670892367281</c:v>
                </c:pt>
                <c:pt idx="877">
                  <c:v>0.27835670892367281</c:v>
                </c:pt>
                <c:pt idx="878">
                  <c:v>0.27835670892367281</c:v>
                </c:pt>
                <c:pt idx="879">
                  <c:v>0.27835670892367281</c:v>
                </c:pt>
                <c:pt idx="880">
                  <c:v>0.27835670892367281</c:v>
                </c:pt>
                <c:pt idx="881">
                  <c:v>0.27835670892367281</c:v>
                </c:pt>
                <c:pt idx="882">
                  <c:v>0.27835670892367281</c:v>
                </c:pt>
                <c:pt idx="883">
                  <c:v>0.27835670892367281</c:v>
                </c:pt>
                <c:pt idx="884">
                  <c:v>0.27835670892367281</c:v>
                </c:pt>
                <c:pt idx="885">
                  <c:v>0.27835670892367281</c:v>
                </c:pt>
                <c:pt idx="886">
                  <c:v>0.27835670892367281</c:v>
                </c:pt>
                <c:pt idx="887">
                  <c:v>0.27835670892367281</c:v>
                </c:pt>
                <c:pt idx="888">
                  <c:v>0.27835670892367281</c:v>
                </c:pt>
                <c:pt idx="889">
                  <c:v>0.27835670892367281</c:v>
                </c:pt>
                <c:pt idx="890">
                  <c:v>0.27835670892367281</c:v>
                </c:pt>
                <c:pt idx="891">
                  <c:v>0.27835670892367281</c:v>
                </c:pt>
                <c:pt idx="892">
                  <c:v>0.27835670892367281</c:v>
                </c:pt>
                <c:pt idx="893">
                  <c:v>0.27835670892367281</c:v>
                </c:pt>
                <c:pt idx="894">
                  <c:v>0.27835670892367281</c:v>
                </c:pt>
                <c:pt idx="895">
                  <c:v>0.27835670892367281</c:v>
                </c:pt>
                <c:pt idx="896">
                  <c:v>0.27835670892367281</c:v>
                </c:pt>
                <c:pt idx="897">
                  <c:v>0.27835670892367281</c:v>
                </c:pt>
                <c:pt idx="898">
                  <c:v>0.27835670892367281</c:v>
                </c:pt>
                <c:pt idx="899">
                  <c:v>0.27835670892367281</c:v>
                </c:pt>
                <c:pt idx="900">
                  <c:v>0.27835670892367281</c:v>
                </c:pt>
                <c:pt idx="901">
                  <c:v>0.27835670892367281</c:v>
                </c:pt>
                <c:pt idx="902">
                  <c:v>0.27835670892367281</c:v>
                </c:pt>
                <c:pt idx="903">
                  <c:v>0.27835670892367281</c:v>
                </c:pt>
                <c:pt idx="904">
                  <c:v>0.27835670892367281</c:v>
                </c:pt>
                <c:pt idx="905">
                  <c:v>0.27835670892367281</c:v>
                </c:pt>
                <c:pt idx="906">
                  <c:v>0.27835670892367281</c:v>
                </c:pt>
                <c:pt idx="907">
                  <c:v>0.27835670892367281</c:v>
                </c:pt>
                <c:pt idx="908">
                  <c:v>0.27835670892367281</c:v>
                </c:pt>
                <c:pt idx="909">
                  <c:v>0.27835670892367281</c:v>
                </c:pt>
                <c:pt idx="910">
                  <c:v>0.27835670892367281</c:v>
                </c:pt>
                <c:pt idx="911">
                  <c:v>0.27835670892367281</c:v>
                </c:pt>
                <c:pt idx="912">
                  <c:v>0.27835670892367281</c:v>
                </c:pt>
                <c:pt idx="913">
                  <c:v>0.27835670892367281</c:v>
                </c:pt>
                <c:pt idx="914">
                  <c:v>0.27835670892367281</c:v>
                </c:pt>
                <c:pt idx="915">
                  <c:v>0.27835670892367281</c:v>
                </c:pt>
                <c:pt idx="916">
                  <c:v>0.27835670892367281</c:v>
                </c:pt>
                <c:pt idx="917">
                  <c:v>0.27835670892367281</c:v>
                </c:pt>
                <c:pt idx="918">
                  <c:v>0.27835670892367281</c:v>
                </c:pt>
                <c:pt idx="919">
                  <c:v>0.27835670892367281</c:v>
                </c:pt>
                <c:pt idx="920">
                  <c:v>0.27835670892367281</c:v>
                </c:pt>
                <c:pt idx="921">
                  <c:v>0.27835670892367281</c:v>
                </c:pt>
                <c:pt idx="922">
                  <c:v>0.27835670892367281</c:v>
                </c:pt>
                <c:pt idx="923">
                  <c:v>0.27835670892367281</c:v>
                </c:pt>
                <c:pt idx="924">
                  <c:v>0.27835670892367281</c:v>
                </c:pt>
                <c:pt idx="925">
                  <c:v>0.27835670892367281</c:v>
                </c:pt>
                <c:pt idx="926">
                  <c:v>0.27835670892367281</c:v>
                </c:pt>
                <c:pt idx="927">
                  <c:v>0.27835670892367281</c:v>
                </c:pt>
                <c:pt idx="928">
                  <c:v>0.27835670892367281</c:v>
                </c:pt>
                <c:pt idx="929">
                  <c:v>0.27835670892367281</c:v>
                </c:pt>
                <c:pt idx="930">
                  <c:v>0.27835670892367281</c:v>
                </c:pt>
                <c:pt idx="931">
                  <c:v>0.27835670892367281</c:v>
                </c:pt>
                <c:pt idx="932">
                  <c:v>0.27835670892367281</c:v>
                </c:pt>
                <c:pt idx="933">
                  <c:v>0.27835670892367281</c:v>
                </c:pt>
                <c:pt idx="934">
                  <c:v>0.27835670892367281</c:v>
                </c:pt>
                <c:pt idx="935">
                  <c:v>0.29184680770439403</c:v>
                </c:pt>
                <c:pt idx="936">
                  <c:v>0.30514769679077908</c:v>
                </c:pt>
                <c:pt idx="937">
                  <c:v>0.31905537826249192</c:v>
                </c:pt>
                <c:pt idx="938">
                  <c:v>0.33356985211953261</c:v>
                </c:pt>
                <c:pt idx="939">
                  <c:v>0.34869111836190103</c:v>
                </c:pt>
                <c:pt idx="940">
                  <c:v>0.3644191769895973</c:v>
                </c:pt>
                <c:pt idx="941">
                  <c:v>0.37040270106076922</c:v>
                </c:pt>
                <c:pt idx="942">
                  <c:v>0.3700843002289036</c:v>
                </c:pt>
                <c:pt idx="943">
                  <c:v>0.3700843002289036</c:v>
                </c:pt>
                <c:pt idx="944">
                  <c:v>0.3700843002289036</c:v>
                </c:pt>
                <c:pt idx="945">
                  <c:v>0.3700843002289036</c:v>
                </c:pt>
                <c:pt idx="946">
                  <c:v>0.3700843002289036</c:v>
                </c:pt>
                <c:pt idx="947">
                  <c:v>0.3700843002289036</c:v>
                </c:pt>
                <c:pt idx="948">
                  <c:v>0.3700843002289036</c:v>
                </c:pt>
                <c:pt idx="949">
                  <c:v>0.3700843002289036</c:v>
                </c:pt>
                <c:pt idx="950">
                  <c:v>0.3700843002289036</c:v>
                </c:pt>
                <c:pt idx="951">
                  <c:v>0.3700843002289036</c:v>
                </c:pt>
                <c:pt idx="952">
                  <c:v>0.3700843002289036</c:v>
                </c:pt>
                <c:pt idx="953">
                  <c:v>0.3700843002289036</c:v>
                </c:pt>
                <c:pt idx="954">
                  <c:v>0.3700843002289036</c:v>
                </c:pt>
                <c:pt idx="955">
                  <c:v>0.3700843002289036</c:v>
                </c:pt>
                <c:pt idx="956">
                  <c:v>0.3700843002289036</c:v>
                </c:pt>
                <c:pt idx="957">
                  <c:v>0.3700843002289036</c:v>
                </c:pt>
                <c:pt idx="958">
                  <c:v>0.3700843002289036</c:v>
                </c:pt>
                <c:pt idx="959">
                  <c:v>0.3700843002289036</c:v>
                </c:pt>
                <c:pt idx="960">
                  <c:v>0.3700843002289036</c:v>
                </c:pt>
                <c:pt idx="961">
                  <c:v>0.3700843002289036</c:v>
                </c:pt>
                <c:pt idx="962">
                  <c:v>0.3700843002289036</c:v>
                </c:pt>
                <c:pt idx="963">
                  <c:v>0.3700843002289036</c:v>
                </c:pt>
                <c:pt idx="964">
                  <c:v>0.3700843002289036</c:v>
                </c:pt>
                <c:pt idx="965">
                  <c:v>0.3700843002289036</c:v>
                </c:pt>
                <c:pt idx="966">
                  <c:v>0.3700843002289036</c:v>
                </c:pt>
                <c:pt idx="967">
                  <c:v>0.3700843002289036</c:v>
                </c:pt>
                <c:pt idx="968">
                  <c:v>0.3700843002289036</c:v>
                </c:pt>
                <c:pt idx="969">
                  <c:v>0.3700843002289036</c:v>
                </c:pt>
                <c:pt idx="970">
                  <c:v>0.37171257941048502</c:v>
                </c:pt>
                <c:pt idx="971">
                  <c:v>0.37659807210656066</c:v>
                </c:pt>
                <c:pt idx="972">
                  <c:v>0.37633767860263101</c:v>
                </c:pt>
                <c:pt idx="973">
                  <c:v>0.44145732114108677</c:v>
                </c:pt>
                <c:pt idx="974">
                  <c:v>0.51892422200610766</c:v>
                </c:pt>
                <c:pt idx="975">
                  <c:v>0.61336860307015573</c:v>
                </c:pt>
                <c:pt idx="976">
                  <c:v>0.73651052891931446</c:v>
                </c:pt>
                <c:pt idx="977">
                  <c:v>0.89232943477763793</c:v>
                </c:pt>
                <c:pt idx="978">
                  <c:v>1.1066531109517257</c:v>
                </c:pt>
                <c:pt idx="979">
                  <c:v>1.4233601351784009</c:v>
                </c:pt>
                <c:pt idx="980">
                  <c:v>0.67982553436318904</c:v>
                </c:pt>
                <c:pt idx="981">
                  <c:v>0.67982553436318904</c:v>
                </c:pt>
                <c:pt idx="982">
                  <c:v>0.67982553436318904</c:v>
                </c:pt>
                <c:pt idx="983">
                  <c:v>0.67982553436318904</c:v>
                </c:pt>
                <c:pt idx="984">
                  <c:v>0.67982553436318904</c:v>
                </c:pt>
                <c:pt idx="985">
                  <c:v>0.67982553436318904</c:v>
                </c:pt>
                <c:pt idx="986">
                  <c:v>0.67982553436318904</c:v>
                </c:pt>
                <c:pt idx="987">
                  <c:v>0.67982553436318904</c:v>
                </c:pt>
                <c:pt idx="988">
                  <c:v>0.67982553436318904</c:v>
                </c:pt>
                <c:pt idx="989">
                  <c:v>0.67982553436318904</c:v>
                </c:pt>
                <c:pt idx="990">
                  <c:v>0.67982553436318904</c:v>
                </c:pt>
                <c:pt idx="991">
                  <c:v>0.67982553436318904</c:v>
                </c:pt>
                <c:pt idx="992">
                  <c:v>2.2584439603148185</c:v>
                </c:pt>
                <c:pt idx="993">
                  <c:v>1.9119181246111485</c:v>
                </c:pt>
                <c:pt idx="994">
                  <c:v>1.6671302362710745</c:v>
                </c:pt>
                <c:pt idx="995">
                  <c:v>1.4859285650332466</c:v>
                </c:pt>
                <c:pt idx="996">
                  <c:v>1.3471177051969163</c:v>
                </c:pt>
                <c:pt idx="997">
                  <c:v>1.2348696121910845</c:v>
                </c:pt>
                <c:pt idx="998">
                  <c:v>1.1475958971538889</c:v>
                </c:pt>
                <c:pt idx="999">
                  <c:v>1.0764606313010439</c:v>
                </c:pt>
                <c:pt idx="1000">
                  <c:v>1.0177395571284695</c:v>
                </c:pt>
                <c:pt idx="1001">
                  <c:v>0.27469583983637053</c:v>
                </c:pt>
                <c:pt idx="1002">
                  <c:v>0.29569389033063859</c:v>
                </c:pt>
                <c:pt idx="1003">
                  <c:v>0.33958255472391286</c:v>
                </c:pt>
                <c:pt idx="1004">
                  <c:v>0.38919316650458075</c:v>
                </c:pt>
                <c:pt idx="1005">
                  <c:v>0.44608625677829511</c:v>
                </c:pt>
                <c:pt idx="1006">
                  <c:v>0.51244656909296971</c:v>
                </c:pt>
                <c:pt idx="1007">
                  <c:v>0.59142984412892485</c:v>
                </c:pt>
                <c:pt idx="1008">
                  <c:v>0.6877696929066407</c:v>
                </c:pt>
                <c:pt idx="1009">
                  <c:v>0.80890464702972864</c:v>
                </c:pt>
                <c:pt idx="1010">
                  <c:v>0.96723225917087519</c:v>
                </c:pt>
                <c:pt idx="1011">
                  <c:v>1.1850681241409153</c:v>
                </c:pt>
                <c:pt idx="1012">
                  <c:v>1.5070434315615189</c:v>
                </c:pt>
                <c:pt idx="1013">
                  <c:v>2.0372976238832501</c:v>
                </c:pt>
                <c:pt idx="1014">
                  <c:v>0.75658059833703528</c:v>
                </c:pt>
                <c:pt idx="1015">
                  <c:v>0.75658059833703528</c:v>
                </c:pt>
                <c:pt idx="1016">
                  <c:v>0.75658059833703528</c:v>
                </c:pt>
                <c:pt idx="1017">
                  <c:v>0.75658059833703528</c:v>
                </c:pt>
                <c:pt idx="1018">
                  <c:v>0.75658059833703528</c:v>
                </c:pt>
                <c:pt idx="1019">
                  <c:v>0.75658059833703528</c:v>
                </c:pt>
                <c:pt idx="1020">
                  <c:v>2.6837739017689093</c:v>
                </c:pt>
                <c:pt idx="1021">
                  <c:v>2.1675857425234275</c:v>
                </c:pt>
                <c:pt idx="1022">
                  <c:v>1.8266459630494103</c:v>
                </c:pt>
                <c:pt idx="1023">
                  <c:v>1.5858481148733734</c:v>
                </c:pt>
                <c:pt idx="1024">
                  <c:v>1.4076389737585735</c:v>
                </c:pt>
                <c:pt idx="1025">
                  <c:v>1.2711556373512654</c:v>
                </c:pt>
                <c:pt idx="1026">
                  <c:v>1.1638803642392017</c:v>
                </c:pt>
                <c:pt idx="1027">
                  <c:v>1.0778473189782245</c:v>
                </c:pt>
                <c:pt idx="1028">
                  <c:v>0.3106693926899024</c:v>
                </c:pt>
                <c:pt idx="1029">
                  <c:v>0.3064444229940716</c:v>
                </c:pt>
                <c:pt idx="1030">
                  <c:v>0.30418830326463275</c:v>
                </c:pt>
                <c:pt idx="1031">
                  <c:v>0.32518635375890081</c:v>
                </c:pt>
                <c:pt idx="1032">
                  <c:v>0.34754968712015638</c:v>
                </c:pt>
                <c:pt idx="1033">
                  <c:v>0.37127830334839945</c:v>
                </c:pt>
                <c:pt idx="1034">
                  <c:v>0.3700843002289036</c:v>
                </c:pt>
                <c:pt idx="1035">
                  <c:v>0.3700843002289036</c:v>
                </c:pt>
                <c:pt idx="1036">
                  <c:v>0.3700843002289036</c:v>
                </c:pt>
                <c:pt idx="1037">
                  <c:v>0.37171257941048502</c:v>
                </c:pt>
                <c:pt idx="1038">
                  <c:v>0.37659807210656066</c:v>
                </c:pt>
                <c:pt idx="1039">
                  <c:v>0.38410946894172504</c:v>
                </c:pt>
                <c:pt idx="1040">
                  <c:v>0.44145732114108677</c:v>
                </c:pt>
                <c:pt idx="1041">
                  <c:v>0.51892422200610766</c:v>
                </c:pt>
                <c:pt idx="1042">
                  <c:v>0.61336860307015573</c:v>
                </c:pt>
                <c:pt idx="1043">
                  <c:v>0.73206652727567101</c:v>
                </c:pt>
                <c:pt idx="1044">
                  <c:v>0.88714476619338734</c:v>
                </c:pt>
                <c:pt idx="1045">
                  <c:v>1.1004315086506251</c:v>
                </c:pt>
                <c:pt idx="1046">
                  <c:v>1.4155831323020251</c:v>
                </c:pt>
                <c:pt idx="1047">
                  <c:v>1.9344645183417504</c:v>
                </c:pt>
                <c:pt idx="1048">
                  <c:v>1.9751135402348587</c:v>
                </c:pt>
                <c:pt idx="1049">
                  <c:v>3.0296408688757896</c:v>
                </c:pt>
                <c:pt idx="1050">
                  <c:v>6.1430008831552545</c:v>
                </c:pt>
                <c:pt idx="1051">
                  <c:v>2.2697417950111061</c:v>
                </c:pt>
                <c:pt idx="1052">
                  <c:v>2.2697417950111061</c:v>
                </c:pt>
                <c:pt idx="1053">
                  <c:v>2.2697417950111061</c:v>
                </c:pt>
                <c:pt idx="1054">
                  <c:v>2.2697417950111061</c:v>
                </c:pt>
                <c:pt idx="1055">
                  <c:v>2.2697417950111061</c:v>
                </c:pt>
                <c:pt idx="1056">
                  <c:v>2.2697417950111061</c:v>
                </c:pt>
                <c:pt idx="1057">
                  <c:v>2.2697417950111061</c:v>
                </c:pt>
                <c:pt idx="1058">
                  <c:v>2.2697417950111061</c:v>
                </c:pt>
                <c:pt idx="1059">
                  <c:v>5.6500660676757519</c:v>
                </c:pt>
                <c:pt idx="1060">
                  <c:v>3.8039532012257125</c:v>
                </c:pt>
                <c:pt idx="1061">
                  <c:v>2.8863336277732303</c:v>
                </c:pt>
                <c:pt idx="1062">
                  <c:v>2.3401113715197699</c:v>
                </c:pt>
                <c:pt idx="1063">
                  <c:v>1.9795877738658212</c:v>
                </c:pt>
                <c:pt idx="1064">
                  <c:v>1.7251776954115936</c:v>
                </c:pt>
                <c:pt idx="1065">
                  <c:v>0.42176608339213623</c:v>
                </c:pt>
                <c:pt idx="1066">
                  <c:v>0.40181564111151236</c:v>
                </c:pt>
                <c:pt idx="1067">
                  <c:v>0.38803003119602808</c:v>
                </c:pt>
                <c:pt idx="1068">
                  <c:v>0.37872793572791819</c:v>
                </c:pt>
                <c:pt idx="1069">
                  <c:v>0.37278847609533872</c:v>
                </c:pt>
                <c:pt idx="1070">
                  <c:v>0.36943565941316758</c:v>
                </c:pt>
                <c:pt idx="1071">
                  <c:v>0.36811520504917428</c:v>
                </c:pt>
                <c:pt idx="1072">
                  <c:v>0.37024350064483635</c:v>
                </c:pt>
                <c:pt idx="1073">
                  <c:v>0.3700843002289036</c:v>
                </c:pt>
                <c:pt idx="1074">
                  <c:v>0.3700843002289036</c:v>
                </c:pt>
                <c:pt idx="1075">
                  <c:v>0.3700843002289036</c:v>
                </c:pt>
                <c:pt idx="1076">
                  <c:v>0.3700843002289036</c:v>
                </c:pt>
                <c:pt idx="1077">
                  <c:v>0.3700843002289036</c:v>
                </c:pt>
                <c:pt idx="1078">
                  <c:v>0.3700843002289036</c:v>
                </c:pt>
                <c:pt idx="1079">
                  <c:v>0.3700843002289036</c:v>
                </c:pt>
                <c:pt idx="1080">
                  <c:v>0.3700843002289036</c:v>
                </c:pt>
                <c:pt idx="1081">
                  <c:v>0.3700843002289036</c:v>
                </c:pt>
                <c:pt idx="1082">
                  <c:v>0.3700843002289036</c:v>
                </c:pt>
                <c:pt idx="1083">
                  <c:v>0.27174269928089306</c:v>
                </c:pt>
                <c:pt idx="1084">
                  <c:v>0.32047847980909894</c:v>
                </c:pt>
                <c:pt idx="1085">
                  <c:v>0.37633767860263101</c:v>
                </c:pt>
                <c:pt idx="1086">
                  <c:v>0.44145732114108677</c:v>
                </c:pt>
                <c:pt idx="1087">
                  <c:v>0.51892422200610766</c:v>
                </c:pt>
                <c:pt idx="1088">
                  <c:v>0.61336860307015573</c:v>
                </c:pt>
                <c:pt idx="1089">
                  <c:v>0.73651052891931446</c:v>
                </c:pt>
                <c:pt idx="1090">
                  <c:v>0.89232943477763793</c:v>
                </c:pt>
                <c:pt idx="1091">
                  <c:v>1.1066531109517257</c:v>
                </c:pt>
                <c:pt idx="1092">
                  <c:v>1.4233601351784009</c:v>
                </c:pt>
                <c:pt idx="1093">
                  <c:v>0.49381215486529312</c:v>
                </c:pt>
                <c:pt idx="1094">
                  <c:v>0.49381215486529312</c:v>
                </c:pt>
                <c:pt idx="1095">
                  <c:v>0.49381215486529312</c:v>
                </c:pt>
                <c:pt idx="1096">
                  <c:v>0.49381215486529312</c:v>
                </c:pt>
                <c:pt idx="1097">
                  <c:v>0.49381215486529312</c:v>
                </c:pt>
                <c:pt idx="1098">
                  <c:v>0.49381215486529312</c:v>
                </c:pt>
                <c:pt idx="1099">
                  <c:v>0.49381215486529312</c:v>
                </c:pt>
                <c:pt idx="1100">
                  <c:v>0.49381215486529312</c:v>
                </c:pt>
                <c:pt idx="1101">
                  <c:v>0.49381215486529312</c:v>
                </c:pt>
                <c:pt idx="1102">
                  <c:v>0.49381215486529312</c:v>
                </c:pt>
                <c:pt idx="1103">
                  <c:v>0.49381215486529312</c:v>
                </c:pt>
                <c:pt idx="1104">
                  <c:v>2.2350088419422636</c:v>
                </c:pt>
                <c:pt idx="1105">
                  <c:v>1.7025462838993994</c:v>
                </c:pt>
                <c:pt idx="1106">
                  <c:v>1.3906145212989169</c:v>
                </c:pt>
                <c:pt idx="1107">
                  <c:v>0.25605630814257885</c:v>
                </c:pt>
                <c:pt idx="1108">
                  <c:v>0.24474367047583093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C1-4422-B624-2E1F89AAA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9536"/>
        <c:axId val="1419104456"/>
      </c:scatterChart>
      <c:valAx>
        <c:axId val="1419128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27416"/>
        <c:crosses val="autoZero"/>
        <c:crossBetween val="midCat"/>
      </c:valAx>
      <c:valAx>
        <c:axId val="1419127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28728"/>
        <c:crosses val="autoZero"/>
        <c:crossBetween val="midCat"/>
      </c:valAx>
      <c:valAx>
        <c:axId val="14191044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Demand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9536"/>
        <c:crosses val="max"/>
        <c:crossBetween val="midCat"/>
      </c:valAx>
      <c:valAx>
        <c:axId val="1419099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04456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&amp; Aero Resistance</a:t>
            </a:r>
            <a:r>
              <a:rPr lang="en-GB" baseline="0"/>
              <a:t>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Aero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Cycle'!$J$3:$J$1111</c:f>
              <c:numCache>
                <c:formatCode>General</c:formatCode>
                <c:ptCount val="1109"/>
                <c:pt idx="0">
                  <c:v>0</c:v>
                </c:pt>
                <c:pt idx="1">
                  <c:v>0.8896040999999999</c:v>
                </c:pt>
                <c:pt idx="2">
                  <c:v>3.5584163999999996</c:v>
                </c:pt>
                <c:pt idx="3">
                  <c:v>8.0064368999999989</c:v>
                </c:pt>
                <c:pt idx="4">
                  <c:v>14.233665599999998</c:v>
                </c:pt>
                <c:pt idx="5">
                  <c:v>22.240102499999999</c:v>
                </c:pt>
                <c:pt idx="6">
                  <c:v>32.025747599999995</c:v>
                </c:pt>
                <c:pt idx="7">
                  <c:v>43.590600899999998</c:v>
                </c:pt>
                <c:pt idx="8">
                  <c:v>56.934662399999993</c:v>
                </c:pt>
                <c:pt idx="9">
                  <c:v>72.057932099999988</c:v>
                </c:pt>
                <c:pt idx="10">
                  <c:v>88.960409999999996</c:v>
                </c:pt>
                <c:pt idx="11">
                  <c:v>107.64209609999999</c:v>
                </c:pt>
                <c:pt idx="12">
                  <c:v>128.10299039999998</c:v>
                </c:pt>
                <c:pt idx="13">
                  <c:v>150.34309289999999</c:v>
                </c:pt>
                <c:pt idx="14">
                  <c:v>159.97581505520998</c:v>
                </c:pt>
                <c:pt idx="15">
                  <c:v>159.97581505520998</c:v>
                </c:pt>
                <c:pt idx="16">
                  <c:v>159.97581505520998</c:v>
                </c:pt>
                <c:pt idx="17">
                  <c:v>159.97581505520998</c:v>
                </c:pt>
                <c:pt idx="18">
                  <c:v>159.97581505520998</c:v>
                </c:pt>
                <c:pt idx="19">
                  <c:v>159.97581505520998</c:v>
                </c:pt>
                <c:pt idx="20">
                  <c:v>159.97581505520998</c:v>
                </c:pt>
                <c:pt idx="21">
                  <c:v>159.97581505520998</c:v>
                </c:pt>
                <c:pt idx="22">
                  <c:v>159.97581505520998</c:v>
                </c:pt>
                <c:pt idx="23">
                  <c:v>159.97581505520998</c:v>
                </c:pt>
                <c:pt idx="24">
                  <c:v>159.97581505520998</c:v>
                </c:pt>
                <c:pt idx="25">
                  <c:v>159.97581505520998</c:v>
                </c:pt>
                <c:pt idx="26">
                  <c:v>159.97581505520998</c:v>
                </c:pt>
                <c:pt idx="27">
                  <c:v>159.97581505520998</c:v>
                </c:pt>
                <c:pt idx="28">
                  <c:v>159.97581505520998</c:v>
                </c:pt>
                <c:pt idx="29">
                  <c:v>159.97581505520998</c:v>
                </c:pt>
                <c:pt idx="30">
                  <c:v>159.97581505520998</c:v>
                </c:pt>
                <c:pt idx="31">
                  <c:v>159.97581505520998</c:v>
                </c:pt>
                <c:pt idx="32">
                  <c:v>159.97581505520998</c:v>
                </c:pt>
                <c:pt idx="33">
                  <c:v>159.97581505520998</c:v>
                </c:pt>
                <c:pt idx="34">
                  <c:v>159.97581505520998</c:v>
                </c:pt>
                <c:pt idx="35">
                  <c:v>159.97581505520998</c:v>
                </c:pt>
                <c:pt idx="36">
                  <c:v>159.97581505520998</c:v>
                </c:pt>
                <c:pt idx="37">
                  <c:v>159.97581505520998</c:v>
                </c:pt>
                <c:pt idx="38">
                  <c:v>159.97581505520998</c:v>
                </c:pt>
                <c:pt idx="39">
                  <c:v>159.97581505520998</c:v>
                </c:pt>
                <c:pt idx="40">
                  <c:v>159.97581505520998</c:v>
                </c:pt>
                <c:pt idx="41">
                  <c:v>159.97581505520998</c:v>
                </c:pt>
                <c:pt idx="42">
                  <c:v>159.97581505520998</c:v>
                </c:pt>
                <c:pt idx="43">
                  <c:v>159.97581505520998</c:v>
                </c:pt>
                <c:pt idx="44">
                  <c:v>159.97581505520998</c:v>
                </c:pt>
                <c:pt idx="45">
                  <c:v>159.97581505520998</c:v>
                </c:pt>
                <c:pt idx="46">
                  <c:v>159.97581505520998</c:v>
                </c:pt>
                <c:pt idx="47">
                  <c:v>159.97581505520998</c:v>
                </c:pt>
                <c:pt idx="48">
                  <c:v>159.97581505520998</c:v>
                </c:pt>
                <c:pt idx="49">
                  <c:v>159.97581505520998</c:v>
                </c:pt>
                <c:pt idx="50">
                  <c:v>159.97581505520998</c:v>
                </c:pt>
                <c:pt idx="51">
                  <c:v>159.97581505520998</c:v>
                </c:pt>
                <c:pt idx="52">
                  <c:v>159.97581505520998</c:v>
                </c:pt>
                <c:pt idx="53">
                  <c:v>159.97581505520998</c:v>
                </c:pt>
                <c:pt idx="54">
                  <c:v>159.97581505520998</c:v>
                </c:pt>
                <c:pt idx="55">
                  <c:v>159.97581505520998</c:v>
                </c:pt>
                <c:pt idx="56">
                  <c:v>159.97581505520998</c:v>
                </c:pt>
                <c:pt idx="57">
                  <c:v>159.97581505520998</c:v>
                </c:pt>
                <c:pt idx="58">
                  <c:v>159.97581505520998</c:v>
                </c:pt>
                <c:pt idx="59">
                  <c:v>159.97581505520998</c:v>
                </c:pt>
                <c:pt idx="60">
                  <c:v>159.97581505520998</c:v>
                </c:pt>
                <c:pt idx="61">
                  <c:v>159.97581505520998</c:v>
                </c:pt>
                <c:pt idx="62">
                  <c:v>159.97581505520998</c:v>
                </c:pt>
                <c:pt idx="63">
                  <c:v>159.97581505520998</c:v>
                </c:pt>
                <c:pt idx="64">
                  <c:v>159.97581505520998</c:v>
                </c:pt>
                <c:pt idx="65">
                  <c:v>159.97581505520998</c:v>
                </c:pt>
                <c:pt idx="66">
                  <c:v>159.97581505520998</c:v>
                </c:pt>
                <c:pt idx="67">
                  <c:v>159.97581505520998</c:v>
                </c:pt>
                <c:pt idx="68">
                  <c:v>159.97581505520998</c:v>
                </c:pt>
                <c:pt idx="69">
                  <c:v>159.97581505520998</c:v>
                </c:pt>
                <c:pt idx="70">
                  <c:v>159.97581505520998</c:v>
                </c:pt>
                <c:pt idx="71">
                  <c:v>159.97581505520998</c:v>
                </c:pt>
                <c:pt idx="72">
                  <c:v>159.97581505520998</c:v>
                </c:pt>
                <c:pt idx="73">
                  <c:v>159.97581505520998</c:v>
                </c:pt>
                <c:pt idx="74">
                  <c:v>159.97581505520998</c:v>
                </c:pt>
                <c:pt idx="75">
                  <c:v>159.97581505520998</c:v>
                </c:pt>
                <c:pt idx="76">
                  <c:v>159.97581505520998</c:v>
                </c:pt>
                <c:pt idx="77">
                  <c:v>159.97581505520998</c:v>
                </c:pt>
                <c:pt idx="78">
                  <c:v>159.97581505520998</c:v>
                </c:pt>
                <c:pt idx="79">
                  <c:v>159.97581505520998</c:v>
                </c:pt>
                <c:pt idx="80">
                  <c:v>159.97581505520998</c:v>
                </c:pt>
                <c:pt idx="81">
                  <c:v>159.97581505520998</c:v>
                </c:pt>
                <c:pt idx="82">
                  <c:v>159.97581505520998</c:v>
                </c:pt>
                <c:pt idx="83">
                  <c:v>159.97581505520998</c:v>
                </c:pt>
                <c:pt idx="84">
                  <c:v>159.97581505520998</c:v>
                </c:pt>
                <c:pt idx="85">
                  <c:v>159.97581505520998</c:v>
                </c:pt>
                <c:pt idx="86">
                  <c:v>159.97581505520998</c:v>
                </c:pt>
                <c:pt idx="87">
                  <c:v>159.97581505520998</c:v>
                </c:pt>
                <c:pt idx="88">
                  <c:v>159.97581505520998</c:v>
                </c:pt>
                <c:pt idx="89">
                  <c:v>159.97581505520998</c:v>
                </c:pt>
                <c:pt idx="90">
                  <c:v>159.97581505520998</c:v>
                </c:pt>
                <c:pt idx="91">
                  <c:v>159.97581505520998</c:v>
                </c:pt>
                <c:pt idx="92">
                  <c:v>159.97581505520998</c:v>
                </c:pt>
                <c:pt idx="93">
                  <c:v>150.34309289999999</c:v>
                </c:pt>
                <c:pt idx="94">
                  <c:v>139.00064062499999</c:v>
                </c:pt>
                <c:pt idx="95">
                  <c:v>128.10299039999998</c:v>
                </c:pt>
                <c:pt idx="96">
                  <c:v>117.65014222499998</c:v>
                </c:pt>
                <c:pt idx="97">
                  <c:v>107.64209609999999</c:v>
                </c:pt>
                <c:pt idx="98">
                  <c:v>107.64209609999999</c:v>
                </c:pt>
                <c:pt idx="99">
                  <c:v>107.64209609999999</c:v>
                </c:pt>
                <c:pt idx="100">
                  <c:v>107.64209609999999</c:v>
                </c:pt>
                <c:pt idx="101">
                  <c:v>107.64209609999999</c:v>
                </c:pt>
                <c:pt idx="102">
                  <c:v>107.64209609999999</c:v>
                </c:pt>
                <c:pt idx="103">
                  <c:v>107.64209609999999</c:v>
                </c:pt>
                <c:pt idx="104">
                  <c:v>107.64209609999999</c:v>
                </c:pt>
                <c:pt idx="105">
                  <c:v>107.64209609999999</c:v>
                </c:pt>
                <c:pt idx="106">
                  <c:v>107.64209609999999</c:v>
                </c:pt>
                <c:pt idx="107">
                  <c:v>107.64209609999999</c:v>
                </c:pt>
                <c:pt idx="108">
                  <c:v>107.64209609999999</c:v>
                </c:pt>
                <c:pt idx="109">
                  <c:v>107.64209609999999</c:v>
                </c:pt>
                <c:pt idx="110">
                  <c:v>128.10299039999998</c:v>
                </c:pt>
                <c:pt idx="111">
                  <c:v>150.34309289999999</c:v>
                </c:pt>
                <c:pt idx="112">
                  <c:v>159.97581505520998</c:v>
                </c:pt>
                <c:pt idx="113">
                  <c:v>159.97581505520998</c:v>
                </c:pt>
                <c:pt idx="114">
                  <c:v>159.97581505520998</c:v>
                </c:pt>
                <c:pt idx="115">
                  <c:v>159.97581505520998</c:v>
                </c:pt>
                <c:pt idx="116">
                  <c:v>88.960409999999996</c:v>
                </c:pt>
                <c:pt idx="117">
                  <c:v>88.960409999999996</c:v>
                </c:pt>
                <c:pt idx="118">
                  <c:v>98.078852024999989</c:v>
                </c:pt>
                <c:pt idx="119">
                  <c:v>98.078852024999989</c:v>
                </c:pt>
                <c:pt idx="120">
                  <c:v>117.65014222499998</c:v>
                </c:pt>
                <c:pt idx="121">
                  <c:v>139.00064062499999</c:v>
                </c:pt>
                <c:pt idx="122">
                  <c:v>159.97581505520998</c:v>
                </c:pt>
                <c:pt idx="123">
                  <c:v>159.97581505520998</c:v>
                </c:pt>
                <c:pt idx="124">
                  <c:v>159.97581505520998</c:v>
                </c:pt>
                <c:pt idx="125">
                  <c:v>159.97581505520998</c:v>
                </c:pt>
                <c:pt idx="126">
                  <c:v>159.97581505520998</c:v>
                </c:pt>
                <c:pt idx="127">
                  <c:v>159.97581505520998</c:v>
                </c:pt>
                <c:pt idx="128">
                  <c:v>159.97581505520998</c:v>
                </c:pt>
                <c:pt idx="129">
                  <c:v>159.97581505520998</c:v>
                </c:pt>
                <c:pt idx="130">
                  <c:v>159.97581505520998</c:v>
                </c:pt>
                <c:pt idx="131">
                  <c:v>159.97581505520998</c:v>
                </c:pt>
                <c:pt idx="132">
                  <c:v>159.97581505520998</c:v>
                </c:pt>
                <c:pt idx="133">
                  <c:v>159.97581505520998</c:v>
                </c:pt>
                <c:pt idx="134">
                  <c:v>159.97581505520998</c:v>
                </c:pt>
                <c:pt idx="135">
                  <c:v>159.97581505520998</c:v>
                </c:pt>
                <c:pt idx="136">
                  <c:v>159.97581505520998</c:v>
                </c:pt>
                <c:pt idx="137">
                  <c:v>159.97581505520998</c:v>
                </c:pt>
                <c:pt idx="138">
                  <c:v>159.97581505520998</c:v>
                </c:pt>
                <c:pt idx="139">
                  <c:v>159.97581505520998</c:v>
                </c:pt>
                <c:pt idx="140">
                  <c:v>159.97581505520998</c:v>
                </c:pt>
                <c:pt idx="141">
                  <c:v>159.97581505520998</c:v>
                </c:pt>
                <c:pt idx="142">
                  <c:v>159.97581505520998</c:v>
                </c:pt>
                <c:pt idx="143">
                  <c:v>159.97581505520998</c:v>
                </c:pt>
                <c:pt idx="144">
                  <c:v>159.97581505520998</c:v>
                </c:pt>
                <c:pt idx="145">
                  <c:v>159.97581505520998</c:v>
                </c:pt>
                <c:pt idx="146">
                  <c:v>159.97581505520998</c:v>
                </c:pt>
                <c:pt idx="147">
                  <c:v>159.97581505520998</c:v>
                </c:pt>
                <c:pt idx="148">
                  <c:v>159.97581505520998</c:v>
                </c:pt>
                <c:pt idx="149">
                  <c:v>159.97581505520998</c:v>
                </c:pt>
                <c:pt idx="150">
                  <c:v>159.97581505520998</c:v>
                </c:pt>
                <c:pt idx="151">
                  <c:v>159.97581505520998</c:v>
                </c:pt>
                <c:pt idx="152">
                  <c:v>159.97581505520998</c:v>
                </c:pt>
                <c:pt idx="153">
                  <c:v>159.97581505520998</c:v>
                </c:pt>
                <c:pt idx="154">
                  <c:v>159.97581505520998</c:v>
                </c:pt>
                <c:pt idx="155">
                  <c:v>159.97581505520998</c:v>
                </c:pt>
                <c:pt idx="156">
                  <c:v>159.97581505520998</c:v>
                </c:pt>
                <c:pt idx="157">
                  <c:v>137.00623719320998</c:v>
                </c:pt>
                <c:pt idx="158">
                  <c:v>115.81586753120997</c:v>
                </c:pt>
                <c:pt idx="159">
                  <c:v>96.404706069209993</c:v>
                </c:pt>
                <c:pt idx="160">
                  <c:v>78.772752807209997</c:v>
                </c:pt>
                <c:pt idx="161">
                  <c:v>62.920007745209993</c:v>
                </c:pt>
                <c:pt idx="162">
                  <c:v>48.846470883209996</c:v>
                </c:pt>
                <c:pt idx="163">
                  <c:v>36.552142221209998</c:v>
                </c:pt>
                <c:pt idx="164">
                  <c:v>26.037021759209999</c:v>
                </c:pt>
                <c:pt idx="165">
                  <c:v>17.30110949721</c:v>
                </c:pt>
                <c:pt idx="166">
                  <c:v>10.34440543521</c:v>
                </c:pt>
                <c:pt idx="167">
                  <c:v>10.34440543521</c:v>
                </c:pt>
                <c:pt idx="168">
                  <c:v>10.34440543521</c:v>
                </c:pt>
                <c:pt idx="169">
                  <c:v>10.34440543521</c:v>
                </c:pt>
                <c:pt idx="170">
                  <c:v>10.34440543521</c:v>
                </c:pt>
                <c:pt idx="171">
                  <c:v>10.34440543521</c:v>
                </c:pt>
                <c:pt idx="172">
                  <c:v>10.34440543521</c:v>
                </c:pt>
                <c:pt idx="173">
                  <c:v>10.34440543521</c:v>
                </c:pt>
                <c:pt idx="174">
                  <c:v>10.34440543521</c:v>
                </c:pt>
                <c:pt idx="175">
                  <c:v>10.34440543521</c:v>
                </c:pt>
                <c:pt idx="176">
                  <c:v>10.34440543521</c:v>
                </c:pt>
                <c:pt idx="177">
                  <c:v>10.34440543521</c:v>
                </c:pt>
                <c:pt idx="178">
                  <c:v>17.30110949721</c:v>
                </c:pt>
                <c:pt idx="179">
                  <c:v>26.037021759209999</c:v>
                </c:pt>
                <c:pt idx="180">
                  <c:v>36.552142221209998</c:v>
                </c:pt>
                <c:pt idx="181">
                  <c:v>48.846470883209996</c:v>
                </c:pt>
                <c:pt idx="182">
                  <c:v>62.920007745209993</c:v>
                </c:pt>
                <c:pt idx="183">
                  <c:v>78.772752807209997</c:v>
                </c:pt>
                <c:pt idx="184">
                  <c:v>96.404706069209993</c:v>
                </c:pt>
                <c:pt idx="185">
                  <c:v>115.81586753120997</c:v>
                </c:pt>
                <c:pt idx="186">
                  <c:v>137.00623719320998</c:v>
                </c:pt>
                <c:pt idx="187">
                  <c:v>159.97581505520998</c:v>
                </c:pt>
                <c:pt idx="188">
                  <c:v>159.97581505520998</c:v>
                </c:pt>
                <c:pt idx="189">
                  <c:v>159.97581505520998</c:v>
                </c:pt>
                <c:pt idx="190">
                  <c:v>159.97581505520998</c:v>
                </c:pt>
                <c:pt idx="191">
                  <c:v>159.97581505520998</c:v>
                </c:pt>
                <c:pt idx="192">
                  <c:v>159.97581505520998</c:v>
                </c:pt>
                <c:pt idx="193">
                  <c:v>159.97581505520998</c:v>
                </c:pt>
                <c:pt idx="194">
                  <c:v>159.97581505520998</c:v>
                </c:pt>
                <c:pt idx="195">
                  <c:v>159.97581505520998</c:v>
                </c:pt>
                <c:pt idx="196">
                  <c:v>159.97581505520998</c:v>
                </c:pt>
                <c:pt idx="197">
                  <c:v>159.97581505520998</c:v>
                </c:pt>
                <c:pt idx="198">
                  <c:v>159.97581505520998</c:v>
                </c:pt>
                <c:pt idx="199">
                  <c:v>159.97581505520998</c:v>
                </c:pt>
                <c:pt idx="200">
                  <c:v>159.97581505520998</c:v>
                </c:pt>
                <c:pt idx="201">
                  <c:v>159.97581505520998</c:v>
                </c:pt>
                <c:pt idx="202">
                  <c:v>159.97581505520998</c:v>
                </c:pt>
                <c:pt idx="203">
                  <c:v>159.97581505520998</c:v>
                </c:pt>
                <c:pt idx="204">
                  <c:v>159.97581505520998</c:v>
                </c:pt>
                <c:pt idx="205">
                  <c:v>159.97581505520998</c:v>
                </c:pt>
                <c:pt idx="206">
                  <c:v>159.97581505520998</c:v>
                </c:pt>
                <c:pt idx="207">
                  <c:v>159.97581505520998</c:v>
                </c:pt>
                <c:pt idx="208">
                  <c:v>159.97581505520998</c:v>
                </c:pt>
                <c:pt idx="209">
                  <c:v>159.97581505520998</c:v>
                </c:pt>
                <c:pt idx="210">
                  <c:v>159.97581505520998</c:v>
                </c:pt>
                <c:pt idx="211">
                  <c:v>159.97581505520998</c:v>
                </c:pt>
                <c:pt idx="212">
                  <c:v>159.97581505520998</c:v>
                </c:pt>
                <c:pt idx="213">
                  <c:v>159.97581505520998</c:v>
                </c:pt>
                <c:pt idx="214">
                  <c:v>137.00623719320998</c:v>
                </c:pt>
                <c:pt idx="215">
                  <c:v>115.81586753120997</c:v>
                </c:pt>
                <c:pt idx="216">
                  <c:v>96.404706069209993</c:v>
                </c:pt>
                <c:pt idx="217">
                  <c:v>78.772752807209997</c:v>
                </c:pt>
                <c:pt idx="218">
                  <c:v>62.920007745209993</c:v>
                </c:pt>
                <c:pt idx="219">
                  <c:v>48.846470883209996</c:v>
                </c:pt>
                <c:pt idx="220">
                  <c:v>36.552142221209998</c:v>
                </c:pt>
                <c:pt idx="221">
                  <c:v>26.037021759209999</c:v>
                </c:pt>
                <c:pt idx="222">
                  <c:v>17.30110949721</c:v>
                </c:pt>
                <c:pt idx="223">
                  <c:v>10.34440543521</c:v>
                </c:pt>
                <c:pt idx="224">
                  <c:v>10.34440543521</c:v>
                </c:pt>
                <c:pt idx="225">
                  <c:v>10.34440543521</c:v>
                </c:pt>
                <c:pt idx="226">
                  <c:v>10.34440543521</c:v>
                </c:pt>
                <c:pt idx="227">
                  <c:v>10.34440543521</c:v>
                </c:pt>
                <c:pt idx="228">
                  <c:v>10.34440543521</c:v>
                </c:pt>
                <c:pt idx="229">
                  <c:v>10.34440543521</c:v>
                </c:pt>
                <c:pt idx="230">
                  <c:v>10.34440543521</c:v>
                </c:pt>
                <c:pt idx="231">
                  <c:v>10.34440543521</c:v>
                </c:pt>
                <c:pt idx="232">
                  <c:v>10.34440543521</c:v>
                </c:pt>
                <c:pt idx="233">
                  <c:v>10.34440543521</c:v>
                </c:pt>
                <c:pt idx="234">
                  <c:v>10.34440543521</c:v>
                </c:pt>
                <c:pt idx="235">
                  <c:v>10.34440543521</c:v>
                </c:pt>
                <c:pt idx="236">
                  <c:v>13.60035644121</c:v>
                </c:pt>
                <c:pt idx="237">
                  <c:v>17.30110949721</c:v>
                </c:pt>
                <c:pt idx="238">
                  <c:v>21.446664603209999</c:v>
                </c:pt>
                <c:pt idx="239">
                  <c:v>26.037021759209999</c:v>
                </c:pt>
                <c:pt idx="240">
                  <c:v>31.072180965209999</c:v>
                </c:pt>
                <c:pt idx="241">
                  <c:v>36.552142221209998</c:v>
                </c:pt>
                <c:pt idx="242">
                  <c:v>42.476905527209993</c:v>
                </c:pt>
                <c:pt idx="243">
                  <c:v>48.846470883209996</c:v>
                </c:pt>
                <c:pt idx="244">
                  <c:v>55.660838289209991</c:v>
                </c:pt>
                <c:pt idx="245">
                  <c:v>62.920007745209993</c:v>
                </c:pt>
                <c:pt idx="246">
                  <c:v>70.623979251210002</c:v>
                </c:pt>
                <c:pt idx="247">
                  <c:v>78.772752807209997</c:v>
                </c:pt>
                <c:pt idx="248">
                  <c:v>87.366328413209985</c:v>
                </c:pt>
                <c:pt idx="249">
                  <c:v>96.404706069209993</c:v>
                </c:pt>
                <c:pt idx="250">
                  <c:v>105.88788577520999</c:v>
                </c:pt>
                <c:pt idx="251">
                  <c:v>115.81586753120997</c:v>
                </c:pt>
                <c:pt idx="252">
                  <c:v>137.00623719320998</c:v>
                </c:pt>
                <c:pt idx="253">
                  <c:v>159.97581505520998</c:v>
                </c:pt>
                <c:pt idx="254">
                  <c:v>159.97581505520998</c:v>
                </c:pt>
                <c:pt idx="255">
                  <c:v>159.97581505520998</c:v>
                </c:pt>
                <c:pt idx="256">
                  <c:v>159.97581505520998</c:v>
                </c:pt>
                <c:pt idx="257">
                  <c:v>159.97581505520998</c:v>
                </c:pt>
                <c:pt idx="258">
                  <c:v>159.97581505520998</c:v>
                </c:pt>
                <c:pt idx="259">
                  <c:v>159.97581505520998</c:v>
                </c:pt>
                <c:pt idx="260">
                  <c:v>159.97581505520998</c:v>
                </c:pt>
                <c:pt idx="261">
                  <c:v>159.97581505520998</c:v>
                </c:pt>
                <c:pt idx="262">
                  <c:v>159.97581505520998</c:v>
                </c:pt>
                <c:pt idx="263">
                  <c:v>159.97581505520998</c:v>
                </c:pt>
                <c:pt idx="264">
                  <c:v>159.97581505520998</c:v>
                </c:pt>
                <c:pt idx="265">
                  <c:v>159.97581505520998</c:v>
                </c:pt>
                <c:pt idx="266">
                  <c:v>159.97581505520998</c:v>
                </c:pt>
                <c:pt idx="267">
                  <c:v>139.00064062499999</c:v>
                </c:pt>
                <c:pt idx="268">
                  <c:v>128.10299039999998</c:v>
                </c:pt>
                <c:pt idx="269">
                  <c:v>117.65014222499998</c:v>
                </c:pt>
                <c:pt idx="270">
                  <c:v>107.64209609999999</c:v>
                </c:pt>
                <c:pt idx="271">
                  <c:v>107.64209609999999</c:v>
                </c:pt>
                <c:pt idx="272">
                  <c:v>107.64209609999999</c:v>
                </c:pt>
                <c:pt idx="273">
                  <c:v>107.64209609999999</c:v>
                </c:pt>
                <c:pt idx="274">
                  <c:v>107.64209609999999</c:v>
                </c:pt>
                <c:pt idx="275">
                  <c:v>107.64209609999999</c:v>
                </c:pt>
                <c:pt idx="276">
                  <c:v>107.64209609999999</c:v>
                </c:pt>
                <c:pt idx="277">
                  <c:v>107.64209609999999</c:v>
                </c:pt>
                <c:pt idx="278">
                  <c:v>107.64209609999999</c:v>
                </c:pt>
                <c:pt idx="279">
                  <c:v>107.64209609999999</c:v>
                </c:pt>
                <c:pt idx="280">
                  <c:v>107.64209609999999</c:v>
                </c:pt>
                <c:pt idx="281">
                  <c:v>107.64209609999999</c:v>
                </c:pt>
                <c:pt idx="282">
                  <c:v>107.64209609999999</c:v>
                </c:pt>
                <c:pt idx="283">
                  <c:v>107.64209609999999</c:v>
                </c:pt>
                <c:pt idx="284">
                  <c:v>107.64209609999999</c:v>
                </c:pt>
                <c:pt idx="285">
                  <c:v>128.10299039999998</c:v>
                </c:pt>
                <c:pt idx="286">
                  <c:v>139.00064062499999</c:v>
                </c:pt>
                <c:pt idx="287">
                  <c:v>150.34309289999999</c:v>
                </c:pt>
                <c:pt idx="288">
                  <c:v>159.97581505520998</c:v>
                </c:pt>
                <c:pt idx="289">
                  <c:v>159.97581505520998</c:v>
                </c:pt>
                <c:pt idx="290">
                  <c:v>159.97581505520998</c:v>
                </c:pt>
                <c:pt idx="291">
                  <c:v>159.97581505520998</c:v>
                </c:pt>
                <c:pt idx="292">
                  <c:v>159.97581505520998</c:v>
                </c:pt>
                <c:pt idx="293">
                  <c:v>159.97581505520998</c:v>
                </c:pt>
                <c:pt idx="294">
                  <c:v>159.97581505520998</c:v>
                </c:pt>
                <c:pt idx="295">
                  <c:v>159.97581505520998</c:v>
                </c:pt>
                <c:pt idx="296">
                  <c:v>137.00623719320998</c:v>
                </c:pt>
                <c:pt idx="297">
                  <c:v>115.81586753120997</c:v>
                </c:pt>
                <c:pt idx="298">
                  <c:v>96.404706069209993</c:v>
                </c:pt>
                <c:pt idx="299">
                  <c:v>78.772752807209997</c:v>
                </c:pt>
                <c:pt idx="300">
                  <c:v>62.920007745209993</c:v>
                </c:pt>
                <c:pt idx="301">
                  <c:v>48.846470883209996</c:v>
                </c:pt>
                <c:pt idx="302">
                  <c:v>36.552142221209998</c:v>
                </c:pt>
                <c:pt idx="303">
                  <c:v>26.037021759209999</c:v>
                </c:pt>
                <c:pt idx="304">
                  <c:v>17.30110949721</c:v>
                </c:pt>
                <c:pt idx="305">
                  <c:v>17.30110949721</c:v>
                </c:pt>
                <c:pt idx="306">
                  <c:v>17.30110949721</c:v>
                </c:pt>
                <c:pt idx="307">
                  <c:v>17.30110949721</c:v>
                </c:pt>
                <c:pt idx="308">
                  <c:v>17.30110949721</c:v>
                </c:pt>
                <c:pt idx="309">
                  <c:v>17.30110949721</c:v>
                </c:pt>
                <c:pt idx="310">
                  <c:v>17.30110949721</c:v>
                </c:pt>
                <c:pt idx="311">
                  <c:v>17.30110949721</c:v>
                </c:pt>
                <c:pt idx="312">
                  <c:v>17.30110949721</c:v>
                </c:pt>
                <c:pt idx="313">
                  <c:v>21.446664603209999</c:v>
                </c:pt>
                <c:pt idx="314">
                  <c:v>26.037021759209999</c:v>
                </c:pt>
                <c:pt idx="315">
                  <c:v>31.072180965209999</c:v>
                </c:pt>
                <c:pt idx="316">
                  <c:v>36.552142221209998</c:v>
                </c:pt>
                <c:pt idx="317">
                  <c:v>42.476905527209993</c:v>
                </c:pt>
                <c:pt idx="318">
                  <c:v>48.846470883209996</c:v>
                </c:pt>
                <c:pt idx="319">
                  <c:v>55.660838289209991</c:v>
                </c:pt>
                <c:pt idx="320">
                  <c:v>62.920007745209993</c:v>
                </c:pt>
                <c:pt idx="321">
                  <c:v>70.623979251210002</c:v>
                </c:pt>
                <c:pt idx="322">
                  <c:v>78.772752807209997</c:v>
                </c:pt>
                <c:pt idx="323">
                  <c:v>96.404706069209993</c:v>
                </c:pt>
                <c:pt idx="324">
                  <c:v>115.81586753120997</c:v>
                </c:pt>
                <c:pt idx="325">
                  <c:v>137.00623719320998</c:v>
                </c:pt>
                <c:pt idx="326">
                  <c:v>159.97581505520998</c:v>
                </c:pt>
                <c:pt idx="327">
                  <c:v>159.97581505520998</c:v>
                </c:pt>
                <c:pt idx="328">
                  <c:v>137.00623719320998</c:v>
                </c:pt>
                <c:pt idx="329">
                  <c:v>115.81586753120997</c:v>
                </c:pt>
                <c:pt idx="330">
                  <c:v>96.404706069209993</c:v>
                </c:pt>
                <c:pt idx="331">
                  <c:v>78.772752807209997</c:v>
                </c:pt>
                <c:pt idx="332">
                  <c:v>62.920007745209993</c:v>
                </c:pt>
                <c:pt idx="333">
                  <c:v>48.846470883209996</c:v>
                </c:pt>
                <c:pt idx="334">
                  <c:v>36.552142221209998</c:v>
                </c:pt>
                <c:pt idx="335">
                  <c:v>26.037021759209999</c:v>
                </c:pt>
                <c:pt idx="336">
                  <c:v>17.30110949721</c:v>
                </c:pt>
                <c:pt idx="337">
                  <c:v>10.34440543521</c:v>
                </c:pt>
                <c:pt idx="338">
                  <c:v>5.1669095732099999</c:v>
                </c:pt>
                <c:pt idx="339">
                  <c:v>5.1669095732099999</c:v>
                </c:pt>
                <c:pt idx="340">
                  <c:v>5.1669095732099999</c:v>
                </c:pt>
                <c:pt idx="341">
                  <c:v>5.1669095732099999</c:v>
                </c:pt>
                <c:pt idx="342">
                  <c:v>5.1669095732099999</c:v>
                </c:pt>
                <c:pt idx="343">
                  <c:v>7.5332564792100003</c:v>
                </c:pt>
                <c:pt idx="344">
                  <c:v>10.34440543521</c:v>
                </c:pt>
                <c:pt idx="345">
                  <c:v>13.60035644121</c:v>
                </c:pt>
                <c:pt idx="346">
                  <c:v>17.30110949721</c:v>
                </c:pt>
                <c:pt idx="347">
                  <c:v>21.446664603209999</c:v>
                </c:pt>
                <c:pt idx="348">
                  <c:v>26.037021759209999</c:v>
                </c:pt>
                <c:pt idx="349">
                  <c:v>31.072180965209999</c:v>
                </c:pt>
                <c:pt idx="350">
                  <c:v>36.552142221209998</c:v>
                </c:pt>
                <c:pt idx="351">
                  <c:v>42.476905527209993</c:v>
                </c:pt>
                <c:pt idx="352">
                  <c:v>48.846470883209996</c:v>
                </c:pt>
                <c:pt idx="353">
                  <c:v>55.660838289209991</c:v>
                </c:pt>
                <c:pt idx="354">
                  <c:v>62.920007745209993</c:v>
                </c:pt>
                <c:pt idx="355">
                  <c:v>74.642765772960004</c:v>
                </c:pt>
                <c:pt idx="356">
                  <c:v>87.366328413209985</c:v>
                </c:pt>
                <c:pt idx="357">
                  <c:v>101.09069566595998</c:v>
                </c:pt>
                <c:pt idx="358">
                  <c:v>115.81586753120997</c:v>
                </c:pt>
                <c:pt idx="359">
                  <c:v>137.00623719320998</c:v>
                </c:pt>
                <c:pt idx="360">
                  <c:v>159.97581505520998</c:v>
                </c:pt>
                <c:pt idx="361">
                  <c:v>159.97581505520998</c:v>
                </c:pt>
                <c:pt idx="362">
                  <c:v>159.97581505520998</c:v>
                </c:pt>
                <c:pt idx="363">
                  <c:v>159.97581505520998</c:v>
                </c:pt>
                <c:pt idx="364">
                  <c:v>159.97581505520998</c:v>
                </c:pt>
                <c:pt idx="365">
                  <c:v>159.97581505520998</c:v>
                </c:pt>
                <c:pt idx="366">
                  <c:v>159.97581505520998</c:v>
                </c:pt>
                <c:pt idx="367">
                  <c:v>142.58183088995997</c:v>
                </c:pt>
                <c:pt idx="368">
                  <c:v>126.18865133721</c:v>
                </c:pt>
                <c:pt idx="369">
                  <c:v>110.79627639696</c:v>
                </c:pt>
                <c:pt idx="370">
                  <c:v>96.404706069209993</c:v>
                </c:pt>
                <c:pt idx="371">
                  <c:v>83.013940353959995</c:v>
                </c:pt>
                <c:pt idx="372">
                  <c:v>70.623979251210002</c:v>
                </c:pt>
                <c:pt idx="373">
                  <c:v>59.234822760959993</c:v>
                </c:pt>
                <c:pt idx="374">
                  <c:v>48.846470883209996</c:v>
                </c:pt>
                <c:pt idx="375">
                  <c:v>39.458923617959996</c:v>
                </c:pt>
                <c:pt idx="376">
                  <c:v>31.072180965209999</c:v>
                </c:pt>
                <c:pt idx="377">
                  <c:v>23.686242924959998</c:v>
                </c:pt>
                <c:pt idx="378">
                  <c:v>17.30110949721</c:v>
                </c:pt>
                <c:pt idx="379">
                  <c:v>11.916780681960001</c:v>
                </c:pt>
                <c:pt idx="380">
                  <c:v>7.5332564792100003</c:v>
                </c:pt>
                <c:pt idx="381">
                  <c:v>7.5332564792100003</c:v>
                </c:pt>
                <c:pt idx="382">
                  <c:v>7.5332564792100003</c:v>
                </c:pt>
                <c:pt idx="383">
                  <c:v>7.5332564792100003</c:v>
                </c:pt>
                <c:pt idx="384">
                  <c:v>7.5332564792100003</c:v>
                </c:pt>
                <c:pt idx="385">
                  <c:v>7.5332564792100003</c:v>
                </c:pt>
                <c:pt idx="386">
                  <c:v>7.5332564792100003</c:v>
                </c:pt>
                <c:pt idx="387">
                  <c:v>7.5332564792100003</c:v>
                </c:pt>
                <c:pt idx="388">
                  <c:v>7.5332564792100003</c:v>
                </c:pt>
                <c:pt idx="389">
                  <c:v>7.5332564792100003</c:v>
                </c:pt>
                <c:pt idx="390">
                  <c:v>7.5332564792100003</c:v>
                </c:pt>
                <c:pt idx="391">
                  <c:v>11.916780681960001</c:v>
                </c:pt>
                <c:pt idx="392">
                  <c:v>17.30110949721</c:v>
                </c:pt>
                <c:pt idx="393">
                  <c:v>23.686242924959998</c:v>
                </c:pt>
                <c:pt idx="394">
                  <c:v>31.072180965209999</c:v>
                </c:pt>
                <c:pt idx="395">
                  <c:v>39.458923617959996</c:v>
                </c:pt>
                <c:pt idx="396">
                  <c:v>52.198054329959994</c:v>
                </c:pt>
                <c:pt idx="397">
                  <c:v>66.716393241959992</c:v>
                </c:pt>
                <c:pt idx="398">
                  <c:v>83.013940353959995</c:v>
                </c:pt>
                <c:pt idx="399">
                  <c:v>101.09069566595998</c:v>
                </c:pt>
                <c:pt idx="400">
                  <c:v>120.94665917795999</c:v>
                </c:pt>
                <c:pt idx="401">
                  <c:v>142.58183088995997</c:v>
                </c:pt>
                <c:pt idx="402">
                  <c:v>159.97581505520998</c:v>
                </c:pt>
                <c:pt idx="403">
                  <c:v>142.58183088995997</c:v>
                </c:pt>
                <c:pt idx="404">
                  <c:v>126.18865133721</c:v>
                </c:pt>
                <c:pt idx="405">
                  <c:v>110.79627639696</c:v>
                </c:pt>
                <c:pt idx="406">
                  <c:v>96.404706069209993</c:v>
                </c:pt>
                <c:pt idx="407">
                  <c:v>83.013940353959995</c:v>
                </c:pt>
                <c:pt idx="408">
                  <c:v>70.623979251210002</c:v>
                </c:pt>
                <c:pt idx="409">
                  <c:v>59.234822760959993</c:v>
                </c:pt>
                <c:pt idx="410">
                  <c:v>48.846470883209996</c:v>
                </c:pt>
                <c:pt idx="411">
                  <c:v>48.846470883209996</c:v>
                </c:pt>
                <c:pt idx="412">
                  <c:v>48.846470883209996</c:v>
                </c:pt>
                <c:pt idx="413">
                  <c:v>48.846470883209996</c:v>
                </c:pt>
                <c:pt idx="414">
                  <c:v>48.846470883209996</c:v>
                </c:pt>
                <c:pt idx="415">
                  <c:v>48.846470883209996</c:v>
                </c:pt>
                <c:pt idx="416">
                  <c:v>48.846470883209996</c:v>
                </c:pt>
                <c:pt idx="417">
                  <c:v>59.234822760959993</c:v>
                </c:pt>
                <c:pt idx="418">
                  <c:v>70.623979251210002</c:v>
                </c:pt>
                <c:pt idx="419">
                  <c:v>83.013940353959995</c:v>
                </c:pt>
                <c:pt idx="420">
                  <c:v>96.404706069209993</c:v>
                </c:pt>
                <c:pt idx="421">
                  <c:v>110.79627639696</c:v>
                </c:pt>
                <c:pt idx="422">
                  <c:v>126.18865133721</c:v>
                </c:pt>
                <c:pt idx="423">
                  <c:v>142.58183088995997</c:v>
                </c:pt>
                <c:pt idx="424">
                  <c:v>159.97581505520998</c:v>
                </c:pt>
                <c:pt idx="425">
                  <c:v>159.97581505520998</c:v>
                </c:pt>
                <c:pt idx="426">
                  <c:v>159.97581505520998</c:v>
                </c:pt>
                <c:pt idx="427">
                  <c:v>159.97581505520998</c:v>
                </c:pt>
                <c:pt idx="428">
                  <c:v>159.97581505520998</c:v>
                </c:pt>
                <c:pt idx="429">
                  <c:v>159.97581505520998</c:v>
                </c:pt>
                <c:pt idx="430">
                  <c:v>159.97581505520998</c:v>
                </c:pt>
                <c:pt idx="431">
                  <c:v>159.97581505520998</c:v>
                </c:pt>
                <c:pt idx="432">
                  <c:v>159.97581505520998</c:v>
                </c:pt>
                <c:pt idx="433">
                  <c:v>159.97581505520998</c:v>
                </c:pt>
                <c:pt idx="434">
                  <c:v>159.97581505520998</c:v>
                </c:pt>
                <c:pt idx="435">
                  <c:v>159.97581505520998</c:v>
                </c:pt>
                <c:pt idx="436">
                  <c:v>159.97581505520998</c:v>
                </c:pt>
                <c:pt idx="437">
                  <c:v>159.97581505520998</c:v>
                </c:pt>
                <c:pt idx="438">
                  <c:v>159.97581505520998</c:v>
                </c:pt>
                <c:pt idx="439">
                  <c:v>159.97581505520998</c:v>
                </c:pt>
                <c:pt idx="440">
                  <c:v>159.97581505520998</c:v>
                </c:pt>
                <c:pt idx="441">
                  <c:v>159.97581505520998</c:v>
                </c:pt>
                <c:pt idx="442">
                  <c:v>159.97581505520998</c:v>
                </c:pt>
                <c:pt idx="443">
                  <c:v>159.97581505520998</c:v>
                </c:pt>
                <c:pt idx="444">
                  <c:v>159.97581505520998</c:v>
                </c:pt>
                <c:pt idx="445">
                  <c:v>159.97581505520998</c:v>
                </c:pt>
                <c:pt idx="446">
                  <c:v>159.97581505520998</c:v>
                </c:pt>
                <c:pt idx="447">
                  <c:v>159.97581505520998</c:v>
                </c:pt>
                <c:pt idx="448">
                  <c:v>159.97581505520998</c:v>
                </c:pt>
                <c:pt idx="449">
                  <c:v>159.97581505520998</c:v>
                </c:pt>
                <c:pt idx="450">
                  <c:v>159.97581505520998</c:v>
                </c:pt>
                <c:pt idx="451">
                  <c:v>159.97581505520998</c:v>
                </c:pt>
                <c:pt idx="452">
                  <c:v>159.97581505520998</c:v>
                </c:pt>
                <c:pt idx="453">
                  <c:v>159.97581505520998</c:v>
                </c:pt>
                <c:pt idx="454">
                  <c:v>159.97581505520998</c:v>
                </c:pt>
                <c:pt idx="455">
                  <c:v>159.97581505520998</c:v>
                </c:pt>
                <c:pt idx="456">
                  <c:v>159.97581505520998</c:v>
                </c:pt>
                <c:pt idx="457">
                  <c:v>159.97581505520998</c:v>
                </c:pt>
                <c:pt idx="458">
                  <c:v>159.97581505520998</c:v>
                </c:pt>
                <c:pt idx="459">
                  <c:v>159.97581505520998</c:v>
                </c:pt>
                <c:pt idx="460">
                  <c:v>159.97581505520998</c:v>
                </c:pt>
                <c:pt idx="461">
                  <c:v>159.97581505520998</c:v>
                </c:pt>
                <c:pt idx="462">
                  <c:v>159.97581505520998</c:v>
                </c:pt>
                <c:pt idx="463">
                  <c:v>159.97581505520998</c:v>
                </c:pt>
                <c:pt idx="464">
                  <c:v>159.97581505520998</c:v>
                </c:pt>
                <c:pt idx="465">
                  <c:v>159.97581505520998</c:v>
                </c:pt>
                <c:pt idx="466">
                  <c:v>159.97581505520998</c:v>
                </c:pt>
                <c:pt idx="467">
                  <c:v>159.97581505520998</c:v>
                </c:pt>
                <c:pt idx="468">
                  <c:v>159.97581505520998</c:v>
                </c:pt>
                <c:pt idx="469">
                  <c:v>159.97581505520998</c:v>
                </c:pt>
                <c:pt idx="470">
                  <c:v>159.97581505520998</c:v>
                </c:pt>
                <c:pt idx="471">
                  <c:v>159.97581505520998</c:v>
                </c:pt>
                <c:pt idx="472">
                  <c:v>159.97581505520998</c:v>
                </c:pt>
                <c:pt idx="473">
                  <c:v>142.58183088995997</c:v>
                </c:pt>
                <c:pt idx="474">
                  <c:v>126.18865133721</c:v>
                </c:pt>
                <c:pt idx="475">
                  <c:v>110.79627639696</c:v>
                </c:pt>
                <c:pt idx="476">
                  <c:v>96.404706069209993</c:v>
                </c:pt>
                <c:pt idx="477">
                  <c:v>83.013940353959995</c:v>
                </c:pt>
                <c:pt idx="478">
                  <c:v>70.623979251210002</c:v>
                </c:pt>
                <c:pt idx="479">
                  <c:v>59.234822760959993</c:v>
                </c:pt>
                <c:pt idx="480">
                  <c:v>48.846470883209996</c:v>
                </c:pt>
                <c:pt idx="481">
                  <c:v>39.458923617959996</c:v>
                </c:pt>
                <c:pt idx="482">
                  <c:v>31.072180965209999</c:v>
                </c:pt>
                <c:pt idx="483">
                  <c:v>23.686242924959998</c:v>
                </c:pt>
                <c:pt idx="484">
                  <c:v>17.30110949721</c:v>
                </c:pt>
                <c:pt idx="485">
                  <c:v>11.916780681960001</c:v>
                </c:pt>
                <c:pt idx="486">
                  <c:v>11.916780681960001</c:v>
                </c:pt>
                <c:pt idx="487">
                  <c:v>11.916780681960001</c:v>
                </c:pt>
                <c:pt idx="488">
                  <c:v>11.916780681960001</c:v>
                </c:pt>
                <c:pt idx="489">
                  <c:v>11.916780681960001</c:v>
                </c:pt>
                <c:pt idx="490">
                  <c:v>11.916780681960001</c:v>
                </c:pt>
                <c:pt idx="491">
                  <c:v>11.916780681960001</c:v>
                </c:pt>
                <c:pt idx="492">
                  <c:v>11.916780681960001</c:v>
                </c:pt>
                <c:pt idx="493">
                  <c:v>17.30110949721</c:v>
                </c:pt>
                <c:pt idx="494">
                  <c:v>23.686242924959998</c:v>
                </c:pt>
                <c:pt idx="495">
                  <c:v>31.072180965209999</c:v>
                </c:pt>
                <c:pt idx="496">
                  <c:v>39.458923617959996</c:v>
                </c:pt>
                <c:pt idx="497">
                  <c:v>48.846470883209996</c:v>
                </c:pt>
                <c:pt idx="498">
                  <c:v>59.234822760959993</c:v>
                </c:pt>
                <c:pt idx="499">
                  <c:v>70.623979251210002</c:v>
                </c:pt>
                <c:pt idx="500">
                  <c:v>83.013940353959995</c:v>
                </c:pt>
                <c:pt idx="501">
                  <c:v>96.404706069209993</c:v>
                </c:pt>
                <c:pt idx="502">
                  <c:v>115.81586753120997</c:v>
                </c:pt>
                <c:pt idx="503">
                  <c:v>137.00623719320998</c:v>
                </c:pt>
                <c:pt idx="504">
                  <c:v>159.97581505520998</c:v>
                </c:pt>
                <c:pt idx="505">
                  <c:v>159.97581505520998</c:v>
                </c:pt>
                <c:pt idx="506">
                  <c:v>159.97581505520998</c:v>
                </c:pt>
                <c:pt idx="507">
                  <c:v>159.97581505520998</c:v>
                </c:pt>
                <c:pt idx="508">
                  <c:v>159.97581505520998</c:v>
                </c:pt>
                <c:pt idx="509">
                  <c:v>159.97581505520998</c:v>
                </c:pt>
                <c:pt idx="510">
                  <c:v>159.97581505520998</c:v>
                </c:pt>
                <c:pt idx="511">
                  <c:v>159.97581505520998</c:v>
                </c:pt>
                <c:pt idx="512">
                  <c:v>159.97581505520998</c:v>
                </c:pt>
                <c:pt idx="513">
                  <c:v>159.97581505520998</c:v>
                </c:pt>
                <c:pt idx="514">
                  <c:v>159.97581505520998</c:v>
                </c:pt>
                <c:pt idx="515">
                  <c:v>159.97581505520998</c:v>
                </c:pt>
                <c:pt idx="516">
                  <c:v>159.97581505520998</c:v>
                </c:pt>
                <c:pt idx="517">
                  <c:v>159.97581505520998</c:v>
                </c:pt>
                <c:pt idx="518">
                  <c:v>159.97581505520998</c:v>
                </c:pt>
                <c:pt idx="519">
                  <c:v>159.97581505520998</c:v>
                </c:pt>
                <c:pt idx="520">
                  <c:v>159.97581505520998</c:v>
                </c:pt>
                <c:pt idx="521">
                  <c:v>159.97581505520998</c:v>
                </c:pt>
                <c:pt idx="522">
                  <c:v>159.97581505520998</c:v>
                </c:pt>
                <c:pt idx="523">
                  <c:v>159.97581505520998</c:v>
                </c:pt>
                <c:pt idx="524">
                  <c:v>159.97581505520998</c:v>
                </c:pt>
                <c:pt idx="525">
                  <c:v>159.97581505520998</c:v>
                </c:pt>
                <c:pt idx="526">
                  <c:v>159.97581505520998</c:v>
                </c:pt>
                <c:pt idx="527">
                  <c:v>142.58183088995997</c:v>
                </c:pt>
                <c:pt idx="528">
                  <c:v>126.18865133721</c:v>
                </c:pt>
                <c:pt idx="529">
                  <c:v>110.79627639696</c:v>
                </c:pt>
                <c:pt idx="530">
                  <c:v>96.404706069209993</c:v>
                </c:pt>
                <c:pt idx="531">
                  <c:v>83.013940353959995</c:v>
                </c:pt>
                <c:pt idx="532">
                  <c:v>70.623979251210002</c:v>
                </c:pt>
                <c:pt idx="533">
                  <c:v>59.234822760959993</c:v>
                </c:pt>
                <c:pt idx="534">
                  <c:v>48.846470883209996</c:v>
                </c:pt>
                <c:pt idx="535">
                  <c:v>39.458923617959996</c:v>
                </c:pt>
                <c:pt idx="536">
                  <c:v>31.072180965209999</c:v>
                </c:pt>
                <c:pt idx="537">
                  <c:v>31.072180965209999</c:v>
                </c:pt>
                <c:pt idx="538">
                  <c:v>31.072180965209999</c:v>
                </c:pt>
                <c:pt idx="539">
                  <c:v>31.072180965209999</c:v>
                </c:pt>
                <c:pt idx="540">
                  <c:v>31.072180965209999</c:v>
                </c:pt>
                <c:pt idx="541">
                  <c:v>31.072180965209999</c:v>
                </c:pt>
                <c:pt idx="542">
                  <c:v>31.072180965209999</c:v>
                </c:pt>
                <c:pt idx="543">
                  <c:v>31.072180965209999</c:v>
                </c:pt>
                <c:pt idx="544">
                  <c:v>39.458923617959996</c:v>
                </c:pt>
                <c:pt idx="545">
                  <c:v>48.846470883209996</c:v>
                </c:pt>
                <c:pt idx="546">
                  <c:v>59.234822760959993</c:v>
                </c:pt>
                <c:pt idx="547">
                  <c:v>70.623979251210002</c:v>
                </c:pt>
                <c:pt idx="548">
                  <c:v>83.013940353959995</c:v>
                </c:pt>
                <c:pt idx="549">
                  <c:v>96.404706069209993</c:v>
                </c:pt>
                <c:pt idx="550">
                  <c:v>115.81586753120997</c:v>
                </c:pt>
                <c:pt idx="551">
                  <c:v>137.00623719320998</c:v>
                </c:pt>
                <c:pt idx="552">
                  <c:v>159.97581505520998</c:v>
                </c:pt>
                <c:pt idx="553">
                  <c:v>159.97581505520998</c:v>
                </c:pt>
                <c:pt idx="554">
                  <c:v>159.97581505520998</c:v>
                </c:pt>
                <c:pt idx="555">
                  <c:v>159.97581505520998</c:v>
                </c:pt>
                <c:pt idx="556">
                  <c:v>159.97581505520998</c:v>
                </c:pt>
                <c:pt idx="557">
                  <c:v>159.97581505520998</c:v>
                </c:pt>
                <c:pt idx="558">
                  <c:v>159.97581505520998</c:v>
                </c:pt>
                <c:pt idx="559">
                  <c:v>142.58183088995997</c:v>
                </c:pt>
                <c:pt idx="560">
                  <c:v>126.18865133721</c:v>
                </c:pt>
                <c:pt idx="561">
                  <c:v>110.79627639696</c:v>
                </c:pt>
                <c:pt idx="562">
                  <c:v>96.404706069209993</c:v>
                </c:pt>
                <c:pt idx="563">
                  <c:v>83.013940353959995</c:v>
                </c:pt>
                <c:pt idx="564">
                  <c:v>70.623979251210002</c:v>
                </c:pt>
                <c:pt idx="565">
                  <c:v>59.234822760959993</c:v>
                </c:pt>
                <c:pt idx="566">
                  <c:v>48.846470883209996</c:v>
                </c:pt>
                <c:pt idx="567">
                  <c:v>39.458923617959996</c:v>
                </c:pt>
                <c:pt idx="568">
                  <c:v>31.072180965209999</c:v>
                </c:pt>
                <c:pt idx="569">
                  <c:v>23.686242924959998</c:v>
                </c:pt>
                <c:pt idx="570">
                  <c:v>17.30110949721</c:v>
                </c:pt>
                <c:pt idx="571">
                  <c:v>11.916780681960001</c:v>
                </c:pt>
                <c:pt idx="572">
                  <c:v>7.5332564792100003</c:v>
                </c:pt>
                <c:pt idx="573">
                  <c:v>7.5332564792100003</c:v>
                </c:pt>
                <c:pt idx="574">
                  <c:v>7.5332564792100003</c:v>
                </c:pt>
                <c:pt idx="575">
                  <c:v>7.5332564792100003</c:v>
                </c:pt>
                <c:pt idx="576">
                  <c:v>7.5332564792100003</c:v>
                </c:pt>
                <c:pt idx="577">
                  <c:v>7.5332564792100003</c:v>
                </c:pt>
                <c:pt idx="578">
                  <c:v>7.5332564792100003</c:v>
                </c:pt>
                <c:pt idx="579">
                  <c:v>7.5332564792100003</c:v>
                </c:pt>
                <c:pt idx="580">
                  <c:v>7.5332564792100003</c:v>
                </c:pt>
                <c:pt idx="581">
                  <c:v>7.5332564792100003</c:v>
                </c:pt>
                <c:pt idx="582">
                  <c:v>7.5332564792100003</c:v>
                </c:pt>
                <c:pt idx="583">
                  <c:v>7.5332564792100003</c:v>
                </c:pt>
                <c:pt idx="584">
                  <c:v>9.1665696068099987</c:v>
                </c:pt>
                <c:pt idx="585">
                  <c:v>10.960011472409997</c:v>
                </c:pt>
                <c:pt idx="586">
                  <c:v>12.913582076009995</c:v>
                </c:pt>
                <c:pt idx="587">
                  <c:v>15.027281417609995</c:v>
                </c:pt>
                <c:pt idx="588">
                  <c:v>17.301109497209993</c:v>
                </c:pt>
                <c:pt idx="589">
                  <c:v>19.735066314809988</c:v>
                </c:pt>
                <c:pt idx="590">
                  <c:v>22.329151870409991</c:v>
                </c:pt>
                <c:pt idx="591">
                  <c:v>25.083366164009984</c:v>
                </c:pt>
                <c:pt idx="592">
                  <c:v>32.669465126759981</c:v>
                </c:pt>
                <c:pt idx="593">
                  <c:v>41.256368702009979</c:v>
                </c:pt>
                <c:pt idx="594">
                  <c:v>50.844076889759982</c:v>
                </c:pt>
                <c:pt idx="595">
                  <c:v>61.432589690009969</c:v>
                </c:pt>
                <c:pt idx="596">
                  <c:v>73.021907102759968</c:v>
                </c:pt>
                <c:pt idx="597">
                  <c:v>85.612029128009965</c:v>
                </c:pt>
                <c:pt idx="598">
                  <c:v>99.202955765759967</c:v>
                </c:pt>
                <c:pt idx="599">
                  <c:v>113.79468701600996</c:v>
                </c:pt>
                <c:pt idx="600">
                  <c:v>129.38722287875996</c:v>
                </c:pt>
                <c:pt idx="601">
                  <c:v>145.98056335400997</c:v>
                </c:pt>
                <c:pt idx="602">
                  <c:v>159.97581505520998</c:v>
                </c:pt>
                <c:pt idx="603">
                  <c:v>159.97581505520998</c:v>
                </c:pt>
                <c:pt idx="604">
                  <c:v>159.97581505520998</c:v>
                </c:pt>
                <c:pt idx="605">
                  <c:v>159.97581505520998</c:v>
                </c:pt>
                <c:pt idx="606">
                  <c:v>159.97581505520998</c:v>
                </c:pt>
                <c:pt idx="607">
                  <c:v>159.97581505520998</c:v>
                </c:pt>
                <c:pt idx="608">
                  <c:v>139.00064062499999</c:v>
                </c:pt>
                <c:pt idx="609">
                  <c:v>128.10299039999998</c:v>
                </c:pt>
                <c:pt idx="610">
                  <c:v>128.10299039999998</c:v>
                </c:pt>
                <c:pt idx="611">
                  <c:v>139.00064062499999</c:v>
                </c:pt>
                <c:pt idx="612">
                  <c:v>150.34309289999999</c:v>
                </c:pt>
                <c:pt idx="613">
                  <c:v>159.97581505520998</c:v>
                </c:pt>
                <c:pt idx="614">
                  <c:v>159.97581505520998</c:v>
                </c:pt>
                <c:pt idx="615">
                  <c:v>159.97581505520998</c:v>
                </c:pt>
                <c:pt idx="616">
                  <c:v>159.97581505520998</c:v>
                </c:pt>
                <c:pt idx="617">
                  <c:v>159.97581505520998</c:v>
                </c:pt>
                <c:pt idx="618">
                  <c:v>159.97581505520998</c:v>
                </c:pt>
                <c:pt idx="619">
                  <c:v>159.97581505520998</c:v>
                </c:pt>
                <c:pt idx="620">
                  <c:v>159.97581505520998</c:v>
                </c:pt>
                <c:pt idx="621">
                  <c:v>159.97581505520998</c:v>
                </c:pt>
                <c:pt idx="622">
                  <c:v>159.97581505520998</c:v>
                </c:pt>
                <c:pt idx="623">
                  <c:v>159.97581505520998</c:v>
                </c:pt>
                <c:pt idx="624">
                  <c:v>159.97581505520998</c:v>
                </c:pt>
                <c:pt idx="625">
                  <c:v>159.97581505520998</c:v>
                </c:pt>
                <c:pt idx="626">
                  <c:v>159.97581505520998</c:v>
                </c:pt>
                <c:pt idx="627">
                  <c:v>159.97581505520998</c:v>
                </c:pt>
                <c:pt idx="628">
                  <c:v>159.97581505520998</c:v>
                </c:pt>
                <c:pt idx="629">
                  <c:v>159.97581505520998</c:v>
                </c:pt>
                <c:pt idx="630">
                  <c:v>159.97581505520998</c:v>
                </c:pt>
                <c:pt idx="631">
                  <c:v>159.97581505520998</c:v>
                </c:pt>
                <c:pt idx="632">
                  <c:v>159.97581505520998</c:v>
                </c:pt>
                <c:pt idx="633">
                  <c:v>159.97581505520998</c:v>
                </c:pt>
                <c:pt idx="634">
                  <c:v>159.97581505520998</c:v>
                </c:pt>
                <c:pt idx="635">
                  <c:v>159.97581505520998</c:v>
                </c:pt>
                <c:pt idx="636">
                  <c:v>159.97581505520998</c:v>
                </c:pt>
                <c:pt idx="637">
                  <c:v>159.97581505520998</c:v>
                </c:pt>
                <c:pt idx="638">
                  <c:v>159.97581505520998</c:v>
                </c:pt>
                <c:pt idx="639">
                  <c:v>159.97581505520998</c:v>
                </c:pt>
                <c:pt idx="640">
                  <c:v>159.97581505520998</c:v>
                </c:pt>
                <c:pt idx="641">
                  <c:v>159.97581505520998</c:v>
                </c:pt>
                <c:pt idx="642">
                  <c:v>159.97581505520998</c:v>
                </c:pt>
                <c:pt idx="643">
                  <c:v>159.97581505520998</c:v>
                </c:pt>
                <c:pt idx="644">
                  <c:v>159.97581505520998</c:v>
                </c:pt>
                <c:pt idx="645">
                  <c:v>159.97581505520998</c:v>
                </c:pt>
                <c:pt idx="646">
                  <c:v>159.97581505520998</c:v>
                </c:pt>
                <c:pt idx="647">
                  <c:v>159.97581505520998</c:v>
                </c:pt>
                <c:pt idx="648">
                  <c:v>159.97581505520998</c:v>
                </c:pt>
                <c:pt idx="649">
                  <c:v>159.97581505520998</c:v>
                </c:pt>
                <c:pt idx="650">
                  <c:v>159.97581505520998</c:v>
                </c:pt>
                <c:pt idx="651">
                  <c:v>159.97581505520998</c:v>
                </c:pt>
                <c:pt idx="652">
                  <c:v>159.97581505520998</c:v>
                </c:pt>
                <c:pt idx="653">
                  <c:v>159.97581505520998</c:v>
                </c:pt>
                <c:pt idx="654">
                  <c:v>159.97581505520998</c:v>
                </c:pt>
                <c:pt idx="655">
                  <c:v>159.97581505520998</c:v>
                </c:pt>
                <c:pt idx="656">
                  <c:v>159.97581505520998</c:v>
                </c:pt>
                <c:pt idx="657">
                  <c:v>159.97581505520998</c:v>
                </c:pt>
                <c:pt idx="658">
                  <c:v>159.97581505520998</c:v>
                </c:pt>
                <c:pt idx="659">
                  <c:v>159.97581505520998</c:v>
                </c:pt>
                <c:pt idx="660">
                  <c:v>159.97581505520998</c:v>
                </c:pt>
                <c:pt idx="661">
                  <c:v>159.97581505520998</c:v>
                </c:pt>
                <c:pt idx="662">
                  <c:v>159.97581505520998</c:v>
                </c:pt>
                <c:pt idx="663">
                  <c:v>159.97581505520998</c:v>
                </c:pt>
                <c:pt idx="664">
                  <c:v>159.97581505520998</c:v>
                </c:pt>
                <c:pt idx="665">
                  <c:v>159.97581505520998</c:v>
                </c:pt>
                <c:pt idx="666">
                  <c:v>159.97581505520998</c:v>
                </c:pt>
                <c:pt idx="667">
                  <c:v>159.97581505520998</c:v>
                </c:pt>
                <c:pt idx="668">
                  <c:v>159.97581505520998</c:v>
                </c:pt>
                <c:pt idx="669">
                  <c:v>159.97581505520998</c:v>
                </c:pt>
                <c:pt idx="670">
                  <c:v>159.97581505520998</c:v>
                </c:pt>
                <c:pt idx="671">
                  <c:v>159.97581505520998</c:v>
                </c:pt>
                <c:pt idx="672">
                  <c:v>159.97581505520998</c:v>
                </c:pt>
                <c:pt idx="673">
                  <c:v>159.97581505520998</c:v>
                </c:pt>
                <c:pt idx="674">
                  <c:v>159.97581505520998</c:v>
                </c:pt>
                <c:pt idx="675">
                  <c:v>159.97581505520998</c:v>
                </c:pt>
                <c:pt idx="676">
                  <c:v>159.97581505520998</c:v>
                </c:pt>
                <c:pt idx="677">
                  <c:v>159.97581505520998</c:v>
                </c:pt>
                <c:pt idx="678">
                  <c:v>159.97581505520998</c:v>
                </c:pt>
                <c:pt idx="679">
                  <c:v>159.97581505520998</c:v>
                </c:pt>
                <c:pt idx="680">
                  <c:v>159.97581505520998</c:v>
                </c:pt>
                <c:pt idx="681">
                  <c:v>159.97581505520998</c:v>
                </c:pt>
                <c:pt idx="682">
                  <c:v>159.97581505520998</c:v>
                </c:pt>
                <c:pt idx="683">
                  <c:v>159.97581505520998</c:v>
                </c:pt>
                <c:pt idx="684">
                  <c:v>159.97581505520998</c:v>
                </c:pt>
                <c:pt idx="685">
                  <c:v>159.97581505520998</c:v>
                </c:pt>
                <c:pt idx="686">
                  <c:v>159.97581505520998</c:v>
                </c:pt>
                <c:pt idx="687">
                  <c:v>159.97581505520998</c:v>
                </c:pt>
                <c:pt idx="688">
                  <c:v>159.97581505520998</c:v>
                </c:pt>
                <c:pt idx="689">
                  <c:v>159.97581505520998</c:v>
                </c:pt>
                <c:pt idx="690">
                  <c:v>148.26862509921</c:v>
                </c:pt>
                <c:pt idx="691">
                  <c:v>137.00623719320998</c:v>
                </c:pt>
                <c:pt idx="692">
                  <c:v>126.18865133721</c:v>
                </c:pt>
                <c:pt idx="693">
                  <c:v>115.81586753120997</c:v>
                </c:pt>
                <c:pt idx="694">
                  <c:v>105.88788577520999</c:v>
                </c:pt>
                <c:pt idx="695">
                  <c:v>96.404706069209993</c:v>
                </c:pt>
                <c:pt idx="696">
                  <c:v>87.366328413209985</c:v>
                </c:pt>
                <c:pt idx="697">
                  <c:v>78.772752807209997</c:v>
                </c:pt>
                <c:pt idx="698">
                  <c:v>70.623979251210002</c:v>
                </c:pt>
                <c:pt idx="699">
                  <c:v>62.920007745209993</c:v>
                </c:pt>
                <c:pt idx="700">
                  <c:v>55.660838289209991</c:v>
                </c:pt>
                <c:pt idx="701">
                  <c:v>48.846470883209996</c:v>
                </c:pt>
                <c:pt idx="702">
                  <c:v>42.476905527209993</c:v>
                </c:pt>
                <c:pt idx="703">
                  <c:v>36.552142221209998</c:v>
                </c:pt>
                <c:pt idx="704">
                  <c:v>31.072180965209999</c:v>
                </c:pt>
                <c:pt idx="705">
                  <c:v>26.037021759209999</c:v>
                </c:pt>
                <c:pt idx="706">
                  <c:v>21.446664603209999</c:v>
                </c:pt>
                <c:pt idx="707">
                  <c:v>17.30110949721</c:v>
                </c:pt>
                <c:pt idx="708">
                  <c:v>13.60035644121</c:v>
                </c:pt>
                <c:pt idx="709">
                  <c:v>10.34440543521</c:v>
                </c:pt>
                <c:pt idx="710">
                  <c:v>7.5332564792100003</c:v>
                </c:pt>
                <c:pt idx="711">
                  <c:v>5.1669095732099999</c:v>
                </c:pt>
                <c:pt idx="712">
                  <c:v>5.1669095732099999</c:v>
                </c:pt>
                <c:pt idx="713">
                  <c:v>5.1669095732099999</c:v>
                </c:pt>
                <c:pt idx="714">
                  <c:v>5.1669095732099999</c:v>
                </c:pt>
                <c:pt idx="715">
                  <c:v>5.1669095732099999</c:v>
                </c:pt>
                <c:pt idx="716">
                  <c:v>5.1669095732099999</c:v>
                </c:pt>
                <c:pt idx="717">
                  <c:v>5.1669095732099999</c:v>
                </c:pt>
                <c:pt idx="718">
                  <c:v>5.1669095732099999</c:v>
                </c:pt>
                <c:pt idx="719">
                  <c:v>5.1669095732099999</c:v>
                </c:pt>
                <c:pt idx="720">
                  <c:v>5.1669095732099999</c:v>
                </c:pt>
                <c:pt idx="721">
                  <c:v>5.1669095732099999</c:v>
                </c:pt>
                <c:pt idx="722">
                  <c:v>5.1669095732099999</c:v>
                </c:pt>
                <c:pt idx="723">
                  <c:v>6.5333414708099991</c:v>
                </c:pt>
                <c:pt idx="724">
                  <c:v>8.0599021064099983</c:v>
                </c:pt>
                <c:pt idx="725">
                  <c:v>9.7465914800099966</c:v>
                </c:pt>
                <c:pt idx="726">
                  <c:v>11.593409591609996</c:v>
                </c:pt>
                <c:pt idx="727">
                  <c:v>13.600356441209994</c:v>
                </c:pt>
                <c:pt idx="728">
                  <c:v>15.767432028809992</c:v>
                </c:pt>
                <c:pt idx="729">
                  <c:v>18.094636354409989</c:v>
                </c:pt>
                <c:pt idx="730">
                  <c:v>20.581969418009987</c:v>
                </c:pt>
                <c:pt idx="731">
                  <c:v>23.229431219609982</c:v>
                </c:pt>
                <c:pt idx="732">
                  <c:v>26.037021759209981</c:v>
                </c:pt>
                <c:pt idx="733">
                  <c:v>29.004741036809978</c:v>
                </c:pt>
                <c:pt idx="734">
                  <c:v>32.132589052409976</c:v>
                </c:pt>
                <c:pt idx="735">
                  <c:v>40.652772320159968</c:v>
                </c:pt>
                <c:pt idx="736">
                  <c:v>50.173760200409973</c:v>
                </c:pt>
                <c:pt idx="737">
                  <c:v>60.695552693159961</c:v>
                </c:pt>
                <c:pt idx="738">
                  <c:v>72.218149798409968</c:v>
                </c:pt>
                <c:pt idx="739">
                  <c:v>84.741551516159959</c:v>
                </c:pt>
                <c:pt idx="740">
                  <c:v>98.265757846409954</c:v>
                </c:pt>
                <c:pt idx="741">
                  <c:v>112.79076878915994</c:v>
                </c:pt>
                <c:pt idx="742">
                  <c:v>133.71425722115995</c:v>
                </c:pt>
                <c:pt idx="743">
                  <c:v>156.41695385315995</c:v>
                </c:pt>
                <c:pt idx="744">
                  <c:v>159.97581505520998</c:v>
                </c:pt>
                <c:pt idx="745">
                  <c:v>159.97581505520998</c:v>
                </c:pt>
                <c:pt idx="746">
                  <c:v>159.97581505520998</c:v>
                </c:pt>
                <c:pt idx="747">
                  <c:v>159.97581505520998</c:v>
                </c:pt>
                <c:pt idx="748">
                  <c:v>159.97581505520998</c:v>
                </c:pt>
                <c:pt idx="749">
                  <c:v>159.97581505520998</c:v>
                </c:pt>
                <c:pt idx="750">
                  <c:v>159.97581505520998</c:v>
                </c:pt>
                <c:pt idx="751">
                  <c:v>159.97581505520998</c:v>
                </c:pt>
                <c:pt idx="752">
                  <c:v>159.97581505520998</c:v>
                </c:pt>
                <c:pt idx="753">
                  <c:v>159.97581505520998</c:v>
                </c:pt>
                <c:pt idx="754">
                  <c:v>159.97581505520998</c:v>
                </c:pt>
                <c:pt idx="755">
                  <c:v>148.26862509921</c:v>
                </c:pt>
                <c:pt idx="756">
                  <c:v>137.00623719320998</c:v>
                </c:pt>
                <c:pt idx="757">
                  <c:v>126.18865133721</c:v>
                </c:pt>
                <c:pt idx="758">
                  <c:v>115.81586753120997</c:v>
                </c:pt>
                <c:pt idx="759">
                  <c:v>105.88788577520999</c:v>
                </c:pt>
                <c:pt idx="760">
                  <c:v>96.404706069209993</c:v>
                </c:pt>
                <c:pt idx="761">
                  <c:v>87.366328413209985</c:v>
                </c:pt>
                <c:pt idx="762">
                  <c:v>78.772752807209997</c:v>
                </c:pt>
                <c:pt idx="763">
                  <c:v>70.623979251210002</c:v>
                </c:pt>
                <c:pt idx="764">
                  <c:v>62.920007745209993</c:v>
                </c:pt>
                <c:pt idx="765">
                  <c:v>55.660838289209991</c:v>
                </c:pt>
                <c:pt idx="766">
                  <c:v>48.846470883209996</c:v>
                </c:pt>
                <c:pt idx="767">
                  <c:v>42.476905527209993</c:v>
                </c:pt>
                <c:pt idx="768">
                  <c:v>36.552142221209998</c:v>
                </c:pt>
                <c:pt idx="769">
                  <c:v>31.072180965209999</c:v>
                </c:pt>
                <c:pt idx="770">
                  <c:v>26.037021759209999</c:v>
                </c:pt>
                <c:pt idx="771">
                  <c:v>21.446664603209999</c:v>
                </c:pt>
                <c:pt idx="772">
                  <c:v>17.30110949721</c:v>
                </c:pt>
                <c:pt idx="773">
                  <c:v>17.30110949721</c:v>
                </c:pt>
                <c:pt idx="774">
                  <c:v>17.30110949721</c:v>
                </c:pt>
                <c:pt idx="775">
                  <c:v>17.30110949721</c:v>
                </c:pt>
                <c:pt idx="776">
                  <c:v>17.30110949721</c:v>
                </c:pt>
                <c:pt idx="777">
                  <c:v>17.30110949721</c:v>
                </c:pt>
                <c:pt idx="778">
                  <c:v>17.30110949721</c:v>
                </c:pt>
                <c:pt idx="779">
                  <c:v>17.30110949721</c:v>
                </c:pt>
                <c:pt idx="780">
                  <c:v>17.30110949721</c:v>
                </c:pt>
                <c:pt idx="781">
                  <c:v>17.30110949721</c:v>
                </c:pt>
                <c:pt idx="782">
                  <c:v>17.30110949721</c:v>
                </c:pt>
                <c:pt idx="783">
                  <c:v>19.735066314809998</c:v>
                </c:pt>
                <c:pt idx="784">
                  <c:v>22.329151870409994</c:v>
                </c:pt>
                <c:pt idx="785">
                  <c:v>25.083366164009991</c:v>
                </c:pt>
                <c:pt idx="786">
                  <c:v>27.997709195609993</c:v>
                </c:pt>
                <c:pt idx="787">
                  <c:v>31.072180965209991</c:v>
                </c:pt>
                <c:pt idx="788">
                  <c:v>40.053623958809986</c:v>
                </c:pt>
                <c:pt idx="789">
                  <c:v>50.17376020040998</c:v>
                </c:pt>
                <c:pt idx="790">
                  <c:v>61.432589690009969</c:v>
                </c:pt>
                <c:pt idx="791">
                  <c:v>73.83011242760999</c:v>
                </c:pt>
                <c:pt idx="792">
                  <c:v>87.366328413209985</c:v>
                </c:pt>
                <c:pt idx="793">
                  <c:v>102.04123764681002</c:v>
                </c:pt>
                <c:pt idx="794">
                  <c:v>117.85484012841003</c:v>
                </c:pt>
                <c:pt idx="795">
                  <c:v>134.80713585801004</c:v>
                </c:pt>
                <c:pt idx="796">
                  <c:v>152.89812483561005</c:v>
                </c:pt>
                <c:pt idx="797">
                  <c:v>159.97581505520998</c:v>
                </c:pt>
                <c:pt idx="798">
                  <c:v>159.97581505520998</c:v>
                </c:pt>
                <c:pt idx="799">
                  <c:v>159.97581505520998</c:v>
                </c:pt>
                <c:pt idx="800">
                  <c:v>159.97581505520998</c:v>
                </c:pt>
                <c:pt idx="801">
                  <c:v>159.97581505520998</c:v>
                </c:pt>
                <c:pt idx="802">
                  <c:v>159.97581505520998</c:v>
                </c:pt>
                <c:pt idx="803">
                  <c:v>159.97581505520998</c:v>
                </c:pt>
                <c:pt idx="804">
                  <c:v>159.97581505520998</c:v>
                </c:pt>
                <c:pt idx="805">
                  <c:v>159.97581505520998</c:v>
                </c:pt>
                <c:pt idx="806">
                  <c:v>159.97581505520998</c:v>
                </c:pt>
                <c:pt idx="807">
                  <c:v>159.97581505520998</c:v>
                </c:pt>
                <c:pt idx="808">
                  <c:v>159.97581505520998</c:v>
                </c:pt>
                <c:pt idx="809">
                  <c:v>159.97581505520998</c:v>
                </c:pt>
                <c:pt idx="810">
                  <c:v>159.97581505520998</c:v>
                </c:pt>
                <c:pt idx="811">
                  <c:v>159.97581505520998</c:v>
                </c:pt>
                <c:pt idx="812">
                  <c:v>159.97581505520998</c:v>
                </c:pt>
                <c:pt idx="813">
                  <c:v>159.97581505520998</c:v>
                </c:pt>
                <c:pt idx="814">
                  <c:v>159.97581505520998</c:v>
                </c:pt>
                <c:pt idx="815">
                  <c:v>159.97581505520998</c:v>
                </c:pt>
                <c:pt idx="816">
                  <c:v>159.97581505520998</c:v>
                </c:pt>
                <c:pt idx="817">
                  <c:v>159.97581505520998</c:v>
                </c:pt>
                <c:pt idx="818">
                  <c:v>159.97581505520998</c:v>
                </c:pt>
                <c:pt idx="819">
                  <c:v>159.97581505520998</c:v>
                </c:pt>
                <c:pt idx="820">
                  <c:v>159.97581505520998</c:v>
                </c:pt>
                <c:pt idx="821">
                  <c:v>148.26862509921</c:v>
                </c:pt>
                <c:pt idx="822">
                  <c:v>137.00623719320998</c:v>
                </c:pt>
                <c:pt idx="823">
                  <c:v>126.18865133721</c:v>
                </c:pt>
                <c:pt idx="824">
                  <c:v>115.81586753120997</c:v>
                </c:pt>
                <c:pt idx="825">
                  <c:v>105.88788577520999</c:v>
                </c:pt>
                <c:pt idx="826">
                  <c:v>96.404706069209993</c:v>
                </c:pt>
                <c:pt idx="827">
                  <c:v>87.366328413209985</c:v>
                </c:pt>
                <c:pt idx="828">
                  <c:v>78.772752807209997</c:v>
                </c:pt>
                <c:pt idx="829">
                  <c:v>70.623979251210002</c:v>
                </c:pt>
                <c:pt idx="830">
                  <c:v>62.920007745209993</c:v>
                </c:pt>
                <c:pt idx="831">
                  <c:v>55.660838289209991</c:v>
                </c:pt>
                <c:pt idx="832">
                  <c:v>48.846470883209996</c:v>
                </c:pt>
                <c:pt idx="833">
                  <c:v>42.476905527209993</c:v>
                </c:pt>
                <c:pt idx="834">
                  <c:v>36.552142221209998</c:v>
                </c:pt>
                <c:pt idx="835">
                  <c:v>31.072180965209999</c:v>
                </c:pt>
                <c:pt idx="836">
                  <c:v>26.037021759209999</c:v>
                </c:pt>
                <c:pt idx="837">
                  <c:v>26.037021759209999</c:v>
                </c:pt>
                <c:pt idx="838">
                  <c:v>26.037021759209999</c:v>
                </c:pt>
                <c:pt idx="839">
                  <c:v>26.037021759209999</c:v>
                </c:pt>
                <c:pt idx="840">
                  <c:v>26.037021759209999</c:v>
                </c:pt>
                <c:pt idx="841">
                  <c:v>26.037021759209999</c:v>
                </c:pt>
                <c:pt idx="842">
                  <c:v>26.037021759209999</c:v>
                </c:pt>
                <c:pt idx="843">
                  <c:v>26.037021759209999</c:v>
                </c:pt>
                <c:pt idx="844">
                  <c:v>26.037021759209999</c:v>
                </c:pt>
                <c:pt idx="845">
                  <c:v>26.037021759209999</c:v>
                </c:pt>
                <c:pt idx="846">
                  <c:v>26.037021759209999</c:v>
                </c:pt>
                <c:pt idx="847">
                  <c:v>26.037021759209999</c:v>
                </c:pt>
                <c:pt idx="848">
                  <c:v>26.037021759209999</c:v>
                </c:pt>
                <c:pt idx="849">
                  <c:v>26.037021759209999</c:v>
                </c:pt>
                <c:pt idx="850">
                  <c:v>26.037021759209999</c:v>
                </c:pt>
                <c:pt idx="851">
                  <c:v>26.037021759209999</c:v>
                </c:pt>
                <c:pt idx="852">
                  <c:v>26.037021759209999</c:v>
                </c:pt>
                <c:pt idx="853">
                  <c:v>26.037021759209999</c:v>
                </c:pt>
                <c:pt idx="854">
                  <c:v>26.037021759209999</c:v>
                </c:pt>
                <c:pt idx="855">
                  <c:v>26.037021759209999</c:v>
                </c:pt>
                <c:pt idx="856">
                  <c:v>26.037021759209999</c:v>
                </c:pt>
                <c:pt idx="857">
                  <c:v>26.037021759209999</c:v>
                </c:pt>
                <c:pt idx="858">
                  <c:v>29.00474103681</c:v>
                </c:pt>
                <c:pt idx="859">
                  <c:v>32.132589052409998</c:v>
                </c:pt>
                <c:pt idx="860">
                  <c:v>35.420565806009989</c:v>
                </c:pt>
                <c:pt idx="861">
                  <c:v>38.868671297609986</c:v>
                </c:pt>
                <c:pt idx="862">
                  <c:v>42.476905527209986</c:v>
                </c:pt>
                <c:pt idx="863">
                  <c:v>46.245268494809977</c:v>
                </c:pt>
                <c:pt idx="864">
                  <c:v>50.17376020040998</c:v>
                </c:pt>
                <c:pt idx="865">
                  <c:v>54.262380644009973</c:v>
                </c:pt>
                <c:pt idx="866">
                  <c:v>58.511129825609991</c:v>
                </c:pt>
                <c:pt idx="867">
                  <c:v>62.920007745209993</c:v>
                </c:pt>
                <c:pt idx="868">
                  <c:v>67.489014402810014</c:v>
                </c:pt>
                <c:pt idx="869">
                  <c:v>72.21814979841001</c:v>
                </c:pt>
                <c:pt idx="870">
                  <c:v>77.107413932010033</c:v>
                </c:pt>
                <c:pt idx="871">
                  <c:v>82.156806803610053</c:v>
                </c:pt>
                <c:pt idx="872">
                  <c:v>87.366328413210056</c:v>
                </c:pt>
                <c:pt idx="873">
                  <c:v>92.73597876081007</c:v>
                </c:pt>
                <c:pt idx="874">
                  <c:v>92.735978760809999</c:v>
                </c:pt>
                <c:pt idx="875">
                  <c:v>92.735978760809999</c:v>
                </c:pt>
                <c:pt idx="876">
                  <c:v>92.735978760809999</c:v>
                </c:pt>
                <c:pt idx="877">
                  <c:v>92.735978760809999</c:v>
                </c:pt>
                <c:pt idx="878">
                  <c:v>92.735978760809999</c:v>
                </c:pt>
                <c:pt idx="879">
                  <c:v>92.735978760809999</c:v>
                </c:pt>
                <c:pt idx="880">
                  <c:v>92.735978760809999</c:v>
                </c:pt>
                <c:pt idx="881">
                  <c:v>92.735978760809999</c:v>
                </c:pt>
                <c:pt idx="882">
                  <c:v>92.735978760809999</c:v>
                </c:pt>
                <c:pt idx="883">
                  <c:v>92.735978760809999</c:v>
                </c:pt>
                <c:pt idx="884">
                  <c:v>92.735978760809999</c:v>
                </c:pt>
                <c:pt idx="885">
                  <c:v>92.735978760809999</c:v>
                </c:pt>
                <c:pt idx="886">
                  <c:v>92.735978760809999</c:v>
                </c:pt>
                <c:pt idx="887">
                  <c:v>92.735978760809999</c:v>
                </c:pt>
                <c:pt idx="888">
                  <c:v>92.735978760809999</c:v>
                </c:pt>
                <c:pt idx="889">
                  <c:v>92.735978760809999</c:v>
                </c:pt>
                <c:pt idx="890">
                  <c:v>92.735978760809999</c:v>
                </c:pt>
                <c:pt idx="891">
                  <c:v>92.735978760809999</c:v>
                </c:pt>
                <c:pt idx="892">
                  <c:v>92.735978760809999</c:v>
                </c:pt>
                <c:pt idx="893">
                  <c:v>92.735978760809999</c:v>
                </c:pt>
                <c:pt idx="894">
                  <c:v>92.735978760809999</c:v>
                </c:pt>
                <c:pt idx="895">
                  <c:v>92.735978760809999</c:v>
                </c:pt>
                <c:pt idx="896">
                  <c:v>92.735978760809999</c:v>
                </c:pt>
                <c:pt idx="897">
                  <c:v>92.735978760809999</c:v>
                </c:pt>
                <c:pt idx="898">
                  <c:v>92.735978760809999</c:v>
                </c:pt>
                <c:pt idx="899">
                  <c:v>92.735978760809999</c:v>
                </c:pt>
                <c:pt idx="900">
                  <c:v>92.735978760809999</c:v>
                </c:pt>
                <c:pt idx="901">
                  <c:v>92.735978760809999</c:v>
                </c:pt>
                <c:pt idx="902">
                  <c:v>92.735978760809999</c:v>
                </c:pt>
                <c:pt idx="903">
                  <c:v>92.735978760809999</c:v>
                </c:pt>
                <c:pt idx="904">
                  <c:v>92.735978760809999</c:v>
                </c:pt>
                <c:pt idx="905">
                  <c:v>92.735978760809999</c:v>
                </c:pt>
                <c:pt idx="906">
                  <c:v>92.735978760809999</c:v>
                </c:pt>
                <c:pt idx="907">
                  <c:v>92.735978760809999</c:v>
                </c:pt>
                <c:pt idx="908">
                  <c:v>92.735978760809999</c:v>
                </c:pt>
                <c:pt idx="909">
                  <c:v>92.735978760809999</c:v>
                </c:pt>
                <c:pt idx="910">
                  <c:v>92.735978760809999</c:v>
                </c:pt>
                <c:pt idx="911">
                  <c:v>92.735978760809999</c:v>
                </c:pt>
                <c:pt idx="912">
                  <c:v>92.735978760809999</c:v>
                </c:pt>
                <c:pt idx="913">
                  <c:v>92.735978760809999</c:v>
                </c:pt>
                <c:pt idx="914">
                  <c:v>92.735978760809999</c:v>
                </c:pt>
                <c:pt idx="915">
                  <c:v>92.735978760809999</c:v>
                </c:pt>
                <c:pt idx="916">
                  <c:v>92.735978760809999</c:v>
                </c:pt>
                <c:pt idx="917">
                  <c:v>92.735978760809999</c:v>
                </c:pt>
                <c:pt idx="918">
                  <c:v>92.735978760809999</c:v>
                </c:pt>
                <c:pt idx="919">
                  <c:v>92.735978760809999</c:v>
                </c:pt>
                <c:pt idx="920">
                  <c:v>92.735978760809999</c:v>
                </c:pt>
                <c:pt idx="921">
                  <c:v>92.735978760809999</c:v>
                </c:pt>
                <c:pt idx="922">
                  <c:v>92.735978760809999</c:v>
                </c:pt>
                <c:pt idx="923">
                  <c:v>92.735978760809999</c:v>
                </c:pt>
                <c:pt idx="924">
                  <c:v>92.735978760809999</c:v>
                </c:pt>
                <c:pt idx="925">
                  <c:v>92.735978760809999</c:v>
                </c:pt>
                <c:pt idx="926">
                  <c:v>92.735978760809999</c:v>
                </c:pt>
                <c:pt idx="927">
                  <c:v>92.735978760809999</c:v>
                </c:pt>
                <c:pt idx="928">
                  <c:v>92.735978760809999</c:v>
                </c:pt>
                <c:pt idx="929">
                  <c:v>92.735978760809999</c:v>
                </c:pt>
                <c:pt idx="930">
                  <c:v>92.735978760809999</c:v>
                </c:pt>
                <c:pt idx="931">
                  <c:v>92.735978760809999</c:v>
                </c:pt>
                <c:pt idx="932">
                  <c:v>92.735978760809999</c:v>
                </c:pt>
                <c:pt idx="933">
                  <c:v>92.735978760809999</c:v>
                </c:pt>
                <c:pt idx="934">
                  <c:v>92.735978760809999</c:v>
                </c:pt>
                <c:pt idx="935">
                  <c:v>102.04123764681002</c:v>
                </c:pt>
                <c:pt idx="936">
                  <c:v>111.79129858281</c:v>
                </c:pt>
                <c:pt idx="937">
                  <c:v>121.98616156881</c:v>
                </c:pt>
                <c:pt idx="938">
                  <c:v>132.62582660481002</c:v>
                </c:pt>
                <c:pt idx="939">
                  <c:v>143.71029369081</c:v>
                </c:pt>
                <c:pt idx="940">
                  <c:v>155.23956282681002</c:v>
                </c:pt>
                <c:pt idx="941">
                  <c:v>159.97581505520998</c:v>
                </c:pt>
                <c:pt idx="942">
                  <c:v>159.97581505520998</c:v>
                </c:pt>
                <c:pt idx="943">
                  <c:v>159.97581505520998</c:v>
                </c:pt>
                <c:pt idx="944">
                  <c:v>159.97581505520998</c:v>
                </c:pt>
                <c:pt idx="945">
                  <c:v>159.97581505520998</c:v>
                </c:pt>
                <c:pt idx="946">
                  <c:v>159.97581505520998</c:v>
                </c:pt>
                <c:pt idx="947">
                  <c:v>159.97581505520998</c:v>
                </c:pt>
                <c:pt idx="948">
                  <c:v>159.97581505520998</c:v>
                </c:pt>
                <c:pt idx="949">
                  <c:v>159.97581505520998</c:v>
                </c:pt>
                <c:pt idx="950">
                  <c:v>159.97581505520998</c:v>
                </c:pt>
                <c:pt idx="951">
                  <c:v>159.97581505520998</c:v>
                </c:pt>
                <c:pt idx="952">
                  <c:v>159.97581505520998</c:v>
                </c:pt>
                <c:pt idx="953">
                  <c:v>159.97581505520998</c:v>
                </c:pt>
                <c:pt idx="954">
                  <c:v>159.97581505520998</c:v>
                </c:pt>
                <c:pt idx="955">
                  <c:v>159.97581505520998</c:v>
                </c:pt>
                <c:pt idx="956">
                  <c:v>159.97581505520998</c:v>
                </c:pt>
                <c:pt idx="957">
                  <c:v>159.97581505520998</c:v>
                </c:pt>
                <c:pt idx="958">
                  <c:v>159.97581505520998</c:v>
                </c:pt>
                <c:pt idx="959">
                  <c:v>159.97581505520998</c:v>
                </c:pt>
                <c:pt idx="960">
                  <c:v>159.97581505520998</c:v>
                </c:pt>
                <c:pt idx="961">
                  <c:v>159.97581505520998</c:v>
                </c:pt>
                <c:pt idx="962">
                  <c:v>159.97581505520998</c:v>
                </c:pt>
                <c:pt idx="963">
                  <c:v>159.97581505520998</c:v>
                </c:pt>
                <c:pt idx="964">
                  <c:v>159.97581505520998</c:v>
                </c:pt>
                <c:pt idx="965">
                  <c:v>159.97581505520998</c:v>
                </c:pt>
                <c:pt idx="966">
                  <c:v>159.97581505520998</c:v>
                </c:pt>
                <c:pt idx="967">
                  <c:v>159.97581505520998</c:v>
                </c:pt>
                <c:pt idx="968">
                  <c:v>159.97581505520998</c:v>
                </c:pt>
                <c:pt idx="969">
                  <c:v>159.97581505520998</c:v>
                </c:pt>
                <c:pt idx="970">
                  <c:v>142.58183088995997</c:v>
                </c:pt>
                <c:pt idx="971">
                  <c:v>126.18865133721</c:v>
                </c:pt>
                <c:pt idx="972">
                  <c:v>110.79627639696</c:v>
                </c:pt>
                <c:pt idx="973">
                  <c:v>96.404706069209993</c:v>
                </c:pt>
                <c:pt idx="974">
                  <c:v>83.013940353959995</c:v>
                </c:pt>
                <c:pt idx="975">
                  <c:v>70.623979251210002</c:v>
                </c:pt>
                <c:pt idx="976">
                  <c:v>59.234822760959993</c:v>
                </c:pt>
                <c:pt idx="977">
                  <c:v>48.846470883209996</c:v>
                </c:pt>
                <c:pt idx="978">
                  <c:v>39.458923617959996</c:v>
                </c:pt>
                <c:pt idx="979">
                  <c:v>31.072180965209999</c:v>
                </c:pt>
                <c:pt idx="980">
                  <c:v>31.072180965209999</c:v>
                </c:pt>
                <c:pt idx="981">
                  <c:v>31.072180965209999</c:v>
                </c:pt>
                <c:pt idx="982">
                  <c:v>31.072180965209999</c:v>
                </c:pt>
                <c:pt idx="983">
                  <c:v>31.072180965209999</c:v>
                </c:pt>
                <c:pt idx="984">
                  <c:v>31.072180965209999</c:v>
                </c:pt>
                <c:pt idx="985">
                  <c:v>31.072180965209999</c:v>
                </c:pt>
                <c:pt idx="986">
                  <c:v>31.072180965209999</c:v>
                </c:pt>
                <c:pt idx="987">
                  <c:v>31.072180965209999</c:v>
                </c:pt>
                <c:pt idx="988">
                  <c:v>31.072180965209999</c:v>
                </c:pt>
                <c:pt idx="989">
                  <c:v>31.072180965209999</c:v>
                </c:pt>
                <c:pt idx="990">
                  <c:v>31.072180965209999</c:v>
                </c:pt>
                <c:pt idx="991">
                  <c:v>31.072180965209999</c:v>
                </c:pt>
                <c:pt idx="992">
                  <c:v>39.458923617959996</c:v>
                </c:pt>
                <c:pt idx="993">
                  <c:v>48.846470883209996</c:v>
                </c:pt>
                <c:pt idx="994">
                  <c:v>59.234822760959993</c:v>
                </c:pt>
                <c:pt idx="995">
                  <c:v>70.623979251210002</c:v>
                </c:pt>
                <c:pt idx="996">
                  <c:v>83.013940353959995</c:v>
                </c:pt>
                <c:pt idx="997">
                  <c:v>96.404706069209993</c:v>
                </c:pt>
                <c:pt idx="998">
                  <c:v>110.79627639696</c:v>
                </c:pt>
                <c:pt idx="999">
                  <c:v>126.18865133721</c:v>
                </c:pt>
                <c:pt idx="1000">
                  <c:v>142.58183088995997</c:v>
                </c:pt>
                <c:pt idx="1001">
                  <c:v>126.18865133721</c:v>
                </c:pt>
                <c:pt idx="1002">
                  <c:v>110.79627639696</c:v>
                </c:pt>
                <c:pt idx="1003">
                  <c:v>96.404706069209993</c:v>
                </c:pt>
                <c:pt idx="1004">
                  <c:v>83.013940353959995</c:v>
                </c:pt>
                <c:pt idx="1005">
                  <c:v>70.623979251210002</c:v>
                </c:pt>
                <c:pt idx="1006">
                  <c:v>59.234822760959993</c:v>
                </c:pt>
                <c:pt idx="1007">
                  <c:v>48.846470883209996</c:v>
                </c:pt>
                <c:pt idx="1008">
                  <c:v>39.458923617959996</c:v>
                </c:pt>
                <c:pt idx="1009">
                  <c:v>31.072180965209999</c:v>
                </c:pt>
                <c:pt idx="1010">
                  <c:v>23.686242924959998</c:v>
                </c:pt>
                <c:pt idx="1011">
                  <c:v>17.30110949721</c:v>
                </c:pt>
                <c:pt idx="1012">
                  <c:v>11.916780681960001</c:v>
                </c:pt>
                <c:pt idx="1013">
                  <c:v>7.5332564792100003</c:v>
                </c:pt>
                <c:pt idx="1014">
                  <c:v>7.5332564792100003</c:v>
                </c:pt>
                <c:pt idx="1015">
                  <c:v>7.5332564792100003</c:v>
                </c:pt>
                <c:pt idx="1016">
                  <c:v>7.5332564792100003</c:v>
                </c:pt>
                <c:pt idx="1017">
                  <c:v>7.5332564792100003</c:v>
                </c:pt>
                <c:pt idx="1018">
                  <c:v>7.5332564792100003</c:v>
                </c:pt>
                <c:pt idx="1019">
                  <c:v>7.5332564792100003</c:v>
                </c:pt>
                <c:pt idx="1020">
                  <c:v>11.916780681960001</c:v>
                </c:pt>
                <c:pt idx="1021">
                  <c:v>17.30110949721</c:v>
                </c:pt>
                <c:pt idx="1022">
                  <c:v>23.686242924959998</c:v>
                </c:pt>
                <c:pt idx="1023">
                  <c:v>31.072180965209999</c:v>
                </c:pt>
                <c:pt idx="1024">
                  <c:v>39.458923617959996</c:v>
                </c:pt>
                <c:pt idx="1025">
                  <c:v>48.846470883209996</c:v>
                </c:pt>
                <c:pt idx="1026">
                  <c:v>59.234822760959993</c:v>
                </c:pt>
                <c:pt idx="1027">
                  <c:v>70.623979251210002</c:v>
                </c:pt>
                <c:pt idx="1028">
                  <c:v>83.013940353959995</c:v>
                </c:pt>
                <c:pt idx="1029">
                  <c:v>96.404706069209993</c:v>
                </c:pt>
                <c:pt idx="1030">
                  <c:v>110.79627639696</c:v>
                </c:pt>
                <c:pt idx="1031">
                  <c:v>126.18865133721</c:v>
                </c:pt>
                <c:pt idx="1032">
                  <c:v>142.58183088995997</c:v>
                </c:pt>
                <c:pt idx="1033">
                  <c:v>159.97581505520998</c:v>
                </c:pt>
                <c:pt idx="1034">
                  <c:v>159.97581505520998</c:v>
                </c:pt>
                <c:pt idx="1035">
                  <c:v>159.97581505520998</c:v>
                </c:pt>
                <c:pt idx="1036">
                  <c:v>159.97581505520998</c:v>
                </c:pt>
                <c:pt idx="1037">
                  <c:v>142.58183088995997</c:v>
                </c:pt>
                <c:pt idx="1038">
                  <c:v>126.18865133721</c:v>
                </c:pt>
                <c:pt idx="1039">
                  <c:v>110.79627639696</c:v>
                </c:pt>
                <c:pt idx="1040">
                  <c:v>96.404706069209993</c:v>
                </c:pt>
                <c:pt idx="1041">
                  <c:v>83.013940353959995</c:v>
                </c:pt>
                <c:pt idx="1042">
                  <c:v>70.623979251210002</c:v>
                </c:pt>
                <c:pt idx="1043">
                  <c:v>59.234822760959993</c:v>
                </c:pt>
                <c:pt idx="1044">
                  <c:v>48.846470883209996</c:v>
                </c:pt>
                <c:pt idx="1045">
                  <c:v>39.458923617959996</c:v>
                </c:pt>
                <c:pt idx="1046">
                  <c:v>31.072180965209999</c:v>
                </c:pt>
                <c:pt idx="1047">
                  <c:v>23.686242924959998</c:v>
                </c:pt>
                <c:pt idx="1048">
                  <c:v>17.30110949721</c:v>
                </c:pt>
                <c:pt idx="1049">
                  <c:v>11.916780681960001</c:v>
                </c:pt>
                <c:pt idx="1050">
                  <c:v>7.5332564792100003</c:v>
                </c:pt>
                <c:pt idx="1051">
                  <c:v>7.5332564792100003</c:v>
                </c:pt>
                <c:pt idx="1052">
                  <c:v>7.5332564792100003</c:v>
                </c:pt>
                <c:pt idx="1053">
                  <c:v>7.5332564792100003</c:v>
                </c:pt>
                <c:pt idx="1054">
                  <c:v>7.5332564792100003</c:v>
                </c:pt>
                <c:pt idx="1055">
                  <c:v>7.5332564792100003</c:v>
                </c:pt>
                <c:pt idx="1056">
                  <c:v>7.5332564792100003</c:v>
                </c:pt>
                <c:pt idx="1057">
                  <c:v>7.5332564792100003</c:v>
                </c:pt>
                <c:pt idx="1058">
                  <c:v>7.5332564792100003</c:v>
                </c:pt>
                <c:pt idx="1059">
                  <c:v>12.244599792809998</c:v>
                </c:pt>
                <c:pt idx="1060">
                  <c:v>18.094636354409996</c:v>
                </c:pt>
                <c:pt idx="1061">
                  <c:v>25.083366164009991</c:v>
                </c:pt>
                <c:pt idx="1062">
                  <c:v>33.210789221609986</c:v>
                </c:pt>
                <c:pt idx="1063">
                  <c:v>42.476905527209986</c:v>
                </c:pt>
                <c:pt idx="1064">
                  <c:v>52.881715080809983</c:v>
                </c:pt>
                <c:pt idx="1065">
                  <c:v>64.425217882409981</c:v>
                </c:pt>
                <c:pt idx="1066">
                  <c:v>77.10741393200999</c:v>
                </c:pt>
                <c:pt idx="1067">
                  <c:v>90.928303229610009</c:v>
                </c:pt>
                <c:pt idx="1068">
                  <c:v>105.88788577521002</c:v>
                </c:pt>
                <c:pt idx="1069">
                  <c:v>121.98616156881003</c:v>
                </c:pt>
                <c:pt idx="1070">
                  <c:v>139.22313061041007</c:v>
                </c:pt>
                <c:pt idx="1071">
                  <c:v>157.59879290001007</c:v>
                </c:pt>
                <c:pt idx="1072">
                  <c:v>159.97581505520998</c:v>
                </c:pt>
                <c:pt idx="1073">
                  <c:v>159.97581505520998</c:v>
                </c:pt>
                <c:pt idx="1074">
                  <c:v>159.97581505520998</c:v>
                </c:pt>
                <c:pt idx="1075">
                  <c:v>159.97581505520998</c:v>
                </c:pt>
                <c:pt idx="1076">
                  <c:v>159.97581505520998</c:v>
                </c:pt>
                <c:pt idx="1077">
                  <c:v>159.97581505520998</c:v>
                </c:pt>
                <c:pt idx="1078">
                  <c:v>159.97581505520998</c:v>
                </c:pt>
                <c:pt idx="1079">
                  <c:v>159.97581505520998</c:v>
                </c:pt>
                <c:pt idx="1080">
                  <c:v>159.97581505520998</c:v>
                </c:pt>
                <c:pt idx="1081">
                  <c:v>159.97581505520998</c:v>
                </c:pt>
                <c:pt idx="1082">
                  <c:v>159.97581505520998</c:v>
                </c:pt>
                <c:pt idx="1083">
                  <c:v>142.58183088995997</c:v>
                </c:pt>
                <c:pt idx="1084">
                  <c:v>126.18865133721</c:v>
                </c:pt>
                <c:pt idx="1085">
                  <c:v>110.79627639696</c:v>
                </c:pt>
                <c:pt idx="1086">
                  <c:v>96.404706069209993</c:v>
                </c:pt>
                <c:pt idx="1087">
                  <c:v>83.013940353959995</c:v>
                </c:pt>
                <c:pt idx="1088">
                  <c:v>70.623979251210002</c:v>
                </c:pt>
                <c:pt idx="1089">
                  <c:v>59.234822760959993</c:v>
                </c:pt>
                <c:pt idx="1090">
                  <c:v>48.846470883209996</c:v>
                </c:pt>
                <c:pt idx="1091">
                  <c:v>39.458923617959996</c:v>
                </c:pt>
                <c:pt idx="1092">
                  <c:v>31.072180965209999</c:v>
                </c:pt>
                <c:pt idx="1093">
                  <c:v>31.072180965209999</c:v>
                </c:pt>
                <c:pt idx="1094">
                  <c:v>31.072180965209999</c:v>
                </c:pt>
                <c:pt idx="1095">
                  <c:v>31.072180965209999</c:v>
                </c:pt>
                <c:pt idx="1096">
                  <c:v>31.072180965209999</c:v>
                </c:pt>
                <c:pt idx="1097">
                  <c:v>31.072180965209999</c:v>
                </c:pt>
                <c:pt idx="1098">
                  <c:v>31.072180965209999</c:v>
                </c:pt>
                <c:pt idx="1099">
                  <c:v>31.072180965209999</c:v>
                </c:pt>
                <c:pt idx="1100">
                  <c:v>31.072180965209999</c:v>
                </c:pt>
                <c:pt idx="1101">
                  <c:v>31.072180965209999</c:v>
                </c:pt>
                <c:pt idx="1102">
                  <c:v>31.072180965209999</c:v>
                </c:pt>
                <c:pt idx="1103">
                  <c:v>31.072180965209999</c:v>
                </c:pt>
                <c:pt idx="1104">
                  <c:v>42.476905527209993</c:v>
                </c:pt>
                <c:pt idx="1105">
                  <c:v>55.660838289209991</c:v>
                </c:pt>
                <c:pt idx="1106">
                  <c:v>70.623979251210002</c:v>
                </c:pt>
                <c:pt idx="1107">
                  <c:v>87.366328413209985</c:v>
                </c:pt>
                <c:pt idx="1108">
                  <c:v>105.88788577520999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14B-465C-AFB3-C86035D03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097568"/>
        <c:axId val="1419101504"/>
      </c:scatterChart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Cycle'!$E$3:$E$1111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13.41</c:v>
                </c:pt>
                <c:pt idx="15">
                  <c:v>13.41</c:v>
                </c:pt>
                <c:pt idx="16">
                  <c:v>13.41</c:v>
                </c:pt>
                <c:pt idx="17">
                  <c:v>13.41</c:v>
                </c:pt>
                <c:pt idx="18">
                  <c:v>13.41</c:v>
                </c:pt>
                <c:pt idx="19">
                  <c:v>13.41</c:v>
                </c:pt>
                <c:pt idx="20">
                  <c:v>13.41</c:v>
                </c:pt>
                <c:pt idx="21">
                  <c:v>13.41</c:v>
                </c:pt>
                <c:pt idx="22">
                  <c:v>13.41</c:v>
                </c:pt>
                <c:pt idx="23">
                  <c:v>13.41</c:v>
                </c:pt>
                <c:pt idx="24">
                  <c:v>13.41</c:v>
                </c:pt>
                <c:pt idx="25">
                  <c:v>13.41</c:v>
                </c:pt>
                <c:pt idx="26">
                  <c:v>13.41</c:v>
                </c:pt>
                <c:pt idx="27">
                  <c:v>13.41</c:v>
                </c:pt>
                <c:pt idx="28">
                  <c:v>13.41</c:v>
                </c:pt>
                <c:pt idx="29">
                  <c:v>13.41</c:v>
                </c:pt>
                <c:pt idx="30">
                  <c:v>13.41</c:v>
                </c:pt>
                <c:pt idx="31">
                  <c:v>13.41</c:v>
                </c:pt>
                <c:pt idx="32">
                  <c:v>13.41</c:v>
                </c:pt>
                <c:pt idx="33">
                  <c:v>13.41</c:v>
                </c:pt>
                <c:pt idx="34">
                  <c:v>13.41</c:v>
                </c:pt>
                <c:pt idx="35">
                  <c:v>13.41</c:v>
                </c:pt>
                <c:pt idx="36">
                  <c:v>13.41</c:v>
                </c:pt>
                <c:pt idx="37">
                  <c:v>13.41</c:v>
                </c:pt>
                <c:pt idx="38">
                  <c:v>13.41</c:v>
                </c:pt>
                <c:pt idx="39">
                  <c:v>13.41</c:v>
                </c:pt>
                <c:pt idx="40">
                  <c:v>13.41</c:v>
                </c:pt>
                <c:pt idx="41">
                  <c:v>13.41</c:v>
                </c:pt>
                <c:pt idx="42">
                  <c:v>13.41</c:v>
                </c:pt>
                <c:pt idx="43">
                  <c:v>13.41</c:v>
                </c:pt>
                <c:pt idx="44">
                  <c:v>13.41</c:v>
                </c:pt>
                <c:pt idx="45">
                  <c:v>13.41</c:v>
                </c:pt>
                <c:pt idx="46">
                  <c:v>13.41</c:v>
                </c:pt>
                <c:pt idx="47">
                  <c:v>13.41</c:v>
                </c:pt>
                <c:pt idx="48">
                  <c:v>13.41</c:v>
                </c:pt>
                <c:pt idx="49">
                  <c:v>13.41</c:v>
                </c:pt>
                <c:pt idx="50">
                  <c:v>13.41</c:v>
                </c:pt>
                <c:pt idx="51">
                  <c:v>13.41</c:v>
                </c:pt>
                <c:pt idx="52">
                  <c:v>13.41</c:v>
                </c:pt>
                <c:pt idx="53">
                  <c:v>13.41</c:v>
                </c:pt>
                <c:pt idx="54">
                  <c:v>13.41</c:v>
                </c:pt>
                <c:pt idx="55">
                  <c:v>13.41</c:v>
                </c:pt>
                <c:pt idx="56">
                  <c:v>13.41</c:v>
                </c:pt>
                <c:pt idx="57">
                  <c:v>13.41</c:v>
                </c:pt>
                <c:pt idx="58">
                  <c:v>13.41</c:v>
                </c:pt>
                <c:pt idx="59">
                  <c:v>13.41</c:v>
                </c:pt>
                <c:pt idx="60">
                  <c:v>13.41</c:v>
                </c:pt>
                <c:pt idx="61">
                  <c:v>13.41</c:v>
                </c:pt>
                <c:pt idx="62">
                  <c:v>13.41</c:v>
                </c:pt>
                <c:pt idx="63">
                  <c:v>13.41</c:v>
                </c:pt>
                <c:pt idx="64">
                  <c:v>13.41</c:v>
                </c:pt>
                <c:pt idx="65">
                  <c:v>13.41</c:v>
                </c:pt>
                <c:pt idx="66">
                  <c:v>13.41</c:v>
                </c:pt>
                <c:pt idx="67">
                  <c:v>13.41</c:v>
                </c:pt>
                <c:pt idx="68">
                  <c:v>13.41</c:v>
                </c:pt>
                <c:pt idx="69">
                  <c:v>13.41</c:v>
                </c:pt>
                <c:pt idx="70">
                  <c:v>13.41</c:v>
                </c:pt>
                <c:pt idx="71">
                  <c:v>13.41</c:v>
                </c:pt>
                <c:pt idx="72">
                  <c:v>13.41</c:v>
                </c:pt>
                <c:pt idx="73">
                  <c:v>13.41</c:v>
                </c:pt>
                <c:pt idx="74">
                  <c:v>13.41</c:v>
                </c:pt>
                <c:pt idx="75">
                  <c:v>13.41</c:v>
                </c:pt>
                <c:pt idx="76">
                  <c:v>13.41</c:v>
                </c:pt>
                <c:pt idx="77">
                  <c:v>13.41</c:v>
                </c:pt>
                <c:pt idx="78">
                  <c:v>13.41</c:v>
                </c:pt>
                <c:pt idx="79">
                  <c:v>13.41</c:v>
                </c:pt>
                <c:pt idx="80">
                  <c:v>13.41</c:v>
                </c:pt>
                <c:pt idx="81">
                  <c:v>13.41</c:v>
                </c:pt>
                <c:pt idx="82">
                  <c:v>13.41</c:v>
                </c:pt>
                <c:pt idx="83">
                  <c:v>13.41</c:v>
                </c:pt>
                <c:pt idx="84">
                  <c:v>13.41</c:v>
                </c:pt>
                <c:pt idx="85">
                  <c:v>13.41</c:v>
                </c:pt>
                <c:pt idx="86">
                  <c:v>13.41</c:v>
                </c:pt>
                <c:pt idx="87">
                  <c:v>13.41</c:v>
                </c:pt>
                <c:pt idx="88">
                  <c:v>13.41</c:v>
                </c:pt>
                <c:pt idx="89">
                  <c:v>13.41</c:v>
                </c:pt>
                <c:pt idx="90">
                  <c:v>13.41</c:v>
                </c:pt>
                <c:pt idx="91">
                  <c:v>13.41</c:v>
                </c:pt>
                <c:pt idx="92">
                  <c:v>13.41</c:v>
                </c:pt>
                <c:pt idx="93">
                  <c:v>13</c:v>
                </c:pt>
                <c:pt idx="94">
                  <c:v>12.5</c:v>
                </c:pt>
                <c:pt idx="95">
                  <c:v>12</c:v>
                </c:pt>
                <c:pt idx="96">
                  <c:v>11.5</c:v>
                </c:pt>
                <c:pt idx="97">
                  <c:v>11</c:v>
                </c:pt>
                <c:pt idx="98">
                  <c:v>11</c:v>
                </c:pt>
                <c:pt idx="99">
                  <c:v>11</c:v>
                </c:pt>
                <c:pt idx="100">
                  <c:v>11</c:v>
                </c:pt>
                <c:pt idx="101">
                  <c:v>11</c:v>
                </c:pt>
                <c:pt idx="102">
                  <c:v>11</c:v>
                </c:pt>
                <c:pt idx="103">
                  <c:v>11</c:v>
                </c:pt>
                <c:pt idx="104">
                  <c:v>11</c:v>
                </c:pt>
                <c:pt idx="105">
                  <c:v>11</c:v>
                </c:pt>
                <c:pt idx="106">
                  <c:v>11</c:v>
                </c:pt>
                <c:pt idx="107">
                  <c:v>11</c:v>
                </c:pt>
                <c:pt idx="108">
                  <c:v>11</c:v>
                </c:pt>
                <c:pt idx="109">
                  <c:v>11</c:v>
                </c:pt>
                <c:pt idx="110">
                  <c:v>12</c:v>
                </c:pt>
                <c:pt idx="111">
                  <c:v>13</c:v>
                </c:pt>
                <c:pt idx="112">
                  <c:v>13.41</c:v>
                </c:pt>
                <c:pt idx="113">
                  <c:v>13.41</c:v>
                </c:pt>
                <c:pt idx="114">
                  <c:v>13.41</c:v>
                </c:pt>
                <c:pt idx="115">
                  <c:v>13.41</c:v>
                </c:pt>
                <c:pt idx="116">
                  <c:v>10</c:v>
                </c:pt>
                <c:pt idx="117">
                  <c:v>10</c:v>
                </c:pt>
                <c:pt idx="118">
                  <c:v>10.5</c:v>
                </c:pt>
                <c:pt idx="119">
                  <c:v>10.5</c:v>
                </c:pt>
                <c:pt idx="120">
                  <c:v>11.5</c:v>
                </c:pt>
                <c:pt idx="121">
                  <c:v>12.5</c:v>
                </c:pt>
                <c:pt idx="122">
                  <c:v>13.41</c:v>
                </c:pt>
                <c:pt idx="123">
                  <c:v>13.41</c:v>
                </c:pt>
                <c:pt idx="124">
                  <c:v>13.41</c:v>
                </c:pt>
                <c:pt idx="125">
                  <c:v>13.41</c:v>
                </c:pt>
                <c:pt idx="126">
                  <c:v>13.41</c:v>
                </c:pt>
                <c:pt idx="127">
                  <c:v>13.41</c:v>
                </c:pt>
                <c:pt idx="128">
                  <c:v>13.41</c:v>
                </c:pt>
                <c:pt idx="129">
                  <c:v>13.41</c:v>
                </c:pt>
                <c:pt idx="130">
                  <c:v>13.41</c:v>
                </c:pt>
                <c:pt idx="131">
                  <c:v>13.41</c:v>
                </c:pt>
                <c:pt idx="132">
                  <c:v>13.41</c:v>
                </c:pt>
                <c:pt idx="133">
                  <c:v>13.41</c:v>
                </c:pt>
                <c:pt idx="134">
                  <c:v>13.41</c:v>
                </c:pt>
                <c:pt idx="135">
                  <c:v>13.41</c:v>
                </c:pt>
                <c:pt idx="136">
                  <c:v>13.41</c:v>
                </c:pt>
                <c:pt idx="137">
                  <c:v>13.41</c:v>
                </c:pt>
                <c:pt idx="138">
                  <c:v>13.41</c:v>
                </c:pt>
                <c:pt idx="139">
                  <c:v>13.41</c:v>
                </c:pt>
                <c:pt idx="140">
                  <c:v>13.41</c:v>
                </c:pt>
                <c:pt idx="141">
                  <c:v>13.41</c:v>
                </c:pt>
                <c:pt idx="142">
                  <c:v>13.41</c:v>
                </c:pt>
                <c:pt idx="143">
                  <c:v>13.41</c:v>
                </c:pt>
                <c:pt idx="144">
                  <c:v>13.41</c:v>
                </c:pt>
                <c:pt idx="145">
                  <c:v>13.41</c:v>
                </c:pt>
                <c:pt idx="146">
                  <c:v>13.41</c:v>
                </c:pt>
                <c:pt idx="147">
                  <c:v>13.41</c:v>
                </c:pt>
                <c:pt idx="148">
                  <c:v>13.41</c:v>
                </c:pt>
                <c:pt idx="149">
                  <c:v>13.41</c:v>
                </c:pt>
                <c:pt idx="150">
                  <c:v>13.41</c:v>
                </c:pt>
                <c:pt idx="151">
                  <c:v>13.41</c:v>
                </c:pt>
                <c:pt idx="152">
                  <c:v>13.41</c:v>
                </c:pt>
                <c:pt idx="153">
                  <c:v>13.41</c:v>
                </c:pt>
                <c:pt idx="154">
                  <c:v>13.41</c:v>
                </c:pt>
                <c:pt idx="155">
                  <c:v>13.41</c:v>
                </c:pt>
                <c:pt idx="156">
                  <c:v>13.41</c:v>
                </c:pt>
                <c:pt idx="157">
                  <c:v>12.41</c:v>
                </c:pt>
                <c:pt idx="158">
                  <c:v>11.41</c:v>
                </c:pt>
                <c:pt idx="159">
                  <c:v>10.41</c:v>
                </c:pt>
                <c:pt idx="160">
                  <c:v>9.41</c:v>
                </c:pt>
                <c:pt idx="161">
                  <c:v>8.41</c:v>
                </c:pt>
                <c:pt idx="162">
                  <c:v>7.41</c:v>
                </c:pt>
                <c:pt idx="163">
                  <c:v>6.41</c:v>
                </c:pt>
                <c:pt idx="164">
                  <c:v>5.41</c:v>
                </c:pt>
                <c:pt idx="165">
                  <c:v>4.41</c:v>
                </c:pt>
                <c:pt idx="166">
                  <c:v>3.41</c:v>
                </c:pt>
                <c:pt idx="167">
                  <c:v>3.41</c:v>
                </c:pt>
                <c:pt idx="168">
                  <c:v>3.41</c:v>
                </c:pt>
                <c:pt idx="169">
                  <c:v>3.41</c:v>
                </c:pt>
                <c:pt idx="170">
                  <c:v>3.41</c:v>
                </c:pt>
                <c:pt idx="171">
                  <c:v>3.41</c:v>
                </c:pt>
                <c:pt idx="172">
                  <c:v>3.41</c:v>
                </c:pt>
                <c:pt idx="173">
                  <c:v>3.41</c:v>
                </c:pt>
                <c:pt idx="174">
                  <c:v>3.41</c:v>
                </c:pt>
                <c:pt idx="175">
                  <c:v>3.41</c:v>
                </c:pt>
                <c:pt idx="176">
                  <c:v>3.41</c:v>
                </c:pt>
                <c:pt idx="177">
                  <c:v>3.41</c:v>
                </c:pt>
                <c:pt idx="178">
                  <c:v>4.41</c:v>
                </c:pt>
                <c:pt idx="179">
                  <c:v>5.41</c:v>
                </c:pt>
                <c:pt idx="180">
                  <c:v>6.41</c:v>
                </c:pt>
                <c:pt idx="181">
                  <c:v>7.41</c:v>
                </c:pt>
                <c:pt idx="182">
                  <c:v>8.41</c:v>
                </c:pt>
                <c:pt idx="183">
                  <c:v>9.41</c:v>
                </c:pt>
                <c:pt idx="184">
                  <c:v>10.41</c:v>
                </c:pt>
                <c:pt idx="185">
                  <c:v>11.41</c:v>
                </c:pt>
                <c:pt idx="186">
                  <c:v>12.41</c:v>
                </c:pt>
                <c:pt idx="187">
                  <c:v>13.41</c:v>
                </c:pt>
                <c:pt idx="188">
                  <c:v>13.41</c:v>
                </c:pt>
                <c:pt idx="189">
                  <c:v>13.41</c:v>
                </c:pt>
                <c:pt idx="190">
                  <c:v>13.41</c:v>
                </c:pt>
                <c:pt idx="191">
                  <c:v>13.41</c:v>
                </c:pt>
                <c:pt idx="192">
                  <c:v>13.41</c:v>
                </c:pt>
                <c:pt idx="193">
                  <c:v>13.41</c:v>
                </c:pt>
                <c:pt idx="194">
                  <c:v>13.41</c:v>
                </c:pt>
                <c:pt idx="195">
                  <c:v>13.41</c:v>
                </c:pt>
                <c:pt idx="196">
                  <c:v>13.41</c:v>
                </c:pt>
                <c:pt idx="197">
                  <c:v>13.41</c:v>
                </c:pt>
                <c:pt idx="198">
                  <c:v>13.41</c:v>
                </c:pt>
                <c:pt idx="199">
                  <c:v>13.41</c:v>
                </c:pt>
                <c:pt idx="200">
                  <c:v>13.41</c:v>
                </c:pt>
                <c:pt idx="201">
                  <c:v>13.41</c:v>
                </c:pt>
                <c:pt idx="202">
                  <c:v>13.41</c:v>
                </c:pt>
                <c:pt idx="203">
                  <c:v>13.41</c:v>
                </c:pt>
                <c:pt idx="204">
                  <c:v>13.41</c:v>
                </c:pt>
                <c:pt idx="205">
                  <c:v>13.41</c:v>
                </c:pt>
                <c:pt idx="206">
                  <c:v>13.41</c:v>
                </c:pt>
                <c:pt idx="207">
                  <c:v>13.41</c:v>
                </c:pt>
                <c:pt idx="208">
                  <c:v>13.41</c:v>
                </c:pt>
                <c:pt idx="209">
                  <c:v>13.41</c:v>
                </c:pt>
                <c:pt idx="210">
                  <c:v>13.41</c:v>
                </c:pt>
                <c:pt idx="211">
                  <c:v>13.41</c:v>
                </c:pt>
                <c:pt idx="212">
                  <c:v>13.41</c:v>
                </c:pt>
                <c:pt idx="213">
                  <c:v>13.41</c:v>
                </c:pt>
                <c:pt idx="214">
                  <c:v>12.41</c:v>
                </c:pt>
                <c:pt idx="215">
                  <c:v>11.41</c:v>
                </c:pt>
                <c:pt idx="216">
                  <c:v>10.41</c:v>
                </c:pt>
                <c:pt idx="217">
                  <c:v>9.41</c:v>
                </c:pt>
                <c:pt idx="218">
                  <c:v>8.41</c:v>
                </c:pt>
                <c:pt idx="219">
                  <c:v>7.41</c:v>
                </c:pt>
                <c:pt idx="220">
                  <c:v>6.41</c:v>
                </c:pt>
                <c:pt idx="221">
                  <c:v>5.41</c:v>
                </c:pt>
                <c:pt idx="222">
                  <c:v>4.41</c:v>
                </c:pt>
                <c:pt idx="223">
                  <c:v>3.41</c:v>
                </c:pt>
                <c:pt idx="224">
                  <c:v>3.41</c:v>
                </c:pt>
                <c:pt idx="225">
                  <c:v>3.41</c:v>
                </c:pt>
                <c:pt idx="226">
                  <c:v>3.41</c:v>
                </c:pt>
                <c:pt idx="227">
                  <c:v>3.41</c:v>
                </c:pt>
                <c:pt idx="228">
                  <c:v>3.41</c:v>
                </c:pt>
                <c:pt idx="229">
                  <c:v>3.41</c:v>
                </c:pt>
                <c:pt idx="230">
                  <c:v>3.41</c:v>
                </c:pt>
                <c:pt idx="231">
                  <c:v>3.41</c:v>
                </c:pt>
                <c:pt idx="232">
                  <c:v>3.41</c:v>
                </c:pt>
                <c:pt idx="233">
                  <c:v>3.41</c:v>
                </c:pt>
                <c:pt idx="234">
                  <c:v>3.41</c:v>
                </c:pt>
                <c:pt idx="235">
                  <c:v>3.41</c:v>
                </c:pt>
                <c:pt idx="236">
                  <c:v>3.91</c:v>
                </c:pt>
                <c:pt idx="237">
                  <c:v>4.41</c:v>
                </c:pt>
                <c:pt idx="238">
                  <c:v>4.91</c:v>
                </c:pt>
                <c:pt idx="239">
                  <c:v>5.41</c:v>
                </c:pt>
                <c:pt idx="240">
                  <c:v>5.91</c:v>
                </c:pt>
                <c:pt idx="241">
                  <c:v>6.41</c:v>
                </c:pt>
                <c:pt idx="242">
                  <c:v>6.91</c:v>
                </c:pt>
                <c:pt idx="243">
                  <c:v>7.41</c:v>
                </c:pt>
                <c:pt idx="244">
                  <c:v>7.91</c:v>
                </c:pt>
                <c:pt idx="245">
                  <c:v>8.41</c:v>
                </c:pt>
                <c:pt idx="246">
                  <c:v>8.91</c:v>
                </c:pt>
                <c:pt idx="247">
                  <c:v>9.41</c:v>
                </c:pt>
                <c:pt idx="248">
                  <c:v>9.91</c:v>
                </c:pt>
                <c:pt idx="249">
                  <c:v>10.41</c:v>
                </c:pt>
                <c:pt idx="250">
                  <c:v>10.91</c:v>
                </c:pt>
                <c:pt idx="251">
                  <c:v>11.41</c:v>
                </c:pt>
                <c:pt idx="252">
                  <c:v>12.41</c:v>
                </c:pt>
                <c:pt idx="253">
                  <c:v>13.41</c:v>
                </c:pt>
                <c:pt idx="254">
                  <c:v>13.41</c:v>
                </c:pt>
                <c:pt idx="255">
                  <c:v>13.41</c:v>
                </c:pt>
                <c:pt idx="256">
                  <c:v>13.41</c:v>
                </c:pt>
                <c:pt idx="257">
                  <c:v>13.41</c:v>
                </c:pt>
                <c:pt idx="258">
                  <c:v>13.41</c:v>
                </c:pt>
                <c:pt idx="259">
                  <c:v>13.41</c:v>
                </c:pt>
                <c:pt idx="260">
                  <c:v>13.41</c:v>
                </c:pt>
                <c:pt idx="261">
                  <c:v>13.41</c:v>
                </c:pt>
                <c:pt idx="262">
                  <c:v>13.41</c:v>
                </c:pt>
                <c:pt idx="263">
                  <c:v>13.41</c:v>
                </c:pt>
                <c:pt idx="264">
                  <c:v>13.41</c:v>
                </c:pt>
                <c:pt idx="265">
                  <c:v>13.41</c:v>
                </c:pt>
                <c:pt idx="266">
                  <c:v>13.41</c:v>
                </c:pt>
                <c:pt idx="267">
                  <c:v>12.5</c:v>
                </c:pt>
                <c:pt idx="268">
                  <c:v>12</c:v>
                </c:pt>
                <c:pt idx="269">
                  <c:v>11.5</c:v>
                </c:pt>
                <c:pt idx="270">
                  <c:v>11</c:v>
                </c:pt>
                <c:pt idx="271">
                  <c:v>11</c:v>
                </c:pt>
                <c:pt idx="272">
                  <c:v>11</c:v>
                </c:pt>
                <c:pt idx="273">
                  <c:v>11</c:v>
                </c:pt>
                <c:pt idx="274">
                  <c:v>11</c:v>
                </c:pt>
                <c:pt idx="275">
                  <c:v>11</c:v>
                </c:pt>
                <c:pt idx="276">
                  <c:v>11</c:v>
                </c:pt>
                <c:pt idx="277">
                  <c:v>11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12</c:v>
                </c:pt>
                <c:pt idx="286">
                  <c:v>12.5</c:v>
                </c:pt>
                <c:pt idx="287">
                  <c:v>13</c:v>
                </c:pt>
                <c:pt idx="288">
                  <c:v>13.41</c:v>
                </c:pt>
                <c:pt idx="289">
                  <c:v>13.41</c:v>
                </c:pt>
                <c:pt idx="290">
                  <c:v>13.41</c:v>
                </c:pt>
                <c:pt idx="291">
                  <c:v>13.41</c:v>
                </c:pt>
                <c:pt idx="292">
                  <c:v>13.41</c:v>
                </c:pt>
                <c:pt idx="293">
                  <c:v>13.41</c:v>
                </c:pt>
                <c:pt idx="294">
                  <c:v>13.41</c:v>
                </c:pt>
                <c:pt idx="295">
                  <c:v>13.41</c:v>
                </c:pt>
                <c:pt idx="296">
                  <c:v>12.41</c:v>
                </c:pt>
                <c:pt idx="297">
                  <c:v>11.41</c:v>
                </c:pt>
                <c:pt idx="298">
                  <c:v>10.41</c:v>
                </c:pt>
                <c:pt idx="299">
                  <c:v>9.41</c:v>
                </c:pt>
                <c:pt idx="300">
                  <c:v>8.41</c:v>
                </c:pt>
                <c:pt idx="301">
                  <c:v>7.41</c:v>
                </c:pt>
                <c:pt idx="302">
                  <c:v>6.41</c:v>
                </c:pt>
                <c:pt idx="303">
                  <c:v>5.41</c:v>
                </c:pt>
                <c:pt idx="304">
                  <c:v>4.41</c:v>
                </c:pt>
                <c:pt idx="305">
                  <c:v>4.41</c:v>
                </c:pt>
                <c:pt idx="306">
                  <c:v>4.41</c:v>
                </c:pt>
                <c:pt idx="307">
                  <c:v>4.41</c:v>
                </c:pt>
                <c:pt idx="308">
                  <c:v>4.41</c:v>
                </c:pt>
                <c:pt idx="309">
                  <c:v>4.41</c:v>
                </c:pt>
                <c:pt idx="310">
                  <c:v>4.41</c:v>
                </c:pt>
                <c:pt idx="311">
                  <c:v>4.41</c:v>
                </c:pt>
                <c:pt idx="312">
                  <c:v>4.41</c:v>
                </c:pt>
                <c:pt idx="313">
                  <c:v>4.91</c:v>
                </c:pt>
                <c:pt idx="314">
                  <c:v>5.41</c:v>
                </c:pt>
                <c:pt idx="315">
                  <c:v>5.91</c:v>
                </c:pt>
                <c:pt idx="316">
                  <c:v>6.41</c:v>
                </c:pt>
                <c:pt idx="317">
                  <c:v>6.91</c:v>
                </c:pt>
                <c:pt idx="318">
                  <c:v>7.41</c:v>
                </c:pt>
                <c:pt idx="319">
                  <c:v>7.91</c:v>
                </c:pt>
                <c:pt idx="320">
                  <c:v>8.41</c:v>
                </c:pt>
                <c:pt idx="321">
                  <c:v>8.91</c:v>
                </c:pt>
                <c:pt idx="322">
                  <c:v>9.41</c:v>
                </c:pt>
                <c:pt idx="323">
                  <c:v>10.41</c:v>
                </c:pt>
                <c:pt idx="324">
                  <c:v>11.41</c:v>
                </c:pt>
                <c:pt idx="325">
                  <c:v>12.41</c:v>
                </c:pt>
                <c:pt idx="326">
                  <c:v>13.41</c:v>
                </c:pt>
                <c:pt idx="327">
                  <c:v>13.41</c:v>
                </c:pt>
                <c:pt idx="328">
                  <c:v>12.41</c:v>
                </c:pt>
                <c:pt idx="329">
                  <c:v>11.41</c:v>
                </c:pt>
                <c:pt idx="330">
                  <c:v>10.41</c:v>
                </c:pt>
                <c:pt idx="331">
                  <c:v>9.41</c:v>
                </c:pt>
                <c:pt idx="332">
                  <c:v>8.41</c:v>
                </c:pt>
                <c:pt idx="333">
                  <c:v>7.41</c:v>
                </c:pt>
                <c:pt idx="334">
                  <c:v>6.41</c:v>
                </c:pt>
                <c:pt idx="335">
                  <c:v>5.41</c:v>
                </c:pt>
                <c:pt idx="336">
                  <c:v>4.41</c:v>
                </c:pt>
                <c:pt idx="337">
                  <c:v>3.41</c:v>
                </c:pt>
                <c:pt idx="338">
                  <c:v>2.41</c:v>
                </c:pt>
                <c:pt idx="339">
                  <c:v>2.41</c:v>
                </c:pt>
                <c:pt idx="340">
                  <c:v>2.41</c:v>
                </c:pt>
                <c:pt idx="341">
                  <c:v>2.41</c:v>
                </c:pt>
                <c:pt idx="342">
                  <c:v>2.41</c:v>
                </c:pt>
                <c:pt idx="343">
                  <c:v>2.91</c:v>
                </c:pt>
                <c:pt idx="344">
                  <c:v>3.41</c:v>
                </c:pt>
                <c:pt idx="345">
                  <c:v>3.91</c:v>
                </c:pt>
                <c:pt idx="346">
                  <c:v>4.41</c:v>
                </c:pt>
                <c:pt idx="347">
                  <c:v>4.91</c:v>
                </c:pt>
                <c:pt idx="348">
                  <c:v>5.41</c:v>
                </c:pt>
                <c:pt idx="349">
                  <c:v>5.91</c:v>
                </c:pt>
                <c:pt idx="350">
                  <c:v>6.41</c:v>
                </c:pt>
                <c:pt idx="351">
                  <c:v>6.91</c:v>
                </c:pt>
                <c:pt idx="352">
                  <c:v>7.41</c:v>
                </c:pt>
                <c:pt idx="353">
                  <c:v>7.91</c:v>
                </c:pt>
                <c:pt idx="354">
                  <c:v>8.41</c:v>
                </c:pt>
                <c:pt idx="355">
                  <c:v>9.16</c:v>
                </c:pt>
                <c:pt idx="356">
                  <c:v>9.91</c:v>
                </c:pt>
                <c:pt idx="357">
                  <c:v>10.66</c:v>
                </c:pt>
                <c:pt idx="358">
                  <c:v>11.41</c:v>
                </c:pt>
                <c:pt idx="359">
                  <c:v>12.41</c:v>
                </c:pt>
                <c:pt idx="360">
                  <c:v>13.41</c:v>
                </c:pt>
                <c:pt idx="361">
                  <c:v>13.41</c:v>
                </c:pt>
                <c:pt idx="362">
                  <c:v>13.41</c:v>
                </c:pt>
                <c:pt idx="363">
                  <c:v>13.41</c:v>
                </c:pt>
                <c:pt idx="364">
                  <c:v>13.41</c:v>
                </c:pt>
                <c:pt idx="365">
                  <c:v>13.41</c:v>
                </c:pt>
                <c:pt idx="366">
                  <c:v>13.41</c:v>
                </c:pt>
                <c:pt idx="367">
                  <c:v>12.66</c:v>
                </c:pt>
                <c:pt idx="368">
                  <c:v>11.91</c:v>
                </c:pt>
                <c:pt idx="369">
                  <c:v>11.16</c:v>
                </c:pt>
                <c:pt idx="370">
                  <c:v>10.41</c:v>
                </c:pt>
                <c:pt idx="371">
                  <c:v>9.66</c:v>
                </c:pt>
                <c:pt idx="372">
                  <c:v>8.91</c:v>
                </c:pt>
                <c:pt idx="373">
                  <c:v>8.16</c:v>
                </c:pt>
                <c:pt idx="374">
                  <c:v>7.41</c:v>
                </c:pt>
                <c:pt idx="375">
                  <c:v>6.66</c:v>
                </c:pt>
                <c:pt idx="376">
                  <c:v>5.91</c:v>
                </c:pt>
                <c:pt idx="377">
                  <c:v>5.16</c:v>
                </c:pt>
                <c:pt idx="378">
                  <c:v>4.41</c:v>
                </c:pt>
                <c:pt idx="379">
                  <c:v>3.66</c:v>
                </c:pt>
                <c:pt idx="380">
                  <c:v>2.91</c:v>
                </c:pt>
                <c:pt idx="381">
                  <c:v>2.91</c:v>
                </c:pt>
                <c:pt idx="382">
                  <c:v>2.91</c:v>
                </c:pt>
                <c:pt idx="383">
                  <c:v>2.91</c:v>
                </c:pt>
                <c:pt idx="384">
                  <c:v>2.91</c:v>
                </c:pt>
                <c:pt idx="385">
                  <c:v>2.91</c:v>
                </c:pt>
                <c:pt idx="386">
                  <c:v>2.91</c:v>
                </c:pt>
                <c:pt idx="387">
                  <c:v>2.91</c:v>
                </c:pt>
                <c:pt idx="388">
                  <c:v>2.91</c:v>
                </c:pt>
                <c:pt idx="389">
                  <c:v>2.91</c:v>
                </c:pt>
                <c:pt idx="390">
                  <c:v>2.91</c:v>
                </c:pt>
                <c:pt idx="391">
                  <c:v>3.66</c:v>
                </c:pt>
                <c:pt idx="392">
                  <c:v>4.41</c:v>
                </c:pt>
                <c:pt idx="393">
                  <c:v>5.16</c:v>
                </c:pt>
                <c:pt idx="394">
                  <c:v>5.91</c:v>
                </c:pt>
                <c:pt idx="395">
                  <c:v>6.66</c:v>
                </c:pt>
                <c:pt idx="396">
                  <c:v>7.66</c:v>
                </c:pt>
                <c:pt idx="397">
                  <c:v>8.66</c:v>
                </c:pt>
                <c:pt idx="398">
                  <c:v>9.66</c:v>
                </c:pt>
                <c:pt idx="399">
                  <c:v>10.66</c:v>
                </c:pt>
                <c:pt idx="400">
                  <c:v>11.66</c:v>
                </c:pt>
                <c:pt idx="401">
                  <c:v>12.66</c:v>
                </c:pt>
                <c:pt idx="402">
                  <c:v>13.41</c:v>
                </c:pt>
                <c:pt idx="403">
                  <c:v>12.66</c:v>
                </c:pt>
                <c:pt idx="404">
                  <c:v>11.91</c:v>
                </c:pt>
                <c:pt idx="405">
                  <c:v>11.16</c:v>
                </c:pt>
                <c:pt idx="406">
                  <c:v>10.41</c:v>
                </c:pt>
                <c:pt idx="407">
                  <c:v>9.66</c:v>
                </c:pt>
                <c:pt idx="408">
                  <c:v>8.91</c:v>
                </c:pt>
                <c:pt idx="409">
                  <c:v>8.16</c:v>
                </c:pt>
                <c:pt idx="410">
                  <c:v>7.41</c:v>
                </c:pt>
                <c:pt idx="411">
                  <c:v>7.41</c:v>
                </c:pt>
                <c:pt idx="412">
                  <c:v>7.41</c:v>
                </c:pt>
                <c:pt idx="413">
                  <c:v>7.41</c:v>
                </c:pt>
                <c:pt idx="414">
                  <c:v>7.41</c:v>
                </c:pt>
                <c:pt idx="415">
                  <c:v>7.41</c:v>
                </c:pt>
                <c:pt idx="416">
                  <c:v>7.41</c:v>
                </c:pt>
                <c:pt idx="417">
                  <c:v>8.16</c:v>
                </c:pt>
                <c:pt idx="418">
                  <c:v>8.91</c:v>
                </c:pt>
                <c:pt idx="419">
                  <c:v>9.66</c:v>
                </c:pt>
                <c:pt idx="420">
                  <c:v>10.41</c:v>
                </c:pt>
                <c:pt idx="421">
                  <c:v>11.16</c:v>
                </c:pt>
                <c:pt idx="422">
                  <c:v>11.91</c:v>
                </c:pt>
                <c:pt idx="423">
                  <c:v>12.66</c:v>
                </c:pt>
                <c:pt idx="424">
                  <c:v>13.41</c:v>
                </c:pt>
                <c:pt idx="425">
                  <c:v>13.41</c:v>
                </c:pt>
                <c:pt idx="426">
                  <c:v>13.41</c:v>
                </c:pt>
                <c:pt idx="427">
                  <c:v>13.41</c:v>
                </c:pt>
                <c:pt idx="428">
                  <c:v>13.41</c:v>
                </c:pt>
                <c:pt idx="429">
                  <c:v>13.41</c:v>
                </c:pt>
                <c:pt idx="430">
                  <c:v>13.41</c:v>
                </c:pt>
                <c:pt idx="431">
                  <c:v>13.41</c:v>
                </c:pt>
                <c:pt idx="432">
                  <c:v>13.41</c:v>
                </c:pt>
                <c:pt idx="433">
                  <c:v>13.41</c:v>
                </c:pt>
                <c:pt idx="434">
                  <c:v>13.41</c:v>
                </c:pt>
                <c:pt idx="435">
                  <c:v>13.41</c:v>
                </c:pt>
                <c:pt idx="436">
                  <c:v>13.41</c:v>
                </c:pt>
                <c:pt idx="437">
                  <c:v>13.41</c:v>
                </c:pt>
                <c:pt idx="438">
                  <c:v>13.41</c:v>
                </c:pt>
                <c:pt idx="439">
                  <c:v>13.41</c:v>
                </c:pt>
                <c:pt idx="440">
                  <c:v>13.41</c:v>
                </c:pt>
                <c:pt idx="441">
                  <c:v>13.41</c:v>
                </c:pt>
                <c:pt idx="442">
                  <c:v>13.41</c:v>
                </c:pt>
                <c:pt idx="443">
                  <c:v>13.41</c:v>
                </c:pt>
                <c:pt idx="444">
                  <c:v>13.41</c:v>
                </c:pt>
                <c:pt idx="445">
                  <c:v>13.41</c:v>
                </c:pt>
                <c:pt idx="446">
                  <c:v>13.41</c:v>
                </c:pt>
                <c:pt idx="447">
                  <c:v>13.41</c:v>
                </c:pt>
                <c:pt idx="448">
                  <c:v>13.41</c:v>
                </c:pt>
                <c:pt idx="449">
                  <c:v>13.41</c:v>
                </c:pt>
                <c:pt idx="450">
                  <c:v>13.41</c:v>
                </c:pt>
                <c:pt idx="451">
                  <c:v>13.41</c:v>
                </c:pt>
                <c:pt idx="452">
                  <c:v>13.41</c:v>
                </c:pt>
                <c:pt idx="453">
                  <c:v>13.41</c:v>
                </c:pt>
                <c:pt idx="454">
                  <c:v>13.41</c:v>
                </c:pt>
                <c:pt idx="455">
                  <c:v>13.41</c:v>
                </c:pt>
                <c:pt idx="456">
                  <c:v>13.41</c:v>
                </c:pt>
                <c:pt idx="457">
                  <c:v>13.41</c:v>
                </c:pt>
                <c:pt idx="458">
                  <c:v>13.41</c:v>
                </c:pt>
                <c:pt idx="459">
                  <c:v>13.41</c:v>
                </c:pt>
                <c:pt idx="460">
                  <c:v>13.41</c:v>
                </c:pt>
                <c:pt idx="461">
                  <c:v>13.41</c:v>
                </c:pt>
                <c:pt idx="462">
                  <c:v>13.41</c:v>
                </c:pt>
                <c:pt idx="463">
                  <c:v>13.41</c:v>
                </c:pt>
                <c:pt idx="464">
                  <c:v>13.41</c:v>
                </c:pt>
                <c:pt idx="465">
                  <c:v>13.41</c:v>
                </c:pt>
                <c:pt idx="466">
                  <c:v>13.41</c:v>
                </c:pt>
                <c:pt idx="467">
                  <c:v>13.41</c:v>
                </c:pt>
                <c:pt idx="468">
                  <c:v>13.41</c:v>
                </c:pt>
                <c:pt idx="469">
                  <c:v>13.41</c:v>
                </c:pt>
                <c:pt idx="470">
                  <c:v>13.41</c:v>
                </c:pt>
                <c:pt idx="471">
                  <c:v>13.41</c:v>
                </c:pt>
                <c:pt idx="472">
                  <c:v>13.41</c:v>
                </c:pt>
                <c:pt idx="473">
                  <c:v>12.66</c:v>
                </c:pt>
                <c:pt idx="474">
                  <c:v>11.91</c:v>
                </c:pt>
                <c:pt idx="475">
                  <c:v>11.16</c:v>
                </c:pt>
                <c:pt idx="476">
                  <c:v>10.41</c:v>
                </c:pt>
                <c:pt idx="477">
                  <c:v>9.66</c:v>
                </c:pt>
                <c:pt idx="478">
                  <c:v>8.91</c:v>
                </c:pt>
                <c:pt idx="479">
                  <c:v>8.16</c:v>
                </c:pt>
                <c:pt idx="480">
                  <c:v>7.41</c:v>
                </c:pt>
                <c:pt idx="481">
                  <c:v>6.66</c:v>
                </c:pt>
                <c:pt idx="482">
                  <c:v>5.91</c:v>
                </c:pt>
                <c:pt idx="483">
                  <c:v>5.16</c:v>
                </c:pt>
                <c:pt idx="484">
                  <c:v>4.41</c:v>
                </c:pt>
                <c:pt idx="485">
                  <c:v>3.66</c:v>
                </c:pt>
                <c:pt idx="486">
                  <c:v>3.66</c:v>
                </c:pt>
                <c:pt idx="487">
                  <c:v>3.66</c:v>
                </c:pt>
                <c:pt idx="488">
                  <c:v>3.66</c:v>
                </c:pt>
                <c:pt idx="489">
                  <c:v>3.66</c:v>
                </c:pt>
                <c:pt idx="490">
                  <c:v>3.66</c:v>
                </c:pt>
                <c:pt idx="491">
                  <c:v>3.66</c:v>
                </c:pt>
                <c:pt idx="492">
                  <c:v>3.66</c:v>
                </c:pt>
                <c:pt idx="493">
                  <c:v>4.41</c:v>
                </c:pt>
                <c:pt idx="494">
                  <c:v>5.16</c:v>
                </c:pt>
                <c:pt idx="495">
                  <c:v>5.91</c:v>
                </c:pt>
                <c:pt idx="496">
                  <c:v>6.66</c:v>
                </c:pt>
                <c:pt idx="497">
                  <c:v>7.41</c:v>
                </c:pt>
                <c:pt idx="498">
                  <c:v>8.16</c:v>
                </c:pt>
                <c:pt idx="499">
                  <c:v>8.91</c:v>
                </c:pt>
                <c:pt idx="500">
                  <c:v>9.66</c:v>
                </c:pt>
                <c:pt idx="501">
                  <c:v>10.41</c:v>
                </c:pt>
                <c:pt idx="502">
                  <c:v>11.41</c:v>
                </c:pt>
                <c:pt idx="503">
                  <c:v>12.41</c:v>
                </c:pt>
                <c:pt idx="504">
                  <c:v>13.41</c:v>
                </c:pt>
                <c:pt idx="505">
                  <c:v>13.41</c:v>
                </c:pt>
                <c:pt idx="506">
                  <c:v>13.41</c:v>
                </c:pt>
                <c:pt idx="507">
                  <c:v>13.41</c:v>
                </c:pt>
                <c:pt idx="508">
                  <c:v>13.41</c:v>
                </c:pt>
                <c:pt idx="509">
                  <c:v>13.41</c:v>
                </c:pt>
                <c:pt idx="510">
                  <c:v>13.41</c:v>
                </c:pt>
                <c:pt idx="511">
                  <c:v>13.41</c:v>
                </c:pt>
                <c:pt idx="512">
                  <c:v>13.41</c:v>
                </c:pt>
                <c:pt idx="513">
                  <c:v>13.41</c:v>
                </c:pt>
                <c:pt idx="514">
                  <c:v>13.41</c:v>
                </c:pt>
                <c:pt idx="515">
                  <c:v>13.41</c:v>
                </c:pt>
                <c:pt idx="516">
                  <c:v>13.41</c:v>
                </c:pt>
                <c:pt idx="517">
                  <c:v>13.41</c:v>
                </c:pt>
                <c:pt idx="518">
                  <c:v>13.41</c:v>
                </c:pt>
                <c:pt idx="519">
                  <c:v>13.41</c:v>
                </c:pt>
                <c:pt idx="520">
                  <c:v>13.41</c:v>
                </c:pt>
                <c:pt idx="521">
                  <c:v>13.41</c:v>
                </c:pt>
                <c:pt idx="522">
                  <c:v>13.41</c:v>
                </c:pt>
                <c:pt idx="523">
                  <c:v>13.41</c:v>
                </c:pt>
                <c:pt idx="524">
                  <c:v>13.41</c:v>
                </c:pt>
                <c:pt idx="525">
                  <c:v>13.41</c:v>
                </c:pt>
                <c:pt idx="526">
                  <c:v>13.41</c:v>
                </c:pt>
                <c:pt idx="527">
                  <c:v>12.66</c:v>
                </c:pt>
                <c:pt idx="528">
                  <c:v>11.91</c:v>
                </c:pt>
                <c:pt idx="529">
                  <c:v>11.16</c:v>
                </c:pt>
                <c:pt idx="530">
                  <c:v>10.41</c:v>
                </c:pt>
                <c:pt idx="531">
                  <c:v>9.66</c:v>
                </c:pt>
                <c:pt idx="532">
                  <c:v>8.91</c:v>
                </c:pt>
                <c:pt idx="533">
                  <c:v>8.16</c:v>
                </c:pt>
                <c:pt idx="534">
                  <c:v>7.41</c:v>
                </c:pt>
                <c:pt idx="535">
                  <c:v>6.66</c:v>
                </c:pt>
                <c:pt idx="536">
                  <c:v>5.91</c:v>
                </c:pt>
                <c:pt idx="537">
                  <c:v>5.91</c:v>
                </c:pt>
                <c:pt idx="538">
                  <c:v>5.91</c:v>
                </c:pt>
                <c:pt idx="539">
                  <c:v>5.91</c:v>
                </c:pt>
                <c:pt idx="540">
                  <c:v>5.91</c:v>
                </c:pt>
                <c:pt idx="541">
                  <c:v>5.91</c:v>
                </c:pt>
                <c:pt idx="542">
                  <c:v>5.91</c:v>
                </c:pt>
                <c:pt idx="543">
                  <c:v>5.91</c:v>
                </c:pt>
                <c:pt idx="544">
                  <c:v>6.66</c:v>
                </c:pt>
                <c:pt idx="545">
                  <c:v>7.41</c:v>
                </c:pt>
                <c:pt idx="546">
                  <c:v>8.16</c:v>
                </c:pt>
                <c:pt idx="547">
                  <c:v>8.91</c:v>
                </c:pt>
                <c:pt idx="548">
                  <c:v>9.66</c:v>
                </c:pt>
                <c:pt idx="549">
                  <c:v>10.41</c:v>
                </c:pt>
                <c:pt idx="550">
                  <c:v>11.41</c:v>
                </c:pt>
                <c:pt idx="551">
                  <c:v>12.41</c:v>
                </c:pt>
                <c:pt idx="552">
                  <c:v>13.41</c:v>
                </c:pt>
                <c:pt idx="553">
                  <c:v>13.41</c:v>
                </c:pt>
                <c:pt idx="554">
                  <c:v>13.41</c:v>
                </c:pt>
                <c:pt idx="555">
                  <c:v>13.41</c:v>
                </c:pt>
                <c:pt idx="556">
                  <c:v>13.41</c:v>
                </c:pt>
                <c:pt idx="557">
                  <c:v>13.41</c:v>
                </c:pt>
                <c:pt idx="558">
                  <c:v>13.41</c:v>
                </c:pt>
                <c:pt idx="559">
                  <c:v>12.66</c:v>
                </c:pt>
                <c:pt idx="560">
                  <c:v>11.91</c:v>
                </c:pt>
                <c:pt idx="561">
                  <c:v>11.16</c:v>
                </c:pt>
                <c:pt idx="562">
                  <c:v>10.41</c:v>
                </c:pt>
                <c:pt idx="563">
                  <c:v>9.66</c:v>
                </c:pt>
                <c:pt idx="564">
                  <c:v>8.91</c:v>
                </c:pt>
                <c:pt idx="565">
                  <c:v>8.16</c:v>
                </c:pt>
                <c:pt idx="566">
                  <c:v>7.41</c:v>
                </c:pt>
                <c:pt idx="567">
                  <c:v>6.66</c:v>
                </c:pt>
                <c:pt idx="568">
                  <c:v>5.91</c:v>
                </c:pt>
                <c:pt idx="569">
                  <c:v>5.16</c:v>
                </c:pt>
                <c:pt idx="570">
                  <c:v>4.41</c:v>
                </c:pt>
                <c:pt idx="571">
                  <c:v>3.66</c:v>
                </c:pt>
                <c:pt idx="572">
                  <c:v>2.91</c:v>
                </c:pt>
                <c:pt idx="573">
                  <c:v>2.91</c:v>
                </c:pt>
                <c:pt idx="574">
                  <c:v>2.91</c:v>
                </c:pt>
                <c:pt idx="575">
                  <c:v>2.91</c:v>
                </c:pt>
                <c:pt idx="576">
                  <c:v>2.91</c:v>
                </c:pt>
                <c:pt idx="577">
                  <c:v>2.91</c:v>
                </c:pt>
                <c:pt idx="578">
                  <c:v>2.91</c:v>
                </c:pt>
                <c:pt idx="579">
                  <c:v>2.91</c:v>
                </c:pt>
                <c:pt idx="580">
                  <c:v>2.91</c:v>
                </c:pt>
                <c:pt idx="581">
                  <c:v>2.91</c:v>
                </c:pt>
                <c:pt idx="582">
                  <c:v>2.91</c:v>
                </c:pt>
                <c:pt idx="583">
                  <c:v>2.91</c:v>
                </c:pt>
                <c:pt idx="584">
                  <c:v>3.21</c:v>
                </c:pt>
                <c:pt idx="585">
                  <c:v>3.51</c:v>
                </c:pt>
                <c:pt idx="586">
                  <c:v>3.8099999999999996</c:v>
                </c:pt>
                <c:pt idx="587">
                  <c:v>4.1099999999999994</c:v>
                </c:pt>
                <c:pt idx="588">
                  <c:v>4.4099999999999993</c:v>
                </c:pt>
                <c:pt idx="589">
                  <c:v>4.7099999999999991</c:v>
                </c:pt>
                <c:pt idx="590">
                  <c:v>5.0099999999999989</c:v>
                </c:pt>
                <c:pt idx="591">
                  <c:v>5.3099999999999987</c:v>
                </c:pt>
                <c:pt idx="592">
                  <c:v>6.0599999999999987</c:v>
                </c:pt>
                <c:pt idx="593">
                  <c:v>6.8099999999999987</c:v>
                </c:pt>
                <c:pt idx="594">
                  <c:v>7.5599999999999987</c:v>
                </c:pt>
                <c:pt idx="595">
                  <c:v>8.3099999999999987</c:v>
                </c:pt>
                <c:pt idx="596">
                  <c:v>9.0599999999999987</c:v>
                </c:pt>
                <c:pt idx="597">
                  <c:v>9.8099999999999987</c:v>
                </c:pt>
                <c:pt idx="598">
                  <c:v>10.559999999999999</c:v>
                </c:pt>
                <c:pt idx="599">
                  <c:v>11.309999999999999</c:v>
                </c:pt>
                <c:pt idx="600">
                  <c:v>12.059999999999999</c:v>
                </c:pt>
                <c:pt idx="601">
                  <c:v>12.809999999999999</c:v>
                </c:pt>
                <c:pt idx="602">
                  <c:v>13.41</c:v>
                </c:pt>
                <c:pt idx="603">
                  <c:v>13.41</c:v>
                </c:pt>
                <c:pt idx="604">
                  <c:v>13.41</c:v>
                </c:pt>
                <c:pt idx="605">
                  <c:v>13.41</c:v>
                </c:pt>
                <c:pt idx="606">
                  <c:v>13.41</c:v>
                </c:pt>
                <c:pt idx="607">
                  <c:v>13.41</c:v>
                </c:pt>
                <c:pt idx="608">
                  <c:v>12.5</c:v>
                </c:pt>
                <c:pt idx="609">
                  <c:v>12</c:v>
                </c:pt>
                <c:pt idx="610">
                  <c:v>12</c:v>
                </c:pt>
                <c:pt idx="611">
                  <c:v>12.5</c:v>
                </c:pt>
                <c:pt idx="612">
                  <c:v>13</c:v>
                </c:pt>
                <c:pt idx="613">
                  <c:v>13.41</c:v>
                </c:pt>
                <c:pt idx="614">
                  <c:v>13.41</c:v>
                </c:pt>
                <c:pt idx="615">
                  <c:v>13.41</c:v>
                </c:pt>
                <c:pt idx="616">
                  <c:v>13.41</c:v>
                </c:pt>
                <c:pt idx="617">
                  <c:v>13.41</c:v>
                </c:pt>
                <c:pt idx="618">
                  <c:v>13.41</c:v>
                </c:pt>
                <c:pt idx="619">
                  <c:v>13.41</c:v>
                </c:pt>
                <c:pt idx="620">
                  <c:v>13.41</c:v>
                </c:pt>
                <c:pt idx="621">
                  <c:v>13.41</c:v>
                </c:pt>
                <c:pt idx="622">
                  <c:v>13.41</c:v>
                </c:pt>
                <c:pt idx="623">
                  <c:v>13.41</c:v>
                </c:pt>
                <c:pt idx="624">
                  <c:v>13.41</c:v>
                </c:pt>
                <c:pt idx="625">
                  <c:v>13.41</c:v>
                </c:pt>
                <c:pt idx="626">
                  <c:v>13.41</c:v>
                </c:pt>
                <c:pt idx="627">
                  <c:v>13.41</c:v>
                </c:pt>
                <c:pt idx="628">
                  <c:v>13.41</c:v>
                </c:pt>
                <c:pt idx="629">
                  <c:v>13.41</c:v>
                </c:pt>
                <c:pt idx="630">
                  <c:v>13.41</c:v>
                </c:pt>
                <c:pt idx="631">
                  <c:v>13.41</c:v>
                </c:pt>
                <c:pt idx="632">
                  <c:v>13.41</c:v>
                </c:pt>
                <c:pt idx="633">
                  <c:v>13.41</c:v>
                </c:pt>
                <c:pt idx="634">
                  <c:v>13.41</c:v>
                </c:pt>
                <c:pt idx="635">
                  <c:v>13.41</c:v>
                </c:pt>
                <c:pt idx="636">
                  <c:v>13.41</c:v>
                </c:pt>
                <c:pt idx="637">
                  <c:v>13.41</c:v>
                </c:pt>
                <c:pt idx="638">
                  <c:v>13.41</c:v>
                </c:pt>
                <c:pt idx="639">
                  <c:v>13.41</c:v>
                </c:pt>
                <c:pt idx="640">
                  <c:v>13.41</c:v>
                </c:pt>
                <c:pt idx="641">
                  <c:v>13.41</c:v>
                </c:pt>
                <c:pt idx="642">
                  <c:v>13.41</c:v>
                </c:pt>
                <c:pt idx="643">
                  <c:v>13.41</c:v>
                </c:pt>
                <c:pt idx="644">
                  <c:v>13.41</c:v>
                </c:pt>
                <c:pt idx="645">
                  <c:v>13.41</c:v>
                </c:pt>
                <c:pt idx="646">
                  <c:v>13.41</c:v>
                </c:pt>
                <c:pt idx="647">
                  <c:v>13.41</c:v>
                </c:pt>
                <c:pt idx="648">
                  <c:v>13.41</c:v>
                </c:pt>
                <c:pt idx="649">
                  <c:v>13.41</c:v>
                </c:pt>
                <c:pt idx="650">
                  <c:v>13.41</c:v>
                </c:pt>
                <c:pt idx="651">
                  <c:v>13.41</c:v>
                </c:pt>
                <c:pt idx="652">
                  <c:v>13.41</c:v>
                </c:pt>
                <c:pt idx="653">
                  <c:v>13.41</c:v>
                </c:pt>
                <c:pt idx="654">
                  <c:v>13.41</c:v>
                </c:pt>
                <c:pt idx="655">
                  <c:v>13.41</c:v>
                </c:pt>
                <c:pt idx="656">
                  <c:v>13.41</c:v>
                </c:pt>
                <c:pt idx="657">
                  <c:v>13.41</c:v>
                </c:pt>
                <c:pt idx="658">
                  <c:v>13.41</c:v>
                </c:pt>
                <c:pt idx="659">
                  <c:v>13.41</c:v>
                </c:pt>
                <c:pt idx="660">
                  <c:v>13.41</c:v>
                </c:pt>
                <c:pt idx="661">
                  <c:v>13.41</c:v>
                </c:pt>
                <c:pt idx="662">
                  <c:v>13.41</c:v>
                </c:pt>
                <c:pt idx="663">
                  <c:v>13.41</c:v>
                </c:pt>
                <c:pt idx="664">
                  <c:v>13.41</c:v>
                </c:pt>
                <c:pt idx="665">
                  <c:v>13.41</c:v>
                </c:pt>
                <c:pt idx="666">
                  <c:v>13.41</c:v>
                </c:pt>
                <c:pt idx="667">
                  <c:v>13.41</c:v>
                </c:pt>
                <c:pt idx="668">
                  <c:v>13.41</c:v>
                </c:pt>
                <c:pt idx="669">
                  <c:v>13.41</c:v>
                </c:pt>
                <c:pt idx="670">
                  <c:v>13.41</c:v>
                </c:pt>
                <c:pt idx="671">
                  <c:v>13.41</c:v>
                </c:pt>
                <c:pt idx="672">
                  <c:v>13.41</c:v>
                </c:pt>
                <c:pt idx="673">
                  <c:v>13.41</c:v>
                </c:pt>
                <c:pt idx="674">
                  <c:v>13.41</c:v>
                </c:pt>
                <c:pt idx="675">
                  <c:v>13.41</c:v>
                </c:pt>
                <c:pt idx="676">
                  <c:v>13.41</c:v>
                </c:pt>
                <c:pt idx="677">
                  <c:v>13.41</c:v>
                </c:pt>
                <c:pt idx="678">
                  <c:v>13.41</c:v>
                </c:pt>
                <c:pt idx="679">
                  <c:v>13.41</c:v>
                </c:pt>
                <c:pt idx="680">
                  <c:v>13.41</c:v>
                </c:pt>
                <c:pt idx="681">
                  <c:v>13.41</c:v>
                </c:pt>
                <c:pt idx="682">
                  <c:v>13.41</c:v>
                </c:pt>
                <c:pt idx="683">
                  <c:v>13.41</c:v>
                </c:pt>
                <c:pt idx="684">
                  <c:v>13.41</c:v>
                </c:pt>
                <c:pt idx="685">
                  <c:v>13.41</c:v>
                </c:pt>
                <c:pt idx="686">
                  <c:v>13.41</c:v>
                </c:pt>
                <c:pt idx="687">
                  <c:v>13.41</c:v>
                </c:pt>
                <c:pt idx="688">
                  <c:v>13.41</c:v>
                </c:pt>
                <c:pt idx="689">
                  <c:v>13.41</c:v>
                </c:pt>
                <c:pt idx="690">
                  <c:v>12.91</c:v>
                </c:pt>
                <c:pt idx="691">
                  <c:v>12.41</c:v>
                </c:pt>
                <c:pt idx="692">
                  <c:v>11.91</c:v>
                </c:pt>
                <c:pt idx="693">
                  <c:v>11.41</c:v>
                </c:pt>
                <c:pt idx="694">
                  <c:v>10.91</c:v>
                </c:pt>
                <c:pt idx="695">
                  <c:v>10.41</c:v>
                </c:pt>
                <c:pt idx="696">
                  <c:v>9.91</c:v>
                </c:pt>
                <c:pt idx="697">
                  <c:v>9.41</c:v>
                </c:pt>
                <c:pt idx="698">
                  <c:v>8.91</c:v>
                </c:pt>
                <c:pt idx="699">
                  <c:v>8.41</c:v>
                </c:pt>
                <c:pt idx="700">
                  <c:v>7.91</c:v>
                </c:pt>
                <c:pt idx="701">
                  <c:v>7.41</c:v>
                </c:pt>
                <c:pt idx="702">
                  <c:v>6.91</c:v>
                </c:pt>
                <c:pt idx="703">
                  <c:v>6.41</c:v>
                </c:pt>
                <c:pt idx="704">
                  <c:v>5.91</c:v>
                </c:pt>
                <c:pt idx="705">
                  <c:v>5.41</c:v>
                </c:pt>
                <c:pt idx="706">
                  <c:v>4.91</c:v>
                </c:pt>
                <c:pt idx="707">
                  <c:v>4.41</c:v>
                </c:pt>
                <c:pt idx="708">
                  <c:v>3.91</c:v>
                </c:pt>
                <c:pt idx="709">
                  <c:v>3.41</c:v>
                </c:pt>
                <c:pt idx="710">
                  <c:v>2.91</c:v>
                </c:pt>
                <c:pt idx="711">
                  <c:v>2.41</c:v>
                </c:pt>
                <c:pt idx="712">
                  <c:v>2.41</c:v>
                </c:pt>
                <c:pt idx="713">
                  <c:v>2.41</c:v>
                </c:pt>
                <c:pt idx="714">
                  <c:v>2.41</c:v>
                </c:pt>
                <c:pt idx="715">
                  <c:v>2.41</c:v>
                </c:pt>
                <c:pt idx="716">
                  <c:v>2.41</c:v>
                </c:pt>
                <c:pt idx="717">
                  <c:v>2.41</c:v>
                </c:pt>
                <c:pt idx="718">
                  <c:v>2.41</c:v>
                </c:pt>
                <c:pt idx="719">
                  <c:v>2.41</c:v>
                </c:pt>
                <c:pt idx="720">
                  <c:v>2.41</c:v>
                </c:pt>
                <c:pt idx="721">
                  <c:v>2.41</c:v>
                </c:pt>
                <c:pt idx="722">
                  <c:v>2.41</c:v>
                </c:pt>
                <c:pt idx="723">
                  <c:v>2.71</c:v>
                </c:pt>
                <c:pt idx="724">
                  <c:v>3.01</c:v>
                </c:pt>
                <c:pt idx="725">
                  <c:v>3.3099999999999996</c:v>
                </c:pt>
                <c:pt idx="726">
                  <c:v>3.6099999999999994</c:v>
                </c:pt>
                <c:pt idx="727">
                  <c:v>3.9099999999999993</c:v>
                </c:pt>
                <c:pt idx="728">
                  <c:v>4.2099999999999991</c:v>
                </c:pt>
                <c:pt idx="729">
                  <c:v>4.5099999999999989</c:v>
                </c:pt>
                <c:pt idx="730">
                  <c:v>4.8099999999999987</c:v>
                </c:pt>
                <c:pt idx="731">
                  <c:v>5.1099999999999985</c:v>
                </c:pt>
                <c:pt idx="732">
                  <c:v>5.4099999999999984</c:v>
                </c:pt>
                <c:pt idx="733">
                  <c:v>5.7099999999999982</c:v>
                </c:pt>
                <c:pt idx="734">
                  <c:v>6.009999999999998</c:v>
                </c:pt>
                <c:pt idx="735">
                  <c:v>6.759999999999998</c:v>
                </c:pt>
                <c:pt idx="736">
                  <c:v>7.509999999999998</c:v>
                </c:pt>
                <c:pt idx="737">
                  <c:v>8.259999999999998</c:v>
                </c:pt>
                <c:pt idx="738">
                  <c:v>9.009999999999998</c:v>
                </c:pt>
                <c:pt idx="739">
                  <c:v>9.759999999999998</c:v>
                </c:pt>
                <c:pt idx="740">
                  <c:v>10.509999999999998</c:v>
                </c:pt>
                <c:pt idx="741">
                  <c:v>11.259999999999998</c:v>
                </c:pt>
                <c:pt idx="742">
                  <c:v>12.259999999999998</c:v>
                </c:pt>
                <c:pt idx="743">
                  <c:v>13.259999999999998</c:v>
                </c:pt>
                <c:pt idx="744">
                  <c:v>13.41</c:v>
                </c:pt>
                <c:pt idx="745">
                  <c:v>13.41</c:v>
                </c:pt>
                <c:pt idx="746">
                  <c:v>13.41</c:v>
                </c:pt>
                <c:pt idx="747">
                  <c:v>13.41</c:v>
                </c:pt>
                <c:pt idx="748">
                  <c:v>13.41</c:v>
                </c:pt>
                <c:pt idx="749">
                  <c:v>13.41</c:v>
                </c:pt>
                <c:pt idx="750">
                  <c:v>13.41</c:v>
                </c:pt>
                <c:pt idx="751">
                  <c:v>13.41</c:v>
                </c:pt>
                <c:pt idx="752">
                  <c:v>13.41</c:v>
                </c:pt>
                <c:pt idx="753">
                  <c:v>13.41</c:v>
                </c:pt>
                <c:pt idx="754">
                  <c:v>13.41</c:v>
                </c:pt>
                <c:pt idx="755">
                  <c:v>12.91</c:v>
                </c:pt>
                <c:pt idx="756">
                  <c:v>12.41</c:v>
                </c:pt>
                <c:pt idx="757">
                  <c:v>11.91</c:v>
                </c:pt>
                <c:pt idx="758">
                  <c:v>11.41</c:v>
                </c:pt>
                <c:pt idx="759">
                  <c:v>10.91</c:v>
                </c:pt>
                <c:pt idx="760">
                  <c:v>10.41</c:v>
                </c:pt>
                <c:pt idx="761">
                  <c:v>9.91</c:v>
                </c:pt>
                <c:pt idx="762">
                  <c:v>9.41</c:v>
                </c:pt>
                <c:pt idx="763">
                  <c:v>8.91</c:v>
                </c:pt>
                <c:pt idx="764">
                  <c:v>8.41</c:v>
                </c:pt>
                <c:pt idx="765">
                  <c:v>7.91</c:v>
                </c:pt>
                <c:pt idx="766">
                  <c:v>7.41</c:v>
                </c:pt>
                <c:pt idx="767">
                  <c:v>6.91</c:v>
                </c:pt>
                <c:pt idx="768">
                  <c:v>6.41</c:v>
                </c:pt>
                <c:pt idx="769">
                  <c:v>5.91</c:v>
                </c:pt>
                <c:pt idx="770">
                  <c:v>5.41</c:v>
                </c:pt>
                <c:pt idx="771">
                  <c:v>4.91</c:v>
                </c:pt>
                <c:pt idx="772">
                  <c:v>4.41</c:v>
                </c:pt>
                <c:pt idx="773">
                  <c:v>4.41</c:v>
                </c:pt>
                <c:pt idx="774">
                  <c:v>4.41</c:v>
                </c:pt>
                <c:pt idx="775">
                  <c:v>4.41</c:v>
                </c:pt>
                <c:pt idx="776">
                  <c:v>4.41</c:v>
                </c:pt>
                <c:pt idx="777">
                  <c:v>4.41</c:v>
                </c:pt>
                <c:pt idx="778">
                  <c:v>4.41</c:v>
                </c:pt>
                <c:pt idx="779">
                  <c:v>4.41</c:v>
                </c:pt>
                <c:pt idx="780">
                  <c:v>4.41</c:v>
                </c:pt>
                <c:pt idx="781">
                  <c:v>4.41</c:v>
                </c:pt>
                <c:pt idx="782">
                  <c:v>4.41</c:v>
                </c:pt>
                <c:pt idx="783">
                  <c:v>4.71</c:v>
                </c:pt>
                <c:pt idx="784">
                  <c:v>5.01</c:v>
                </c:pt>
                <c:pt idx="785">
                  <c:v>5.31</c:v>
                </c:pt>
                <c:pt idx="786">
                  <c:v>5.6099999999999994</c:v>
                </c:pt>
                <c:pt idx="787">
                  <c:v>5.9099999999999993</c:v>
                </c:pt>
                <c:pt idx="788">
                  <c:v>6.7099999999999991</c:v>
                </c:pt>
                <c:pt idx="789">
                  <c:v>7.5099999999999989</c:v>
                </c:pt>
                <c:pt idx="790">
                  <c:v>8.3099999999999987</c:v>
                </c:pt>
                <c:pt idx="791">
                  <c:v>9.11</c:v>
                </c:pt>
                <c:pt idx="792">
                  <c:v>9.91</c:v>
                </c:pt>
                <c:pt idx="793">
                  <c:v>10.71</c:v>
                </c:pt>
                <c:pt idx="794">
                  <c:v>11.510000000000002</c:v>
                </c:pt>
                <c:pt idx="795">
                  <c:v>12.310000000000002</c:v>
                </c:pt>
                <c:pt idx="796">
                  <c:v>13.110000000000003</c:v>
                </c:pt>
                <c:pt idx="797">
                  <c:v>13.41</c:v>
                </c:pt>
                <c:pt idx="798">
                  <c:v>13.41</c:v>
                </c:pt>
                <c:pt idx="799">
                  <c:v>13.41</c:v>
                </c:pt>
                <c:pt idx="800">
                  <c:v>13.41</c:v>
                </c:pt>
                <c:pt idx="801">
                  <c:v>13.41</c:v>
                </c:pt>
                <c:pt idx="802">
                  <c:v>13.41</c:v>
                </c:pt>
                <c:pt idx="803">
                  <c:v>13.41</c:v>
                </c:pt>
                <c:pt idx="804">
                  <c:v>13.41</c:v>
                </c:pt>
                <c:pt idx="805">
                  <c:v>13.41</c:v>
                </c:pt>
                <c:pt idx="806">
                  <c:v>13.41</c:v>
                </c:pt>
                <c:pt idx="807">
                  <c:v>13.41</c:v>
                </c:pt>
                <c:pt idx="808">
                  <c:v>13.41</c:v>
                </c:pt>
                <c:pt idx="809">
                  <c:v>13.41</c:v>
                </c:pt>
                <c:pt idx="810">
                  <c:v>13.41</c:v>
                </c:pt>
                <c:pt idx="811">
                  <c:v>13.41</c:v>
                </c:pt>
                <c:pt idx="812">
                  <c:v>13.41</c:v>
                </c:pt>
                <c:pt idx="813">
                  <c:v>13.41</c:v>
                </c:pt>
                <c:pt idx="814">
                  <c:v>13.41</c:v>
                </c:pt>
                <c:pt idx="815">
                  <c:v>13.41</c:v>
                </c:pt>
                <c:pt idx="816">
                  <c:v>13.41</c:v>
                </c:pt>
                <c:pt idx="817">
                  <c:v>13.41</c:v>
                </c:pt>
                <c:pt idx="818">
                  <c:v>13.41</c:v>
                </c:pt>
                <c:pt idx="819">
                  <c:v>13.41</c:v>
                </c:pt>
                <c:pt idx="820">
                  <c:v>13.41</c:v>
                </c:pt>
                <c:pt idx="821">
                  <c:v>12.91</c:v>
                </c:pt>
                <c:pt idx="822">
                  <c:v>12.41</c:v>
                </c:pt>
                <c:pt idx="823">
                  <c:v>11.91</c:v>
                </c:pt>
                <c:pt idx="824">
                  <c:v>11.41</c:v>
                </c:pt>
                <c:pt idx="825">
                  <c:v>10.91</c:v>
                </c:pt>
                <c:pt idx="826">
                  <c:v>10.41</c:v>
                </c:pt>
                <c:pt idx="827">
                  <c:v>9.91</c:v>
                </c:pt>
                <c:pt idx="828">
                  <c:v>9.41</c:v>
                </c:pt>
                <c:pt idx="829">
                  <c:v>8.91</c:v>
                </c:pt>
                <c:pt idx="830">
                  <c:v>8.41</c:v>
                </c:pt>
                <c:pt idx="831">
                  <c:v>7.91</c:v>
                </c:pt>
                <c:pt idx="832">
                  <c:v>7.41</c:v>
                </c:pt>
                <c:pt idx="833">
                  <c:v>6.91</c:v>
                </c:pt>
                <c:pt idx="834">
                  <c:v>6.41</c:v>
                </c:pt>
                <c:pt idx="835">
                  <c:v>5.91</c:v>
                </c:pt>
                <c:pt idx="836">
                  <c:v>5.41</c:v>
                </c:pt>
                <c:pt idx="837">
                  <c:v>5.41</c:v>
                </c:pt>
                <c:pt idx="838">
                  <c:v>5.41</c:v>
                </c:pt>
                <c:pt idx="839">
                  <c:v>5.41</c:v>
                </c:pt>
                <c:pt idx="840">
                  <c:v>5.41</c:v>
                </c:pt>
                <c:pt idx="841">
                  <c:v>5.41</c:v>
                </c:pt>
                <c:pt idx="842">
                  <c:v>5.41</c:v>
                </c:pt>
                <c:pt idx="843">
                  <c:v>5.41</c:v>
                </c:pt>
                <c:pt idx="844">
                  <c:v>5.41</c:v>
                </c:pt>
                <c:pt idx="845">
                  <c:v>5.41</c:v>
                </c:pt>
                <c:pt idx="846">
                  <c:v>5.41</c:v>
                </c:pt>
                <c:pt idx="847">
                  <c:v>5.41</c:v>
                </c:pt>
                <c:pt idx="848">
                  <c:v>5.41</c:v>
                </c:pt>
                <c:pt idx="849">
                  <c:v>5.41</c:v>
                </c:pt>
                <c:pt idx="850">
                  <c:v>5.41</c:v>
                </c:pt>
                <c:pt idx="851">
                  <c:v>5.41</c:v>
                </c:pt>
                <c:pt idx="852">
                  <c:v>5.41</c:v>
                </c:pt>
                <c:pt idx="853">
                  <c:v>5.41</c:v>
                </c:pt>
                <c:pt idx="854">
                  <c:v>5.41</c:v>
                </c:pt>
                <c:pt idx="855">
                  <c:v>5.41</c:v>
                </c:pt>
                <c:pt idx="856">
                  <c:v>5.41</c:v>
                </c:pt>
                <c:pt idx="857">
                  <c:v>5.41</c:v>
                </c:pt>
                <c:pt idx="858">
                  <c:v>5.71</c:v>
                </c:pt>
                <c:pt idx="859">
                  <c:v>6.01</c:v>
                </c:pt>
                <c:pt idx="860">
                  <c:v>6.31</c:v>
                </c:pt>
                <c:pt idx="861">
                  <c:v>6.6099999999999994</c:v>
                </c:pt>
                <c:pt idx="862">
                  <c:v>6.9099999999999993</c:v>
                </c:pt>
                <c:pt idx="863">
                  <c:v>7.2099999999999991</c:v>
                </c:pt>
                <c:pt idx="864">
                  <c:v>7.5099999999999989</c:v>
                </c:pt>
                <c:pt idx="865">
                  <c:v>7.8099999999999987</c:v>
                </c:pt>
                <c:pt idx="866">
                  <c:v>8.11</c:v>
                </c:pt>
                <c:pt idx="867">
                  <c:v>8.41</c:v>
                </c:pt>
                <c:pt idx="868">
                  <c:v>8.7100000000000009</c:v>
                </c:pt>
                <c:pt idx="869">
                  <c:v>9.0100000000000016</c:v>
                </c:pt>
                <c:pt idx="870">
                  <c:v>9.3100000000000023</c:v>
                </c:pt>
                <c:pt idx="871">
                  <c:v>9.610000000000003</c:v>
                </c:pt>
                <c:pt idx="872">
                  <c:v>9.9100000000000037</c:v>
                </c:pt>
                <c:pt idx="873">
                  <c:v>10.210000000000004</c:v>
                </c:pt>
                <c:pt idx="874">
                  <c:v>10.210000000000001</c:v>
                </c:pt>
                <c:pt idx="875">
                  <c:v>10.210000000000001</c:v>
                </c:pt>
                <c:pt idx="876">
                  <c:v>10.210000000000001</c:v>
                </c:pt>
                <c:pt idx="877">
                  <c:v>10.210000000000001</c:v>
                </c:pt>
                <c:pt idx="878">
                  <c:v>10.210000000000001</c:v>
                </c:pt>
                <c:pt idx="879">
                  <c:v>10.210000000000001</c:v>
                </c:pt>
                <c:pt idx="880">
                  <c:v>10.210000000000001</c:v>
                </c:pt>
                <c:pt idx="881">
                  <c:v>10.210000000000001</c:v>
                </c:pt>
                <c:pt idx="882">
                  <c:v>10.210000000000001</c:v>
                </c:pt>
                <c:pt idx="883">
                  <c:v>10.210000000000001</c:v>
                </c:pt>
                <c:pt idx="884">
                  <c:v>10.210000000000001</c:v>
                </c:pt>
                <c:pt idx="885">
                  <c:v>10.210000000000001</c:v>
                </c:pt>
                <c:pt idx="886">
                  <c:v>10.210000000000001</c:v>
                </c:pt>
                <c:pt idx="887">
                  <c:v>10.210000000000001</c:v>
                </c:pt>
                <c:pt idx="888">
                  <c:v>10.210000000000001</c:v>
                </c:pt>
                <c:pt idx="889">
                  <c:v>10.210000000000001</c:v>
                </c:pt>
                <c:pt idx="890">
                  <c:v>10.210000000000001</c:v>
                </c:pt>
                <c:pt idx="891">
                  <c:v>10.210000000000001</c:v>
                </c:pt>
                <c:pt idx="892">
                  <c:v>10.210000000000001</c:v>
                </c:pt>
                <c:pt idx="893">
                  <c:v>10.210000000000001</c:v>
                </c:pt>
                <c:pt idx="894">
                  <c:v>10.210000000000001</c:v>
                </c:pt>
                <c:pt idx="895">
                  <c:v>10.210000000000001</c:v>
                </c:pt>
                <c:pt idx="896">
                  <c:v>10.210000000000001</c:v>
                </c:pt>
                <c:pt idx="897">
                  <c:v>10.210000000000001</c:v>
                </c:pt>
                <c:pt idx="898">
                  <c:v>10.210000000000001</c:v>
                </c:pt>
                <c:pt idx="899">
                  <c:v>10.210000000000001</c:v>
                </c:pt>
                <c:pt idx="900">
                  <c:v>10.210000000000001</c:v>
                </c:pt>
                <c:pt idx="901">
                  <c:v>10.210000000000001</c:v>
                </c:pt>
                <c:pt idx="902">
                  <c:v>10.210000000000001</c:v>
                </c:pt>
                <c:pt idx="903">
                  <c:v>10.210000000000001</c:v>
                </c:pt>
                <c:pt idx="904">
                  <c:v>10.210000000000001</c:v>
                </c:pt>
                <c:pt idx="905">
                  <c:v>10.210000000000001</c:v>
                </c:pt>
                <c:pt idx="906">
                  <c:v>10.210000000000001</c:v>
                </c:pt>
                <c:pt idx="907">
                  <c:v>10.210000000000001</c:v>
                </c:pt>
                <c:pt idx="908">
                  <c:v>10.210000000000001</c:v>
                </c:pt>
                <c:pt idx="909">
                  <c:v>10.210000000000001</c:v>
                </c:pt>
                <c:pt idx="910">
                  <c:v>10.210000000000001</c:v>
                </c:pt>
                <c:pt idx="911">
                  <c:v>10.210000000000001</c:v>
                </c:pt>
                <c:pt idx="912">
                  <c:v>10.210000000000001</c:v>
                </c:pt>
                <c:pt idx="913">
                  <c:v>10.210000000000001</c:v>
                </c:pt>
                <c:pt idx="914">
                  <c:v>10.210000000000001</c:v>
                </c:pt>
                <c:pt idx="915">
                  <c:v>10.210000000000001</c:v>
                </c:pt>
                <c:pt idx="916">
                  <c:v>10.210000000000001</c:v>
                </c:pt>
                <c:pt idx="917">
                  <c:v>10.210000000000001</c:v>
                </c:pt>
                <c:pt idx="918">
                  <c:v>10.210000000000001</c:v>
                </c:pt>
                <c:pt idx="919">
                  <c:v>10.210000000000001</c:v>
                </c:pt>
                <c:pt idx="920">
                  <c:v>10.210000000000001</c:v>
                </c:pt>
                <c:pt idx="921">
                  <c:v>10.210000000000001</c:v>
                </c:pt>
                <c:pt idx="922">
                  <c:v>10.210000000000001</c:v>
                </c:pt>
                <c:pt idx="923">
                  <c:v>10.210000000000001</c:v>
                </c:pt>
                <c:pt idx="924">
                  <c:v>10.210000000000001</c:v>
                </c:pt>
                <c:pt idx="925">
                  <c:v>10.210000000000001</c:v>
                </c:pt>
                <c:pt idx="926">
                  <c:v>10.210000000000001</c:v>
                </c:pt>
                <c:pt idx="927">
                  <c:v>10.210000000000001</c:v>
                </c:pt>
                <c:pt idx="928">
                  <c:v>10.210000000000001</c:v>
                </c:pt>
                <c:pt idx="929">
                  <c:v>10.210000000000001</c:v>
                </c:pt>
                <c:pt idx="930">
                  <c:v>10.210000000000001</c:v>
                </c:pt>
                <c:pt idx="931">
                  <c:v>10.210000000000001</c:v>
                </c:pt>
                <c:pt idx="932">
                  <c:v>10.210000000000001</c:v>
                </c:pt>
                <c:pt idx="933">
                  <c:v>10.210000000000001</c:v>
                </c:pt>
                <c:pt idx="934">
                  <c:v>10.210000000000001</c:v>
                </c:pt>
                <c:pt idx="935">
                  <c:v>10.71</c:v>
                </c:pt>
                <c:pt idx="936">
                  <c:v>11.21</c:v>
                </c:pt>
                <c:pt idx="937">
                  <c:v>11.71</c:v>
                </c:pt>
                <c:pt idx="938">
                  <c:v>12.21</c:v>
                </c:pt>
                <c:pt idx="939">
                  <c:v>12.71</c:v>
                </c:pt>
                <c:pt idx="940">
                  <c:v>13.21</c:v>
                </c:pt>
                <c:pt idx="941">
                  <c:v>13.41</c:v>
                </c:pt>
                <c:pt idx="942">
                  <c:v>13.41</c:v>
                </c:pt>
                <c:pt idx="943">
                  <c:v>13.41</c:v>
                </c:pt>
                <c:pt idx="944">
                  <c:v>13.41</c:v>
                </c:pt>
                <c:pt idx="945">
                  <c:v>13.41</c:v>
                </c:pt>
                <c:pt idx="946">
                  <c:v>13.41</c:v>
                </c:pt>
                <c:pt idx="947">
                  <c:v>13.41</c:v>
                </c:pt>
                <c:pt idx="948">
                  <c:v>13.41</c:v>
                </c:pt>
                <c:pt idx="949">
                  <c:v>13.41</c:v>
                </c:pt>
                <c:pt idx="950">
                  <c:v>13.41</c:v>
                </c:pt>
                <c:pt idx="951">
                  <c:v>13.41</c:v>
                </c:pt>
                <c:pt idx="952">
                  <c:v>13.41</c:v>
                </c:pt>
                <c:pt idx="953">
                  <c:v>13.41</c:v>
                </c:pt>
                <c:pt idx="954">
                  <c:v>13.41</c:v>
                </c:pt>
                <c:pt idx="955">
                  <c:v>13.41</c:v>
                </c:pt>
                <c:pt idx="956">
                  <c:v>13.41</c:v>
                </c:pt>
                <c:pt idx="957">
                  <c:v>13.41</c:v>
                </c:pt>
                <c:pt idx="958">
                  <c:v>13.41</c:v>
                </c:pt>
                <c:pt idx="959">
                  <c:v>13.41</c:v>
                </c:pt>
                <c:pt idx="960">
                  <c:v>13.41</c:v>
                </c:pt>
                <c:pt idx="961">
                  <c:v>13.41</c:v>
                </c:pt>
                <c:pt idx="962">
                  <c:v>13.41</c:v>
                </c:pt>
                <c:pt idx="963">
                  <c:v>13.41</c:v>
                </c:pt>
                <c:pt idx="964">
                  <c:v>13.41</c:v>
                </c:pt>
                <c:pt idx="965">
                  <c:v>13.41</c:v>
                </c:pt>
                <c:pt idx="966">
                  <c:v>13.41</c:v>
                </c:pt>
                <c:pt idx="967">
                  <c:v>13.41</c:v>
                </c:pt>
                <c:pt idx="968">
                  <c:v>13.41</c:v>
                </c:pt>
                <c:pt idx="969">
                  <c:v>13.41</c:v>
                </c:pt>
                <c:pt idx="970">
                  <c:v>12.66</c:v>
                </c:pt>
                <c:pt idx="971">
                  <c:v>11.91</c:v>
                </c:pt>
                <c:pt idx="972">
                  <c:v>11.16</c:v>
                </c:pt>
                <c:pt idx="973">
                  <c:v>10.41</c:v>
                </c:pt>
                <c:pt idx="974">
                  <c:v>9.66</c:v>
                </c:pt>
                <c:pt idx="975">
                  <c:v>8.91</c:v>
                </c:pt>
                <c:pt idx="976">
                  <c:v>8.16</c:v>
                </c:pt>
                <c:pt idx="977">
                  <c:v>7.41</c:v>
                </c:pt>
                <c:pt idx="978">
                  <c:v>6.66</c:v>
                </c:pt>
                <c:pt idx="979">
                  <c:v>5.91</c:v>
                </c:pt>
                <c:pt idx="980">
                  <c:v>5.91</c:v>
                </c:pt>
                <c:pt idx="981">
                  <c:v>5.91</c:v>
                </c:pt>
                <c:pt idx="982">
                  <c:v>5.91</c:v>
                </c:pt>
                <c:pt idx="983">
                  <c:v>5.91</c:v>
                </c:pt>
                <c:pt idx="984">
                  <c:v>5.91</c:v>
                </c:pt>
                <c:pt idx="985">
                  <c:v>5.91</c:v>
                </c:pt>
                <c:pt idx="986">
                  <c:v>5.91</c:v>
                </c:pt>
                <c:pt idx="987">
                  <c:v>5.91</c:v>
                </c:pt>
                <c:pt idx="988">
                  <c:v>5.91</c:v>
                </c:pt>
                <c:pt idx="989">
                  <c:v>5.91</c:v>
                </c:pt>
                <c:pt idx="990">
                  <c:v>5.91</c:v>
                </c:pt>
                <c:pt idx="991">
                  <c:v>5.91</c:v>
                </c:pt>
                <c:pt idx="992">
                  <c:v>6.66</c:v>
                </c:pt>
                <c:pt idx="993">
                  <c:v>7.41</c:v>
                </c:pt>
                <c:pt idx="994">
                  <c:v>8.16</c:v>
                </c:pt>
                <c:pt idx="995">
                  <c:v>8.91</c:v>
                </c:pt>
                <c:pt idx="996">
                  <c:v>9.66</c:v>
                </c:pt>
                <c:pt idx="997">
                  <c:v>10.41</c:v>
                </c:pt>
                <c:pt idx="998">
                  <c:v>11.16</c:v>
                </c:pt>
                <c:pt idx="999">
                  <c:v>11.91</c:v>
                </c:pt>
                <c:pt idx="1000">
                  <c:v>12.66</c:v>
                </c:pt>
                <c:pt idx="1001">
                  <c:v>11.91</c:v>
                </c:pt>
                <c:pt idx="1002">
                  <c:v>11.16</c:v>
                </c:pt>
                <c:pt idx="1003">
                  <c:v>10.41</c:v>
                </c:pt>
                <c:pt idx="1004">
                  <c:v>9.66</c:v>
                </c:pt>
                <c:pt idx="1005">
                  <c:v>8.91</c:v>
                </c:pt>
                <c:pt idx="1006">
                  <c:v>8.16</c:v>
                </c:pt>
                <c:pt idx="1007">
                  <c:v>7.41</c:v>
                </c:pt>
                <c:pt idx="1008">
                  <c:v>6.66</c:v>
                </c:pt>
                <c:pt idx="1009">
                  <c:v>5.91</c:v>
                </c:pt>
                <c:pt idx="1010">
                  <c:v>5.16</c:v>
                </c:pt>
                <c:pt idx="1011">
                  <c:v>4.41</c:v>
                </c:pt>
                <c:pt idx="1012">
                  <c:v>3.66</c:v>
                </c:pt>
                <c:pt idx="1013">
                  <c:v>2.91</c:v>
                </c:pt>
                <c:pt idx="1014">
                  <c:v>2.91</c:v>
                </c:pt>
                <c:pt idx="1015">
                  <c:v>2.91</c:v>
                </c:pt>
                <c:pt idx="1016">
                  <c:v>2.91</c:v>
                </c:pt>
                <c:pt idx="1017">
                  <c:v>2.91</c:v>
                </c:pt>
                <c:pt idx="1018">
                  <c:v>2.91</c:v>
                </c:pt>
                <c:pt idx="1019">
                  <c:v>2.91</c:v>
                </c:pt>
                <c:pt idx="1020">
                  <c:v>3.66</c:v>
                </c:pt>
                <c:pt idx="1021">
                  <c:v>4.41</c:v>
                </c:pt>
                <c:pt idx="1022">
                  <c:v>5.16</c:v>
                </c:pt>
                <c:pt idx="1023">
                  <c:v>5.91</c:v>
                </c:pt>
                <c:pt idx="1024">
                  <c:v>6.66</c:v>
                </c:pt>
                <c:pt idx="1025">
                  <c:v>7.41</c:v>
                </c:pt>
                <c:pt idx="1026">
                  <c:v>8.16</c:v>
                </c:pt>
                <c:pt idx="1027">
                  <c:v>8.91</c:v>
                </c:pt>
                <c:pt idx="1028">
                  <c:v>9.66</c:v>
                </c:pt>
                <c:pt idx="1029">
                  <c:v>10.41</c:v>
                </c:pt>
                <c:pt idx="1030">
                  <c:v>11.16</c:v>
                </c:pt>
                <c:pt idx="1031">
                  <c:v>11.91</c:v>
                </c:pt>
                <c:pt idx="1032">
                  <c:v>12.66</c:v>
                </c:pt>
                <c:pt idx="1033">
                  <c:v>13.41</c:v>
                </c:pt>
                <c:pt idx="1034">
                  <c:v>13.41</c:v>
                </c:pt>
                <c:pt idx="1035">
                  <c:v>13.41</c:v>
                </c:pt>
                <c:pt idx="1036">
                  <c:v>13.41</c:v>
                </c:pt>
                <c:pt idx="1037">
                  <c:v>12.66</c:v>
                </c:pt>
                <c:pt idx="1038">
                  <c:v>11.91</c:v>
                </c:pt>
                <c:pt idx="1039">
                  <c:v>11.16</c:v>
                </c:pt>
                <c:pt idx="1040">
                  <c:v>10.41</c:v>
                </c:pt>
                <c:pt idx="1041">
                  <c:v>9.66</c:v>
                </c:pt>
                <c:pt idx="1042">
                  <c:v>8.91</c:v>
                </c:pt>
                <c:pt idx="1043">
                  <c:v>8.16</c:v>
                </c:pt>
                <c:pt idx="1044">
                  <c:v>7.41</c:v>
                </c:pt>
                <c:pt idx="1045">
                  <c:v>6.66</c:v>
                </c:pt>
                <c:pt idx="1046">
                  <c:v>5.91</c:v>
                </c:pt>
                <c:pt idx="1047">
                  <c:v>5.16</c:v>
                </c:pt>
                <c:pt idx="1048">
                  <c:v>4.41</c:v>
                </c:pt>
                <c:pt idx="1049">
                  <c:v>3.66</c:v>
                </c:pt>
                <c:pt idx="1050">
                  <c:v>2.91</c:v>
                </c:pt>
                <c:pt idx="1051">
                  <c:v>2.91</c:v>
                </c:pt>
                <c:pt idx="1052">
                  <c:v>2.91</c:v>
                </c:pt>
                <c:pt idx="1053">
                  <c:v>2.91</c:v>
                </c:pt>
                <c:pt idx="1054">
                  <c:v>2.91</c:v>
                </c:pt>
                <c:pt idx="1055">
                  <c:v>2.91</c:v>
                </c:pt>
                <c:pt idx="1056">
                  <c:v>2.91</c:v>
                </c:pt>
                <c:pt idx="1057">
                  <c:v>2.91</c:v>
                </c:pt>
                <c:pt idx="1058">
                  <c:v>2.91</c:v>
                </c:pt>
                <c:pt idx="1059">
                  <c:v>3.71</c:v>
                </c:pt>
                <c:pt idx="1060">
                  <c:v>4.51</c:v>
                </c:pt>
                <c:pt idx="1061">
                  <c:v>5.31</c:v>
                </c:pt>
                <c:pt idx="1062">
                  <c:v>6.1099999999999994</c:v>
                </c:pt>
                <c:pt idx="1063">
                  <c:v>6.9099999999999993</c:v>
                </c:pt>
                <c:pt idx="1064">
                  <c:v>7.7099999999999991</c:v>
                </c:pt>
                <c:pt idx="1065">
                  <c:v>8.51</c:v>
                </c:pt>
                <c:pt idx="1066">
                  <c:v>9.31</c:v>
                </c:pt>
                <c:pt idx="1067">
                  <c:v>10.110000000000001</c:v>
                </c:pt>
                <c:pt idx="1068">
                  <c:v>10.910000000000002</c:v>
                </c:pt>
                <c:pt idx="1069">
                  <c:v>11.710000000000003</c:v>
                </c:pt>
                <c:pt idx="1070">
                  <c:v>12.510000000000003</c:v>
                </c:pt>
                <c:pt idx="1071">
                  <c:v>13.310000000000004</c:v>
                </c:pt>
                <c:pt idx="1072">
                  <c:v>13.41</c:v>
                </c:pt>
                <c:pt idx="1073">
                  <c:v>13.41</c:v>
                </c:pt>
                <c:pt idx="1074">
                  <c:v>13.41</c:v>
                </c:pt>
                <c:pt idx="1075">
                  <c:v>13.41</c:v>
                </c:pt>
                <c:pt idx="1076">
                  <c:v>13.41</c:v>
                </c:pt>
                <c:pt idx="1077">
                  <c:v>13.41</c:v>
                </c:pt>
                <c:pt idx="1078">
                  <c:v>13.41</c:v>
                </c:pt>
                <c:pt idx="1079">
                  <c:v>13.41</c:v>
                </c:pt>
                <c:pt idx="1080">
                  <c:v>13.41</c:v>
                </c:pt>
                <c:pt idx="1081">
                  <c:v>13.41</c:v>
                </c:pt>
                <c:pt idx="1082">
                  <c:v>13.41</c:v>
                </c:pt>
                <c:pt idx="1083">
                  <c:v>12.66</c:v>
                </c:pt>
                <c:pt idx="1084">
                  <c:v>11.91</c:v>
                </c:pt>
                <c:pt idx="1085">
                  <c:v>11.16</c:v>
                </c:pt>
                <c:pt idx="1086">
                  <c:v>10.41</c:v>
                </c:pt>
                <c:pt idx="1087">
                  <c:v>9.66</c:v>
                </c:pt>
                <c:pt idx="1088">
                  <c:v>8.91</c:v>
                </c:pt>
                <c:pt idx="1089">
                  <c:v>8.16</c:v>
                </c:pt>
                <c:pt idx="1090">
                  <c:v>7.41</c:v>
                </c:pt>
                <c:pt idx="1091">
                  <c:v>6.66</c:v>
                </c:pt>
                <c:pt idx="1092">
                  <c:v>5.91</c:v>
                </c:pt>
                <c:pt idx="1093">
                  <c:v>5.91</c:v>
                </c:pt>
                <c:pt idx="1094">
                  <c:v>5.91</c:v>
                </c:pt>
                <c:pt idx="1095">
                  <c:v>5.91</c:v>
                </c:pt>
                <c:pt idx="1096">
                  <c:v>5.91</c:v>
                </c:pt>
                <c:pt idx="1097">
                  <c:v>5.91</c:v>
                </c:pt>
                <c:pt idx="1098">
                  <c:v>5.91</c:v>
                </c:pt>
                <c:pt idx="1099">
                  <c:v>5.91</c:v>
                </c:pt>
                <c:pt idx="1100">
                  <c:v>5.91</c:v>
                </c:pt>
                <c:pt idx="1101">
                  <c:v>5.91</c:v>
                </c:pt>
                <c:pt idx="1102">
                  <c:v>5.91</c:v>
                </c:pt>
                <c:pt idx="1103">
                  <c:v>5.91</c:v>
                </c:pt>
                <c:pt idx="1104">
                  <c:v>6.91</c:v>
                </c:pt>
                <c:pt idx="1105">
                  <c:v>7.91</c:v>
                </c:pt>
                <c:pt idx="1106">
                  <c:v>8.91</c:v>
                </c:pt>
                <c:pt idx="1107">
                  <c:v>9.91</c:v>
                </c:pt>
                <c:pt idx="1108">
                  <c:v>10.91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4B-465C-AFB3-C86035D03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06096"/>
        <c:axId val="1419114624"/>
      </c:scatterChart>
      <c:valAx>
        <c:axId val="141909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01504"/>
        <c:crosses val="autoZero"/>
        <c:crossBetween val="midCat"/>
      </c:valAx>
      <c:valAx>
        <c:axId val="141910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97568"/>
        <c:crosses val="autoZero"/>
        <c:crossBetween val="midCat"/>
      </c:valAx>
      <c:valAx>
        <c:axId val="14191146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06096"/>
        <c:crosses val="max"/>
        <c:crossBetween val="midCat"/>
      </c:valAx>
      <c:valAx>
        <c:axId val="1419106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14624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Required &amp; Gear Selection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Required For Motion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Cycle'!$S$3:$S$1111</c:f>
              <c:numCache>
                <c:formatCode>General</c:formatCode>
                <c:ptCount val="1109"/>
                <c:pt idx="0">
                  <c:v>0</c:v>
                </c:pt>
                <c:pt idx="1">
                  <c:v>660.56143442819473</c:v>
                </c:pt>
                <c:pt idx="2">
                  <c:v>663.23024672819474</c:v>
                </c:pt>
                <c:pt idx="3">
                  <c:v>667.67826722819473</c:v>
                </c:pt>
                <c:pt idx="4">
                  <c:v>673.90549592819468</c:v>
                </c:pt>
                <c:pt idx="5">
                  <c:v>681.91193282819472</c:v>
                </c:pt>
                <c:pt idx="6">
                  <c:v>691.69757792819473</c:v>
                </c:pt>
                <c:pt idx="7">
                  <c:v>701.09068233011737</c:v>
                </c:pt>
                <c:pt idx="8">
                  <c:v>714.43474383011733</c:v>
                </c:pt>
                <c:pt idx="9">
                  <c:v>729.55801353011736</c:v>
                </c:pt>
                <c:pt idx="10">
                  <c:v>746.46049143011737</c:v>
                </c:pt>
                <c:pt idx="11">
                  <c:v>181.16069100000001</c:v>
                </c:pt>
                <c:pt idx="12">
                  <c:v>201.62158529999999</c:v>
                </c:pt>
                <c:pt idx="13">
                  <c:v>223.8616878</c:v>
                </c:pt>
                <c:pt idx="14">
                  <c:v>232.80587995520997</c:v>
                </c:pt>
                <c:pt idx="15">
                  <c:v>232.32740995520999</c:v>
                </c:pt>
                <c:pt idx="16">
                  <c:v>232.32740995520999</c:v>
                </c:pt>
                <c:pt idx="17">
                  <c:v>232.32740995520999</c:v>
                </c:pt>
                <c:pt idx="18">
                  <c:v>232.32740995520999</c:v>
                </c:pt>
                <c:pt idx="19">
                  <c:v>232.32740995520999</c:v>
                </c:pt>
                <c:pt idx="20">
                  <c:v>232.32740995520999</c:v>
                </c:pt>
                <c:pt idx="21">
                  <c:v>232.32740995520999</c:v>
                </c:pt>
                <c:pt idx="22">
                  <c:v>232.32740995520999</c:v>
                </c:pt>
                <c:pt idx="23">
                  <c:v>232.32740995520999</c:v>
                </c:pt>
                <c:pt idx="24">
                  <c:v>232.32740995520999</c:v>
                </c:pt>
                <c:pt idx="25">
                  <c:v>232.32740995520999</c:v>
                </c:pt>
                <c:pt idx="26">
                  <c:v>232.32740995520999</c:v>
                </c:pt>
                <c:pt idx="27">
                  <c:v>232.32740995520999</c:v>
                </c:pt>
                <c:pt idx="28">
                  <c:v>232.32740995520999</c:v>
                </c:pt>
                <c:pt idx="29">
                  <c:v>232.32740995520999</c:v>
                </c:pt>
                <c:pt idx="30">
                  <c:v>232.32740995520999</c:v>
                </c:pt>
                <c:pt idx="31">
                  <c:v>232.32740995520999</c:v>
                </c:pt>
                <c:pt idx="32">
                  <c:v>232.32740995520999</c:v>
                </c:pt>
                <c:pt idx="33">
                  <c:v>232.32740995520999</c:v>
                </c:pt>
                <c:pt idx="34">
                  <c:v>232.32740995520999</c:v>
                </c:pt>
                <c:pt idx="35">
                  <c:v>232.32740995520999</c:v>
                </c:pt>
                <c:pt idx="36">
                  <c:v>232.32740995520999</c:v>
                </c:pt>
                <c:pt idx="37">
                  <c:v>232.32740995520999</c:v>
                </c:pt>
                <c:pt idx="38">
                  <c:v>232.32740995520999</c:v>
                </c:pt>
                <c:pt idx="39">
                  <c:v>232.32740995520999</c:v>
                </c:pt>
                <c:pt idx="40">
                  <c:v>232.32740995520999</c:v>
                </c:pt>
                <c:pt idx="41">
                  <c:v>232.32740995520999</c:v>
                </c:pt>
                <c:pt idx="42">
                  <c:v>232.32740995520999</c:v>
                </c:pt>
                <c:pt idx="43">
                  <c:v>232.32740995520999</c:v>
                </c:pt>
                <c:pt idx="44">
                  <c:v>232.32740995520999</c:v>
                </c:pt>
                <c:pt idx="45">
                  <c:v>232.32740995520999</c:v>
                </c:pt>
                <c:pt idx="46">
                  <c:v>232.32740995520999</c:v>
                </c:pt>
                <c:pt idx="47">
                  <c:v>232.32740995520999</c:v>
                </c:pt>
                <c:pt idx="48">
                  <c:v>232.32740995520999</c:v>
                </c:pt>
                <c:pt idx="49">
                  <c:v>232.32740995520999</c:v>
                </c:pt>
                <c:pt idx="50">
                  <c:v>232.32740995520999</c:v>
                </c:pt>
                <c:pt idx="51">
                  <c:v>232.32740995520999</c:v>
                </c:pt>
                <c:pt idx="52">
                  <c:v>232.32740995520999</c:v>
                </c:pt>
                <c:pt idx="53">
                  <c:v>232.32740995520999</c:v>
                </c:pt>
                <c:pt idx="54">
                  <c:v>232.32740995520999</c:v>
                </c:pt>
                <c:pt idx="55">
                  <c:v>232.32740995520999</c:v>
                </c:pt>
                <c:pt idx="56">
                  <c:v>232.32740995520999</c:v>
                </c:pt>
                <c:pt idx="57">
                  <c:v>232.32740995520999</c:v>
                </c:pt>
                <c:pt idx="58">
                  <c:v>232.32740995520999</c:v>
                </c:pt>
                <c:pt idx="59">
                  <c:v>232.32740995520999</c:v>
                </c:pt>
                <c:pt idx="60">
                  <c:v>232.32740995520999</c:v>
                </c:pt>
                <c:pt idx="61">
                  <c:v>232.32740995520999</c:v>
                </c:pt>
                <c:pt idx="62">
                  <c:v>232.32740995520999</c:v>
                </c:pt>
                <c:pt idx="63">
                  <c:v>232.32740995520999</c:v>
                </c:pt>
                <c:pt idx="64">
                  <c:v>232.32740995520999</c:v>
                </c:pt>
                <c:pt idx="65">
                  <c:v>232.32740995520999</c:v>
                </c:pt>
                <c:pt idx="66">
                  <c:v>232.32740995520999</c:v>
                </c:pt>
                <c:pt idx="67">
                  <c:v>232.32740995520999</c:v>
                </c:pt>
                <c:pt idx="68">
                  <c:v>232.32740995520999</c:v>
                </c:pt>
                <c:pt idx="69">
                  <c:v>232.32740995520999</c:v>
                </c:pt>
                <c:pt idx="70">
                  <c:v>232.32740995520999</c:v>
                </c:pt>
                <c:pt idx="71">
                  <c:v>232.32740995520999</c:v>
                </c:pt>
                <c:pt idx="72">
                  <c:v>232.32740995520999</c:v>
                </c:pt>
                <c:pt idx="73">
                  <c:v>232.32740995520999</c:v>
                </c:pt>
                <c:pt idx="74">
                  <c:v>232.32740995520999</c:v>
                </c:pt>
                <c:pt idx="75">
                  <c:v>232.32740995520999</c:v>
                </c:pt>
                <c:pt idx="76">
                  <c:v>232.32740995520999</c:v>
                </c:pt>
                <c:pt idx="77">
                  <c:v>232.32740995520999</c:v>
                </c:pt>
                <c:pt idx="78">
                  <c:v>232.32740995520999</c:v>
                </c:pt>
                <c:pt idx="79">
                  <c:v>232.32740995520999</c:v>
                </c:pt>
                <c:pt idx="80">
                  <c:v>232.32740995520999</c:v>
                </c:pt>
                <c:pt idx="81">
                  <c:v>232.32740995520999</c:v>
                </c:pt>
                <c:pt idx="82">
                  <c:v>232.32740995520999</c:v>
                </c:pt>
                <c:pt idx="83">
                  <c:v>232.32740995520999</c:v>
                </c:pt>
                <c:pt idx="84">
                  <c:v>232.32740995520999</c:v>
                </c:pt>
                <c:pt idx="85">
                  <c:v>232.32740995520999</c:v>
                </c:pt>
                <c:pt idx="86">
                  <c:v>232.32740995520999</c:v>
                </c:pt>
                <c:pt idx="87">
                  <c:v>232.32740995520999</c:v>
                </c:pt>
                <c:pt idx="88">
                  <c:v>232.32740995520999</c:v>
                </c:pt>
                <c:pt idx="89">
                  <c:v>232.32740995520999</c:v>
                </c:pt>
                <c:pt idx="90">
                  <c:v>232.32740995520999</c:v>
                </c:pt>
                <c:pt idx="91">
                  <c:v>232.32740995520999</c:v>
                </c:pt>
                <c:pt idx="92">
                  <c:v>232.32740995520999</c:v>
                </c:pt>
                <c:pt idx="93">
                  <c:v>175.81908468425365</c:v>
                </c:pt>
                <c:pt idx="94">
                  <c:v>111.81326862154316</c:v>
                </c:pt>
                <c:pt idx="95">
                  <c:v>100.91561839654315</c:v>
                </c:pt>
                <c:pt idx="96">
                  <c:v>90.462770221543167</c:v>
                </c:pt>
                <c:pt idx="97">
                  <c:v>80.454724096543202</c:v>
                </c:pt>
                <c:pt idx="98">
                  <c:v>373.02896736160187</c:v>
                </c:pt>
                <c:pt idx="99">
                  <c:v>373.02896736160187</c:v>
                </c:pt>
                <c:pt idx="100">
                  <c:v>373.02896736160187</c:v>
                </c:pt>
                <c:pt idx="101">
                  <c:v>373.02896736160187</c:v>
                </c:pt>
                <c:pt idx="102">
                  <c:v>373.02896736160187</c:v>
                </c:pt>
                <c:pt idx="103">
                  <c:v>373.02896736160187</c:v>
                </c:pt>
                <c:pt idx="104">
                  <c:v>373.02896736160187</c:v>
                </c:pt>
                <c:pt idx="105">
                  <c:v>373.02896736160187</c:v>
                </c:pt>
                <c:pt idx="106">
                  <c:v>373.02896736160187</c:v>
                </c:pt>
                <c:pt idx="107">
                  <c:v>373.02896736160187</c:v>
                </c:pt>
                <c:pt idx="108">
                  <c:v>373.02896736160187</c:v>
                </c:pt>
                <c:pt idx="109">
                  <c:v>373.02896736160187</c:v>
                </c:pt>
                <c:pt idx="110">
                  <c:v>201.62158529999999</c:v>
                </c:pt>
                <c:pt idx="111">
                  <c:v>223.8616878</c:v>
                </c:pt>
                <c:pt idx="112">
                  <c:v>232.80587995520997</c:v>
                </c:pt>
                <c:pt idx="113">
                  <c:v>232.32740995520999</c:v>
                </c:pt>
                <c:pt idx="114">
                  <c:v>232.32740995520999</c:v>
                </c:pt>
                <c:pt idx="115">
                  <c:v>232.32740995520999</c:v>
                </c:pt>
                <c:pt idx="116">
                  <c:v>157.33253490000001</c:v>
                </c:pt>
                <c:pt idx="117">
                  <c:v>161.31200490000001</c:v>
                </c:pt>
                <c:pt idx="118">
                  <c:v>171.013946925</c:v>
                </c:pt>
                <c:pt idx="119">
                  <c:v>170.43044692500001</c:v>
                </c:pt>
                <c:pt idx="120">
                  <c:v>191.16873712499998</c:v>
                </c:pt>
                <c:pt idx="121">
                  <c:v>69.926778195360384</c:v>
                </c:pt>
                <c:pt idx="122">
                  <c:v>90.796922625570375</c:v>
                </c:pt>
                <c:pt idx="123">
                  <c:v>89.734952625570372</c:v>
                </c:pt>
                <c:pt idx="124">
                  <c:v>89.734952625570372</c:v>
                </c:pt>
                <c:pt idx="125">
                  <c:v>89.734952625570372</c:v>
                </c:pt>
                <c:pt idx="126">
                  <c:v>89.734952625570372</c:v>
                </c:pt>
                <c:pt idx="127">
                  <c:v>89.734952625570372</c:v>
                </c:pt>
                <c:pt idx="128">
                  <c:v>89.734952625570372</c:v>
                </c:pt>
                <c:pt idx="129">
                  <c:v>89.734952625570372</c:v>
                </c:pt>
                <c:pt idx="130">
                  <c:v>89.734952625570372</c:v>
                </c:pt>
                <c:pt idx="131">
                  <c:v>89.734952625570372</c:v>
                </c:pt>
                <c:pt idx="132">
                  <c:v>89.734952625570372</c:v>
                </c:pt>
                <c:pt idx="133">
                  <c:v>89.73495262557023</c:v>
                </c:pt>
                <c:pt idx="134">
                  <c:v>89.73495262557023</c:v>
                </c:pt>
                <c:pt idx="135">
                  <c:v>89.73495262557023</c:v>
                </c:pt>
                <c:pt idx="136">
                  <c:v>89.73495262557023</c:v>
                </c:pt>
                <c:pt idx="137">
                  <c:v>89.73495262557023</c:v>
                </c:pt>
                <c:pt idx="138">
                  <c:v>89.73495262557023</c:v>
                </c:pt>
                <c:pt idx="139">
                  <c:v>89.73495262557023</c:v>
                </c:pt>
                <c:pt idx="140">
                  <c:v>89.73495262557023</c:v>
                </c:pt>
                <c:pt idx="141">
                  <c:v>89.73495262557023</c:v>
                </c:pt>
                <c:pt idx="142">
                  <c:v>89.734952625570259</c:v>
                </c:pt>
                <c:pt idx="143">
                  <c:v>89.734952625570259</c:v>
                </c:pt>
                <c:pt idx="144">
                  <c:v>89.734952625570259</c:v>
                </c:pt>
                <c:pt idx="145">
                  <c:v>189.37762467698451</c:v>
                </c:pt>
                <c:pt idx="146">
                  <c:v>232.32740995520999</c:v>
                </c:pt>
                <c:pt idx="147">
                  <c:v>232.32740995520999</c:v>
                </c:pt>
                <c:pt idx="148">
                  <c:v>232.32740995520999</c:v>
                </c:pt>
                <c:pt idx="149">
                  <c:v>232.32740995520999</c:v>
                </c:pt>
                <c:pt idx="150">
                  <c:v>232.32740995520999</c:v>
                </c:pt>
                <c:pt idx="151">
                  <c:v>232.32740995520999</c:v>
                </c:pt>
                <c:pt idx="152">
                  <c:v>232.32740995520999</c:v>
                </c:pt>
                <c:pt idx="153">
                  <c:v>232.32740995520999</c:v>
                </c:pt>
                <c:pt idx="154">
                  <c:v>232.32740995520999</c:v>
                </c:pt>
                <c:pt idx="155">
                  <c:v>232.32740995520999</c:v>
                </c:pt>
                <c:pt idx="156">
                  <c:v>232.32740995520999</c:v>
                </c:pt>
                <c:pt idx="157">
                  <c:v>208.19083209320999</c:v>
                </c:pt>
                <c:pt idx="158">
                  <c:v>187.00046243120997</c:v>
                </c:pt>
                <c:pt idx="159">
                  <c:v>416.39218556090736</c:v>
                </c:pt>
                <c:pt idx="160">
                  <c:v>434.02413882290733</c:v>
                </c:pt>
                <c:pt idx="161">
                  <c:v>449.87688388490733</c:v>
                </c:pt>
                <c:pt idx="162">
                  <c:v>463.9504207469073</c:v>
                </c:pt>
                <c:pt idx="163">
                  <c:v>476.2447494089073</c:v>
                </c:pt>
                <c:pt idx="164">
                  <c:v>486.75986987090732</c:v>
                </c:pt>
                <c:pt idx="165">
                  <c:v>495.49578213290732</c:v>
                </c:pt>
                <c:pt idx="166">
                  <c:v>502.45248619490735</c:v>
                </c:pt>
                <c:pt idx="167">
                  <c:v>82.696000335210016</c:v>
                </c:pt>
                <c:pt idx="168">
                  <c:v>82.696000335210016</c:v>
                </c:pt>
                <c:pt idx="169">
                  <c:v>82.696000335210016</c:v>
                </c:pt>
                <c:pt idx="170">
                  <c:v>82.696000335210016</c:v>
                </c:pt>
                <c:pt idx="171">
                  <c:v>82.696000335210016</c:v>
                </c:pt>
                <c:pt idx="172">
                  <c:v>82.696000335210016</c:v>
                </c:pt>
                <c:pt idx="173">
                  <c:v>82.696000335210016</c:v>
                </c:pt>
                <c:pt idx="174">
                  <c:v>82.696000335210016</c:v>
                </c:pt>
                <c:pt idx="175">
                  <c:v>82.696000335210016</c:v>
                </c:pt>
                <c:pt idx="176">
                  <c:v>82.696000335210016</c:v>
                </c:pt>
                <c:pt idx="177">
                  <c:v>82.696000335210016</c:v>
                </c:pt>
                <c:pt idx="178">
                  <c:v>676.97293982540464</c:v>
                </c:pt>
                <c:pt idx="179">
                  <c:v>685.70885208740469</c:v>
                </c:pt>
                <c:pt idx="180">
                  <c:v>696.22397254940472</c:v>
                </c:pt>
                <c:pt idx="181">
                  <c:v>706.34655231332738</c:v>
                </c:pt>
                <c:pt idx="182">
                  <c:v>720.42008917532735</c:v>
                </c:pt>
                <c:pt idx="183">
                  <c:v>736.27283423732729</c:v>
                </c:pt>
                <c:pt idx="184">
                  <c:v>753.90478749932731</c:v>
                </c:pt>
                <c:pt idx="185">
                  <c:v>773.31594896132731</c:v>
                </c:pt>
                <c:pt idx="186">
                  <c:v>794.50631862332739</c:v>
                </c:pt>
                <c:pt idx="187">
                  <c:v>817.47589648532733</c:v>
                </c:pt>
                <c:pt idx="188">
                  <c:v>232.32740995520999</c:v>
                </c:pt>
                <c:pt idx="189">
                  <c:v>232.32740995520999</c:v>
                </c:pt>
                <c:pt idx="190">
                  <c:v>232.32740995520999</c:v>
                </c:pt>
                <c:pt idx="191">
                  <c:v>232.32740995520999</c:v>
                </c:pt>
                <c:pt idx="192">
                  <c:v>232.32740995520999</c:v>
                </c:pt>
                <c:pt idx="193">
                  <c:v>232.32740995520999</c:v>
                </c:pt>
                <c:pt idx="194">
                  <c:v>232.32740995520999</c:v>
                </c:pt>
                <c:pt idx="195">
                  <c:v>232.32740995520999</c:v>
                </c:pt>
                <c:pt idx="196">
                  <c:v>232.32740995520999</c:v>
                </c:pt>
                <c:pt idx="197">
                  <c:v>232.32740995520999</c:v>
                </c:pt>
                <c:pt idx="198">
                  <c:v>232.32740995520999</c:v>
                </c:pt>
                <c:pt idx="199">
                  <c:v>232.32740995520999</c:v>
                </c:pt>
                <c:pt idx="200">
                  <c:v>232.32740995520999</c:v>
                </c:pt>
                <c:pt idx="201">
                  <c:v>232.32740995520999</c:v>
                </c:pt>
                <c:pt idx="202">
                  <c:v>232.32740995520999</c:v>
                </c:pt>
                <c:pt idx="203">
                  <c:v>232.32740995520999</c:v>
                </c:pt>
                <c:pt idx="204">
                  <c:v>232.32740995520999</c:v>
                </c:pt>
                <c:pt idx="205">
                  <c:v>232.32740995520999</c:v>
                </c:pt>
                <c:pt idx="206">
                  <c:v>232.32740995520999</c:v>
                </c:pt>
                <c:pt idx="207">
                  <c:v>232.32740995520999</c:v>
                </c:pt>
                <c:pt idx="208">
                  <c:v>232.32740995520999</c:v>
                </c:pt>
                <c:pt idx="209">
                  <c:v>232.32740995520999</c:v>
                </c:pt>
                <c:pt idx="210">
                  <c:v>232.32740995520999</c:v>
                </c:pt>
                <c:pt idx="211">
                  <c:v>232.32740995520999</c:v>
                </c:pt>
                <c:pt idx="212">
                  <c:v>232.32740995520999</c:v>
                </c:pt>
                <c:pt idx="213">
                  <c:v>232.32740995520999</c:v>
                </c:pt>
                <c:pt idx="214">
                  <c:v>208.19083209320999</c:v>
                </c:pt>
                <c:pt idx="215">
                  <c:v>187.00046243120997</c:v>
                </c:pt>
                <c:pt idx="216">
                  <c:v>167.58930096921</c:v>
                </c:pt>
                <c:pt idx="217">
                  <c:v>434.02413882290733</c:v>
                </c:pt>
                <c:pt idx="218">
                  <c:v>449.87688388490733</c:v>
                </c:pt>
                <c:pt idx="219">
                  <c:v>463.9504207469073</c:v>
                </c:pt>
                <c:pt idx="220">
                  <c:v>476.2447494089073</c:v>
                </c:pt>
                <c:pt idx="221">
                  <c:v>488.93161876898466</c:v>
                </c:pt>
                <c:pt idx="222">
                  <c:v>497.66753103098466</c:v>
                </c:pt>
                <c:pt idx="223">
                  <c:v>504.62423509298469</c:v>
                </c:pt>
                <c:pt idx="224">
                  <c:v>82.696000335210016</c:v>
                </c:pt>
                <c:pt idx="225">
                  <c:v>82.696000335210016</c:v>
                </c:pt>
                <c:pt idx="226">
                  <c:v>82.696000335210016</c:v>
                </c:pt>
                <c:pt idx="227">
                  <c:v>82.696000335210016</c:v>
                </c:pt>
                <c:pt idx="228">
                  <c:v>82.696000335210016</c:v>
                </c:pt>
                <c:pt idx="229">
                  <c:v>82.696000335210016</c:v>
                </c:pt>
                <c:pt idx="230">
                  <c:v>82.696000335210016</c:v>
                </c:pt>
                <c:pt idx="231">
                  <c:v>82.696000335210016</c:v>
                </c:pt>
                <c:pt idx="232">
                  <c:v>82.696000335210016</c:v>
                </c:pt>
                <c:pt idx="233">
                  <c:v>82.696000335210016</c:v>
                </c:pt>
                <c:pt idx="234">
                  <c:v>82.696000335210016</c:v>
                </c:pt>
                <c:pt idx="235">
                  <c:v>82.696000335210016</c:v>
                </c:pt>
                <c:pt idx="236">
                  <c:v>379.61206905530736</c:v>
                </c:pt>
                <c:pt idx="237">
                  <c:v>383.31282211130736</c:v>
                </c:pt>
                <c:pt idx="238">
                  <c:v>387.45837721730732</c:v>
                </c:pt>
                <c:pt idx="239">
                  <c:v>392.04873437330735</c:v>
                </c:pt>
                <c:pt idx="240">
                  <c:v>395.99801913026869</c:v>
                </c:pt>
                <c:pt idx="241">
                  <c:v>401.47798038626865</c:v>
                </c:pt>
                <c:pt idx="242">
                  <c:v>407.4027436922687</c:v>
                </c:pt>
                <c:pt idx="243">
                  <c:v>413.77230904826865</c:v>
                </c:pt>
                <c:pt idx="244">
                  <c:v>420.58667645426868</c:v>
                </c:pt>
                <c:pt idx="245">
                  <c:v>427.84584591026868</c:v>
                </c:pt>
                <c:pt idx="246">
                  <c:v>435.5498174162687</c:v>
                </c:pt>
                <c:pt idx="247">
                  <c:v>443.69859097226868</c:v>
                </c:pt>
                <c:pt idx="248">
                  <c:v>452.29216657826868</c:v>
                </c:pt>
                <c:pt idx="249">
                  <c:v>461.3305442342687</c:v>
                </c:pt>
                <c:pt idx="250">
                  <c:v>470.81372394026869</c:v>
                </c:pt>
                <c:pt idx="251">
                  <c:v>188.75096243120996</c:v>
                </c:pt>
                <c:pt idx="252">
                  <c:v>210.52483209320999</c:v>
                </c:pt>
                <c:pt idx="253">
                  <c:v>233.49440995520999</c:v>
                </c:pt>
                <c:pt idx="254">
                  <c:v>232.32740995520999</c:v>
                </c:pt>
                <c:pt idx="255">
                  <c:v>232.32740995520999</c:v>
                </c:pt>
                <c:pt idx="256">
                  <c:v>232.32740995520999</c:v>
                </c:pt>
                <c:pt idx="257">
                  <c:v>232.32740995520999</c:v>
                </c:pt>
                <c:pt idx="258">
                  <c:v>232.32740995520999</c:v>
                </c:pt>
                <c:pt idx="259">
                  <c:v>232.32740995520999</c:v>
                </c:pt>
                <c:pt idx="260">
                  <c:v>232.32740995520999</c:v>
                </c:pt>
                <c:pt idx="261">
                  <c:v>232.32740995520999</c:v>
                </c:pt>
                <c:pt idx="262">
                  <c:v>232.32740995520999</c:v>
                </c:pt>
                <c:pt idx="263">
                  <c:v>232.32740995520999</c:v>
                </c:pt>
                <c:pt idx="264">
                  <c:v>232.32740995520999</c:v>
                </c:pt>
                <c:pt idx="265">
                  <c:v>232.32740995520999</c:v>
                </c:pt>
                <c:pt idx="266">
                  <c:v>232.32740995520999</c:v>
                </c:pt>
                <c:pt idx="267">
                  <c:v>178.54042988776712</c:v>
                </c:pt>
                <c:pt idx="268">
                  <c:v>50.472799364581022</c:v>
                </c:pt>
                <c:pt idx="269">
                  <c:v>40.019951189580979</c:v>
                </c:pt>
                <c:pt idx="270">
                  <c:v>30.011905064581072</c:v>
                </c:pt>
                <c:pt idx="271">
                  <c:v>322.58614832963974</c:v>
                </c:pt>
                <c:pt idx="272">
                  <c:v>322.58614832963974</c:v>
                </c:pt>
                <c:pt idx="273">
                  <c:v>322.58614832963974</c:v>
                </c:pt>
                <c:pt idx="274">
                  <c:v>322.58614832963974</c:v>
                </c:pt>
                <c:pt idx="275">
                  <c:v>322.58614832963974</c:v>
                </c:pt>
                <c:pt idx="276">
                  <c:v>322.58614832963974</c:v>
                </c:pt>
                <c:pt idx="277">
                  <c:v>322.58614832963974</c:v>
                </c:pt>
                <c:pt idx="278">
                  <c:v>322.58614832963963</c:v>
                </c:pt>
                <c:pt idx="279">
                  <c:v>322.58614832963963</c:v>
                </c:pt>
                <c:pt idx="280">
                  <c:v>322.58614832963963</c:v>
                </c:pt>
                <c:pt idx="281">
                  <c:v>322.58614832963963</c:v>
                </c:pt>
                <c:pt idx="282">
                  <c:v>322.58614832963963</c:v>
                </c:pt>
                <c:pt idx="283">
                  <c:v>322.58614832963963</c:v>
                </c:pt>
                <c:pt idx="284">
                  <c:v>322.58614832963963</c:v>
                </c:pt>
                <c:pt idx="285">
                  <c:v>870.2546404011639</c:v>
                </c:pt>
                <c:pt idx="286">
                  <c:v>211.93573552499998</c:v>
                </c:pt>
                <c:pt idx="287">
                  <c:v>223.27818779999998</c:v>
                </c:pt>
                <c:pt idx="288">
                  <c:v>232.80587995520997</c:v>
                </c:pt>
                <c:pt idx="289">
                  <c:v>232.32740995520999</c:v>
                </c:pt>
                <c:pt idx="290">
                  <c:v>232.32740995520999</c:v>
                </c:pt>
                <c:pt idx="291">
                  <c:v>232.32740995520999</c:v>
                </c:pt>
                <c:pt idx="292">
                  <c:v>232.32740995520999</c:v>
                </c:pt>
                <c:pt idx="293">
                  <c:v>232.32740995520999</c:v>
                </c:pt>
                <c:pt idx="294">
                  <c:v>232.32740995520999</c:v>
                </c:pt>
                <c:pt idx="295">
                  <c:v>232.32740995520999</c:v>
                </c:pt>
                <c:pt idx="296">
                  <c:v>375.79065443690735</c:v>
                </c:pt>
                <c:pt idx="297">
                  <c:v>396.98102409890737</c:v>
                </c:pt>
                <c:pt idx="298">
                  <c:v>416.39218556090736</c:v>
                </c:pt>
                <c:pt idx="299">
                  <c:v>434.02413882290733</c:v>
                </c:pt>
                <c:pt idx="300">
                  <c:v>449.87688388490733</c:v>
                </c:pt>
                <c:pt idx="301">
                  <c:v>463.9504207469073</c:v>
                </c:pt>
                <c:pt idx="302">
                  <c:v>476.2447494089073</c:v>
                </c:pt>
                <c:pt idx="303">
                  <c:v>488.93161876898466</c:v>
                </c:pt>
                <c:pt idx="304">
                  <c:v>497.66753103098466</c:v>
                </c:pt>
                <c:pt idx="305">
                  <c:v>89.652704397210016</c:v>
                </c:pt>
                <c:pt idx="306">
                  <c:v>89.652704397210016</c:v>
                </c:pt>
                <c:pt idx="307">
                  <c:v>89.652704397210016</c:v>
                </c:pt>
                <c:pt idx="308">
                  <c:v>89.652704397210016</c:v>
                </c:pt>
                <c:pt idx="309">
                  <c:v>89.652704397210016</c:v>
                </c:pt>
                <c:pt idx="310">
                  <c:v>89.652704397210016</c:v>
                </c:pt>
                <c:pt idx="311">
                  <c:v>89.652704397210016</c:v>
                </c:pt>
                <c:pt idx="312">
                  <c:v>89.652704397210016</c:v>
                </c:pt>
                <c:pt idx="313">
                  <c:v>387.45837721730732</c:v>
                </c:pt>
                <c:pt idx="314">
                  <c:v>392.04873437330735</c:v>
                </c:pt>
                <c:pt idx="315">
                  <c:v>395.99801913026869</c:v>
                </c:pt>
                <c:pt idx="316">
                  <c:v>401.47798038626865</c:v>
                </c:pt>
                <c:pt idx="317">
                  <c:v>407.4027436922687</c:v>
                </c:pt>
                <c:pt idx="318">
                  <c:v>413.77230904826865</c:v>
                </c:pt>
                <c:pt idx="319">
                  <c:v>420.58667645426868</c:v>
                </c:pt>
                <c:pt idx="320">
                  <c:v>427.84584591026868</c:v>
                </c:pt>
                <c:pt idx="321">
                  <c:v>435.5498174162687</c:v>
                </c:pt>
                <c:pt idx="322">
                  <c:v>443.69859097226868</c:v>
                </c:pt>
                <c:pt idx="323">
                  <c:v>23.111975392391855</c:v>
                </c:pt>
                <c:pt idx="324">
                  <c:v>3.7008139303918899</c:v>
                </c:pt>
                <c:pt idx="325">
                  <c:v>17.489555731608135</c:v>
                </c:pt>
                <c:pt idx="326">
                  <c:v>40.459133593608129</c:v>
                </c:pt>
                <c:pt idx="327">
                  <c:v>39.292133593608128</c:v>
                </c:pt>
                <c:pt idx="328">
                  <c:v>568.82593079850926</c:v>
                </c:pt>
                <c:pt idx="329">
                  <c:v>590.01630046050923</c:v>
                </c:pt>
                <c:pt idx="330">
                  <c:v>609.42746192250922</c:v>
                </c:pt>
                <c:pt idx="331">
                  <c:v>627.05941518450913</c:v>
                </c:pt>
                <c:pt idx="332">
                  <c:v>642.91216024650919</c:v>
                </c:pt>
                <c:pt idx="333">
                  <c:v>656.98569710850916</c:v>
                </c:pt>
                <c:pt idx="334">
                  <c:v>669.28002577050916</c:v>
                </c:pt>
                <c:pt idx="335">
                  <c:v>473.87137613250917</c:v>
                </c:pt>
                <c:pt idx="336">
                  <c:v>289.57201203290731</c:v>
                </c:pt>
                <c:pt idx="337">
                  <c:v>296.52871609490734</c:v>
                </c:pt>
                <c:pt idx="338">
                  <c:v>301.70621195690734</c:v>
                </c:pt>
                <c:pt idx="339">
                  <c:v>283.44227457321</c:v>
                </c:pt>
                <c:pt idx="340">
                  <c:v>283.44227457321</c:v>
                </c:pt>
                <c:pt idx="341">
                  <c:v>283.44227457321</c:v>
                </c:pt>
                <c:pt idx="342">
                  <c:v>283.44227457321</c:v>
                </c:pt>
                <c:pt idx="343">
                  <c:v>578.38286474426877</c:v>
                </c:pt>
                <c:pt idx="344">
                  <c:v>581.19401370026867</c:v>
                </c:pt>
                <c:pt idx="345">
                  <c:v>584.4499647062687</c:v>
                </c:pt>
                <c:pt idx="346">
                  <c:v>588.15071776226864</c:v>
                </c:pt>
                <c:pt idx="347">
                  <c:v>592.29627286826872</c:v>
                </c:pt>
                <c:pt idx="348">
                  <c:v>596.8866300242687</c:v>
                </c:pt>
                <c:pt idx="349">
                  <c:v>601.9217892302687</c:v>
                </c:pt>
                <c:pt idx="350">
                  <c:v>315.41100722121001</c:v>
                </c:pt>
                <c:pt idx="351">
                  <c:v>321.33577052721006</c:v>
                </c:pt>
                <c:pt idx="352">
                  <c:v>327.70533588321001</c:v>
                </c:pt>
                <c:pt idx="353">
                  <c:v>334.51970328921004</c:v>
                </c:pt>
                <c:pt idx="354">
                  <c:v>341.77887274521004</c:v>
                </c:pt>
                <c:pt idx="355">
                  <c:v>353.79338077296001</c:v>
                </c:pt>
                <c:pt idx="356">
                  <c:v>366.51694341321002</c:v>
                </c:pt>
                <c:pt idx="357">
                  <c:v>380.24131066595999</c:v>
                </c:pt>
                <c:pt idx="358">
                  <c:v>394.96648253120998</c:v>
                </c:pt>
                <c:pt idx="359">
                  <c:v>416.44860219320998</c:v>
                </c:pt>
                <c:pt idx="360">
                  <c:v>439.41818005520997</c:v>
                </c:pt>
                <c:pt idx="361">
                  <c:v>438.25118005521</c:v>
                </c:pt>
                <c:pt idx="362">
                  <c:v>438.25118005521</c:v>
                </c:pt>
                <c:pt idx="363">
                  <c:v>438.25118005521</c:v>
                </c:pt>
                <c:pt idx="364">
                  <c:v>438.25118005521</c:v>
                </c:pt>
                <c:pt idx="365">
                  <c:v>438.25118005521</c:v>
                </c:pt>
                <c:pt idx="366">
                  <c:v>438.25118005521</c:v>
                </c:pt>
                <c:pt idx="367">
                  <c:v>18.004169007628036</c:v>
                </c:pt>
                <c:pt idx="368">
                  <c:v>34.39734856037802</c:v>
                </c:pt>
                <c:pt idx="369">
                  <c:v>49.789723500628043</c:v>
                </c:pt>
                <c:pt idx="370">
                  <c:v>64.181293828377989</c:v>
                </c:pt>
                <c:pt idx="371">
                  <c:v>77.572059543628029</c:v>
                </c:pt>
                <c:pt idx="372">
                  <c:v>89.962020646377994</c:v>
                </c:pt>
                <c:pt idx="373">
                  <c:v>101.351177136628</c:v>
                </c:pt>
                <c:pt idx="374">
                  <c:v>111.73952901437804</c:v>
                </c:pt>
                <c:pt idx="375">
                  <c:v>121.127076279628</c:v>
                </c:pt>
                <c:pt idx="376">
                  <c:v>129.513818932378</c:v>
                </c:pt>
                <c:pt idx="377">
                  <c:v>136.89975697262798</c:v>
                </c:pt>
                <c:pt idx="378">
                  <c:v>144.91370207393595</c:v>
                </c:pt>
                <c:pt idx="379">
                  <c:v>150.29803088918595</c:v>
                </c:pt>
                <c:pt idx="380">
                  <c:v>154.68155509193593</c:v>
                </c:pt>
                <c:pt idx="381">
                  <c:v>285.80862147921005</c:v>
                </c:pt>
                <c:pt idx="382">
                  <c:v>285.80862147921005</c:v>
                </c:pt>
                <c:pt idx="383">
                  <c:v>285.80862147921005</c:v>
                </c:pt>
                <c:pt idx="384">
                  <c:v>285.80862147921005</c:v>
                </c:pt>
                <c:pt idx="385">
                  <c:v>285.80862147921005</c:v>
                </c:pt>
                <c:pt idx="386">
                  <c:v>285.80862147921005</c:v>
                </c:pt>
                <c:pt idx="387">
                  <c:v>285.80862147921005</c:v>
                </c:pt>
                <c:pt idx="388">
                  <c:v>285.80862147921005</c:v>
                </c:pt>
                <c:pt idx="389">
                  <c:v>285.80862147921005</c:v>
                </c:pt>
                <c:pt idx="390">
                  <c:v>285.80862147921005</c:v>
                </c:pt>
                <c:pt idx="391">
                  <c:v>730.68232225310601</c:v>
                </c:pt>
                <c:pt idx="392">
                  <c:v>736.06665106835601</c:v>
                </c:pt>
                <c:pt idx="393">
                  <c:v>742.45178449610603</c:v>
                </c:pt>
                <c:pt idx="394">
                  <c:v>749.83772253635607</c:v>
                </c:pt>
                <c:pt idx="395">
                  <c:v>756.59565351554807</c:v>
                </c:pt>
                <c:pt idx="396">
                  <c:v>915.62190586007728</c:v>
                </c:pt>
                <c:pt idx="397">
                  <c:v>930.14024477207738</c:v>
                </c:pt>
                <c:pt idx="398">
                  <c:v>946.43779188407734</c:v>
                </c:pt>
                <c:pt idx="399">
                  <c:v>964.51454719607727</c:v>
                </c:pt>
                <c:pt idx="400">
                  <c:v>984.37051070807729</c:v>
                </c:pt>
                <c:pt idx="401">
                  <c:v>1006.0056824200774</c:v>
                </c:pt>
                <c:pt idx="402">
                  <c:v>877.11254495279809</c:v>
                </c:pt>
                <c:pt idx="403">
                  <c:v>18.004169007628036</c:v>
                </c:pt>
                <c:pt idx="404">
                  <c:v>34.39734856037802</c:v>
                </c:pt>
                <c:pt idx="405">
                  <c:v>49.789723500628043</c:v>
                </c:pt>
                <c:pt idx="406">
                  <c:v>64.181293828377989</c:v>
                </c:pt>
                <c:pt idx="407">
                  <c:v>77.572059543628029</c:v>
                </c:pt>
                <c:pt idx="408">
                  <c:v>89.962020646377994</c:v>
                </c:pt>
                <c:pt idx="409">
                  <c:v>101.351177136628</c:v>
                </c:pt>
                <c:pt idx="410">
                  <c:v>111.73952901437804</c:v>
                </c:pt>
                <c:pt idx="411">
                  <c:v>327.12183588321</c:v>
                </c:pt>
                <c:pt idx="412">
                  <c:v>327.12183588321</c:v>
                </c:pt>
                <c:pt idx="413">
                  <c:v>327.12183588321</c:v>
                </c:pt>
                <c:pt idx="414">
                  <c:v>327.12183588321</c:v>
                </c:pt>
                <c:pt idx="415">
                  <c:v>327.12183588321</c:v>
                </c:pt>
                <c:pt idx="416">
                  <c:v>327.12183588321</c:v>
                </c:pt>
                <c:pt idx="417">
                  <c:v>776.37155265854813</c:v>
                </c:pt>
                <c:pt idx="418">
                  <c:v>787.76070914879801</c:v>
                </c:pt>
                <c:pt idx="419">
                  <c:v>800.15067025154804</c:v>
                </c:pt>
                <c:pt idx="420">
                  <c:v>375.55532106921004</c:v>
                </c:pt>
                <c:pt idx="421">
                  <c:v>389.94689139695998</c:v>
                </c:pt>
                <c:pt idx="422">
                  <c:v>405.33926633721001</c:v>
                </c:pt>
                <c:pt idx="423">
                  <c:v>421.73244588995999</c:v>
                </c:pt>
                <c:pt idx="424">
                  <c:v>439.12643005520999</c:v>
                </c:pt>
                <c:pt idx="425">
                  <c:v>438.25118005521</c:v>
                </c:pt>
                <c:pt idx="426">
                  <c:v>438.25118005521</c:v>
                </c:pt>
                <c:pt idx="427">
                  <c:v>438.25118005521</c:v>
                </c:pt>
                <c:pt idx="428">
                  <c:v>438.25118005521</c:v>
                </c:pt>
                <c:pt idx="429">
                  <c:v>438.25118005521</c:v>
                </c:pt>
                <c:pt idx="430">
                  <c:v>438.25118005521</c:v>
                </c:pt>
                <c:pt idx="431">
                  <c:v>438.25118005521</c:v>
                </c:pt>
                <c:pt idx="432">
                  <c:v>438.25118005521</c:v>
                </c:pt>
                <c:pt idx="433">
                  <c:v>438.25118005521</c:v>
                </c:pt>
                <c:pt idx="434">
                  <c:v>438.25118005521</c:v>
                </c:pt>
                <c:pt idx="435">
                  <c:v>438.25118005521</c:v>
                </c:pt>
                <c:pt idx="436">
                  <c:v>438.25118005521</c:v>
                </c:pt>
                <c:pt idx="437">
                  <c:v>438.25118005521</c:v>
                </c:pt>
                <c:pt idx="438">
                  <c:v>438.25118005521</c:v>
                </c:pt>
                <c:pt idx="439">
                  <c:v>438.25118005521</c:v>
                </c:pt>
                <c:pt idx="440">
                  <c:v>438.25118005521</c:v>
                </c:pt>
                <c:pt idx="441">
                  <c:v>438.25118005521</c:v>
                </c:pt>
                <c:pt idx="442">
                  <c:v>438.25118005521</c:v>
                </c:pt>
                <c:pt idx="443">
                  <c:v>438.25118005521</c:v>
                </c:pt>
                <c:pt idx="444">
                  <c:v>438.25118005521</c:v>
                </c:pt>
                <c:pt idx="445">
                  <c:v>438.25118005521</c:v>
                </c:pt>
                <c:pt idx="446">
                  <c:v>438.25118005521</c:v>
                </c:pt>
                <c:pt idx="447">
                  <c:v>438.25118005521</c:v>
                </c:pt>
                <c:pt idx="448">
                  <c:v>438.25118005521</c:v>
                </c:pt>
                <c:pt idx="449">
                  <c:v>438.25118005521</c:v>
                </c:pt>
                <c:pt idx="450">
                  <c:v>438.25118005521</c:v>
                </c:pt>
                <c:pt idx="451">
                  <c:v>438.25118005521</c:v>
                </c:pt>
                <c:pt idx="452">
                  <c:v>438.25118005521</c:v>
                </c:pt>
                <c:pt idx="453">
                  <c:v>438.25118005521</c:v>
                </c:pt>
                <c:pt idx="454">
                  <c:v>438.25118005521</c:v>
                </c:pt>
                <c:pt idx="455">
                  <c:v>438.25118005521</c:v>
                </c:pt>
                <c:pt idx="456">
                  <c:v>438.25118005521</c:v>
                </c:pt>
                <c:pt idx="457">
                  <c:v>438.25118005521</c:v>
                </c:pt>
                <c:pt idx="458">
                  <c:v>438.25118005521</c:v>
                </c:pt>
                <c:pt idx="459">
                  <c:v>438.25118005521</c:v>
                </c:pt>
                <c:pt idx="460">
                  <c:v>438.25118005521</c:v>
                </c:pt>
                <c:pt idx="461">
                  <c:v>438.25118005521</c:v>
                </c:pt>
                <c:pt idx="462">
                  <c:v>438.25118005521</c:v>
                </c:pt>
                <c:pt idx="463">
                  <c:v>438.25118005521</c:v>
                </c:pt>
                <c:pt idx="464">
                  <c:v>438.25118005521</c:v>
                </c:pt>
                <c:pt idx="465">
                  <c:v>438.25118005521</c:v>
                </c:pt>
                <c:pt idx="466">
                  <c:v>438.25118005521</c:v>
                </c:pt>
                <c:pt idx="467">
                  <c:v>438.25118005521</c:v>
                </c:pt>
                <c:pt idx="468">
                  <c:v>438.25118005521</c:v>
                </c:pt>
                <c:pt idx="469">
                  <c:v>438.25118005521</c:v>
                </c:pt>
                <c:pt idx="470">
                  <c:v>438.25118005521</c:v>
                </c:pt>
                <c:pt idx="471">
                  <c:v>438.25118005521</c:v>
                </c:pt>
                <c:pt idx="472">
                  <c:v>438.25118005521</c:v>
                </c:pt>
                <c:pt idx="473">
                  <c:v>18.004169007628036</c:v>
                </c:pt>
                <c:pt idx="474">
                  <c:v>34.39734856037802</c:v>
                </c:pt>
                <c:pt idx="475">
                  <c:v>49.789723500628043</c:v>
                </c:pt>
                <c:pt idx="476">
                  <c:v>64.181293828377989</c:v>
                </c:pt>
                <c:pt idx="477">
                  <c:v>77.572059543628029</c:v>
                </c:pt>
                <c:pt idx="478">
                  <c:v>89.962020646377994</c:v>
                </c:pt>
                <c:pt idx="479">
                  <c:v>101.351177136628</c:v>
                </c:pt>
                <c:pt idx="480">
                  <c:v>111.73952901437804</c:v>
                </c:pt>
                <c:pt idx="481">
                  <c:v>122.75588795318595</c:v>
                </c:pt>
                <c:pt idx="482">
                  <c:v>131.14263060593595</c:v>
                </c:pt>
                <c:pt idx="483">
                  <c:v>138.52856864618593</c:v>
                </c:pt>
                <c:pt idx="484">
                  <c:v>144.91370207393595</c:v>
                </c:pt>
                <c:pt idx="485">
                  <c:v>150.29803088918595</c:v>
                </c:pt>
                <c:pt idx="486">
                  <c:v>290.19214568196003</c:v>
                </c:pt>
                <c:pt idx="487">
                  <c:v>290.19214568196003</c:v>
                </c:pt>
                <c:pt idx="488">
                  <c:v>290.19214568196003</c:v>
                </c:pt>
                <c:pt idx="489">
                  <c:v>290.19214568196003</c:v>
                </c:pt>
                <c:pt idx="490">
                  <c:v>290.19214568196003</c:v>
                </c:pt>
                <c:pt idx="491">
                  <c:v>290.19214568196003</c:v>
                </c:pt>
                <c:pt idx="492">
                  <c:v>290.19214568196003</c:v>
                </c:pt>
                <c:pt idx="493">
                  <c:v>736.06665106835601</c:v>
                </c:pt>
                <c:pt idx="494">
                  <c:v>740.82297282254808</c:v>
                </c:pt>
                <c:pt idx="495">
                  <c:v>748.20891086279812</c:v>
                </c:pt>
                <c:pt idx="496">
                  <c:v>756.59565351554807</c:v>
                </c:pt>
                <c:pt idx="497">
                  <c:v>765.98320078079803</c:v>
                </c:pt>
                <c:pt idx="498">
                  <c:v>776.37155265854813</c:v>
                </c:pt>
                <c:pt idx="499">
                  <c:v>787.76070914879801</c:v>
                </c:pt>
                <c:pt idx="500">
                  <c:v>800.15067025154804</c:v>
                </c:pt>
                <c:pt idx="501">
                  <c:v>375.55532106921004</c:v>
                </c:pt>
                <c:pt idx="502">
                  <c:v>395.25823253120996</c:v>
                </c:pt>
                <c:pt idx="503">
                  <c:v>416.44860219320998</c:v>
                </c:pt>
                <c:pt idx="504">
                  <c:v>439.41818005520997</c:v>
                </c:pt>
                <c:pt idx="505">
                  <c:v>438.25118005521</c:v>
                </c:pt>
                <c:pt idx="506">
                  <c:v>438.25118005521</c:v>
                </c:pt>
                <c:pt idx="507">
                  <c:v>438.25118005521</c:v>
                </c:pt>
                <c:pt idx="508">
                  <c:v>438.25118005521</c:v>
                </c:pt>
                <c:pt idx="509">
                  <c:v>438.25118005521</c:v>
                </c:pt>
                <c:pt idx="510">
                  <c:v>438.25118005521</c:v>
                </c:pt>
                <c:pt idx="511">
                  <c:v>438.25118005521</c:v>
                </c:pt>
                <c:pt idx="512">
                  <c:v>438.25118005521</c:v>
                </c:pt>
                <c:pt idx="513">
                  <c:v>438.25118005521</c:v>
                </c:pt>
                <c:pt idx="514">
                  <c:v>438.25118005521</c:v>
                </c:pt>
                <c:pt idx="515">
                  <c:v>438.25118005521</c:v>
                </c:pt>
                <c:pt idx="516">
                  <c:v>438.25118005521</c:v>
                </c:pt>
                <c:pt idx="517">
                  <c:v>438.25118005521</c:v>
                </c:pt>
                <c:pt idx="518">
                  <c:v>438.25118005521</c:v>
                </c:pt>
                <c:pt idx="519">
                  <c:v>438.25118005521</c:v>
                </c:pt>
                <c:pt idx="520">
                  <c:v>438.25118005521</c:v>
                </c:pt>
                <c:pt idx="521">
                  <c:v>438.25118005521</c:v>
                </c:pt>
                <c:pt idx="522">
                  <c:v>438.25118005521</c:v>
                </c:pt>
                <c:pt idx="523">
                  <c:v>438.25118005521</c:v>
                </c:pt>
                <c:pt idx="524">
                  <c:v>438.25118005521</c:v>
                </c:pt>
                <c:pt idx="525">
                  <c:v>438.25118005521</c:v>
                </c:pt>
                <c:pt idx="526">
                  <c:v>438.25118005521</c:v>
                </c:pt>
                <c:pt idx="527">
                  <c:v>419.98194588996</c:v>
                </c:pt>
                <c:pt idx="528">
                  <c:v>403.58876633721002</c:v>
                </c:pt>
                <c:pt idx="529">
                  <c:v>388.19639139696</c:v>
                </c:pt>
                <c:pt idx="530">
                  <c:v>64.181293828377989</c:v>
                </c:pt>
                <c:pt idx="531">
                  <c:v>77.572059543628029</c:v>
                </c:pt>
                <c:pt idx="532">
                  <c:v>89.962020646377994</c:v>
                </c:pt>
                <c:pt idx="533">
                  <c:v>101.351177136628</c:v>
                </c:pt>
                <c:pt idx="534">
                  <c:v>111.73952901437804</c:v>
                </c:pt>
                <c:pt idx="535">
                  <c:v>121.127076279628</c:v>
                </c:pt>
                <c:pt idx="536">
                  <c:v>129.513818932378</c:v>
                </c:pt>
                <c:pt idx="537">
                  <c:v>309.34754596521003</c:v>
                </c:pt>
                <c:pt idx="538">
                  <c:v>309.34754596521003</c:v>
                </c:pt>
                <c:pt idx="539">
                  <c:v>309.34754596521003</c:v>
                </c:pt>
                <c:pt idx="540">
                  <c:v>309.34754596521003</c:v>
                </c:pt>
                <c:pt idx="541">
                  <c:v>309.34754596521003</c:v>
                </c:pt>
                <c:pt idx="542">
                  <c:v>309.34754596521003</c:v>
                </c:pt>
                <c:pt idx="543">
                  <c:v>309.34754596521003</c:v>
                </c:pt>
                <c:pt idx="544">
                  <c:v>756.59565351554807</c:v>
                </c:pt>
                <c:pt idx="545">
                  <c:v>765.98320078079803</c:v>
                </c:pt>
                <c:pt idx="546">
                  <c:v>776.37155265854813</c:v>
                </c:pt>
                <c:pt idx="547">
                  <c:v>787.76070914879801</c:v>
                </c:pt>
                <c:pt idx="548">
                  <c:v>362.16455535396</c:v>
                </c:pt>
                <c:pt idx="549">
                  <c:v>375.55532106921004</c:v>
                </c:pt>
                <c:pt idx="550">
                  <c:v>395.25823253120996</c:v>
                </c:pt>
                <c:pt idx="551">
                  <c:v>416.44860219320998</c:v>
                </c:pt>
                <c:pt idx="552">
                  <c:v>439.41818005520997</c:v>
                </c:pt>
                <c:pt idx="553">
                  <c:v>438.25118005521</c:v>
                </c:pt>
                <c:pt idx="554">
                  <c:v>438.25118005521</c:v>
                </c:pt>
                <c:pt idx="555">
                  <c:v>438.25118005521</c:v>
                </c:pt>
                <c:pt idx="556">
                  <c:v>438.25118005521</c:v>
                </c:pt>
                <c:pt idx="557">
                  <c:v>438.25118005521</c:v>
                </c:pt>
                <c:pt idx="558">
                  <c:v>438.25118005521</c:v>
                </c:pt>
                <c:pt idx="559">
                  <c:v>419.98194588996</c:v>
                </c:pt>
                <c:pt idx="560">
                  <c:v>34.39734856037802</c:v>
                </c:pt>
                <c:pt idx="561">
                  <c:v>49.789723500628043</c:v>
                </c:pt>
                <c:pt idx="562">
                  <c:v>64.181293828377989</c:v>
                </c:pt>
                <c:pt idx="563">
                  <c:v>77.572059543628029</c:v>
                </c:pt>
                <c:pt idx="564">
                  <c:v>89.962020646377994</c:v>
                </c:pt>
                <c:pt idx="565">
                  <c:v>101.351177136628</c:v>
                </c:pt>
                <c:pt idx="566">
                  <c:v>111.73952901437804</c:v>
                </c:pt>
                <c:pt idx="567">
                  <c:v>121.127076279628</c:v>
                </c:pt>
                <c:pt idx="568">
                  <c:v>129.513818932378</c:v>
                </c:pt>
                <c:pt idx="569">
                  <c:v>136.89975697262798</c:v>
                </c:pt>
                <c:pt idx="570">
                  <c:v>143.284890400378</c:v>
                </c:pt>
                <c:pt idx="571">
                  <c:v>148.669219215628</c:v>
                </c:pt>
                <c:pt idx="572">
                  <c:v>153.05274341837799</c:v>
                </c:pt>
                <c:pt idx="573">
                  <c:v>285.80862147921005</c:v>
                </c:pt>
                <c:pt idx="574">
                  <c:v>285.80862147921005</c:v>
                </c:pt>
                <c:pt idx="575">
                  <c:v>285.80862147921005</c:v>
                </c:pt>
                <c:pt idx="576">
                  <c:v>285.80862147921005</c:v>
                </c:pt>
                <c:pt idx="577">
                  <c:v>285.80862147921005</c:v>
                </c:pt>
                <c:pt idx="578">
                  <c:v>285.80862147921005</c:v>
                </c:pt>
                <c:pt idx="579">
                  <c:v>285.80862147921005</c:v>
                </c:pt>
                <c:pt idx="580">
                  <c:v>285.80862147921005</c:v>
                </c:pt>
                <c:pt idx="581">
                  <c:v>285.80862147921005</c:v>
                </c:pt>
                <c:pt idx="582">
                  <c:v>285.80862147921005</c:v>
                </c:pt>
                <c:pt idx="583">
                  <c:v>285.80862147921005</c:v>
                </c:pt>
                <c:pt idx="584">
                  <c:v>462.98648056584511</c:v>
                </c:pt>
                <c:pt idx="585">
                  <c:v>464.77992243144513</c:v>
                </c:pt>
                <c:pt idx="586">
                  <c:v>466.73349303504517</c:v>
                </c:pt>
                <c:pt idx="587">
                  <c:v>468.84719237664513</c:v>
                </c:pt>
                <c:pt idx="588">
                  <c:v>471.12102045624511</c:v>
                </c:pt>
                <c:pt idx="589">
                  <c:v>751.83034227384508</c:v>
                </c:pt>
                <c:pt idx="590">
                  <c:v>754.42442782944511</c:v>
                </c:pt>
                <c:pt idx="591">
                  <c:v>757.17864212304505</c:v>
                </c:pt>
                <c:pt idx="592">
                  <c:v>1028.0815600243482</c:v>
                </c:pt>
                <c:pt idx="593">
                  <c:v>1036.668463599598</c:v>
                </c:pt>
                <c:pt idx="594">
                  <c:v>1046.2561717873482</c:v>
                </c:pt>
                <c:pt idx="595">
                  <c:v>1056.8446845875981</c:v>
                </c:pt>
                <c:pt idx="596">
                  <c:v>630.44788710276009</c:v>
                </c:pt>
                <c:pt idx="597">
                  <c:v>643.03800912801012</c:v>
                </c:pt>
                <c:pt idx="598">
                  <c:v>656.62893576576005</c:v>
                </c:pt>
                <c:pt idx="599">
                  <c:v>671.22066701601011</c:v>
                </c:pt>
                <c:pt idx="600">
                  <c:v>686.81320287876008</c:v>
                </c:pt>
                <c:pt idx="601">
                  <c:v>703.40654335401007</c:v>
                </c:pt>
                <c:pt idx="602">
                  <c:v>717.22674505521002</c:v>
                </c:pt>
                <c:pt idx="603">
                  <c:v>716.52654505521002</c:v>
                </c:pt>
                <c:pt idx="604">
                  <c:v>716.52654505521002</c:v>
                </c:pt>
                <c:pt idx="605">
                  <c:v>716.52654505521002</c:v>
                </c:pt>
                <c:pt idx="606">
                  <c:v>716.52654505521002</c:v>
                </c:pt>
                <c:pt idx="607">
                  <c:v>716.52654505521002</c:v>
                </c:pt>
                <c:pt idx="608">
                  <c:v>887.52467698660189</c:v>
                </c:pt>
                <c:pt idx="609">
                  <c:v>877.1054967616019</c:v>
                </c:pt>
                <c:pt idx="610">
                  <c:v>877.68899676160186</c:v>
                </c:pt>
                <c:pt idx="611">
                  <c:v>889.17014698660182</c:v>
                </c:pt>
                <c:pt idx="612">
                  <c:v>900.51259926160185</c:v>
                </c:pt>
                <c:pt idx="613">
                  <c:v>910.0402914168119</c:v>
                </c:pt>
                <c:pt idx="614">
                  <c:v>909.56182141681188</c:v>
                </c:pt>
                <c:pt idx="615">
                  <c:v>716.52654505521002</c:v>
                </c:pt>
                <c:pt idx="616">
                  <c:v>716.52654505521002</c:v>
                </c:pt>
                <c:pt idx="617">
                  <c:v>716.52654505521002</c:v>
                </c:pt>
                <c:pt idx="618">
                  <c:v>716.52654505521002</c:v>
                </c:pt>
                <c:pt idx="619">
                  <c:v>716.52654505521002</c:v>
                </c:pt>
                <c:pt idx="620">
                  <c:v>716.52654505521002</c:v>
                </c:pt>
                <c:pt idx="621">
                  <c:v>716.52654505521002</c:v>
                </c:pt>
                <c:pt idx="622">
                  <c:v>716.52654505521002</c:v>
                </c:pt>
                <c:pt idx="623">
                  <c:v>716.52654505521002</c:v>
                </c:pt>
                <c:pt idx="624">
                  <c:v>716.52654505521002</c:v>
                </c:pt>
                <c:pt idx="625">
                  <c:v>716.52654505521002</c:v>
                </c:pt>
                <c:pt idx="626">
                  <c:v>716.52654505521002</c:v>
                </c:pt>
                <c:pt idx="627">
                  <c:v>573.93408772557029</c:v>
                </c:pt>
                <c:pt idx="628">
                  <c:v>573.93408772557029</c:v>
                </c:pt>
                <c:pt idx="629">
                  <c:v>573.93408772557029</c:v>
                </c:pt>
                <c:pt idx="630">
                  <c:v>573.93408772557029</c:v>
                </c:pt>
                <c:pt idx="631">
                  <c:v>573.93408772557029</c:v>
                </c:pt>
                <c:pt idx="632">
                  <c:v>573.93408772557029</c:v>
                </c:pt>
                <c:pt idx="633">
                  <c:v>573.93408772557029</c:v>
                </c:pt>
                <c:pt idx="634">
                  <c:v>573.93408772557029</c:v>
                </c:pt>
                <c:pt idx="635">
                  <c:v>573.93408772557029</c:v>
                </c:pt>
                <c:pt idx="636">
                  <c:v>573.93408772557052</c:v>
                </c:pt>
                <c:pt idx="637">
                  <c:v>716.52654505521002</c:v>
                </c:pt>
                <c:pt idx="638">
                  <c:v>716.52654505521002</c:v>
                </c:pt>
                <c:pt idx="639">
                  <c:v>716.52654505521002</c:v>
                </c:pt>
                <c:pt idx="640">
                  <c:v>716.52654505521002</c:v>
                </c:pt>
                <c:pt idx="641">
                  <c:v>716.52654505521002</c:v>
                </c:pt>
                <c:pt idx="642">
                  <c:v>716.52654505521002</c:v>
                </c:pt>
                <c:pt idx="643">
                  <c:v>716.52654505521002</c:v>
                </c:pt>
                <c:pt idx="644">
                  <c:v>716.52654505521002</c:v>
                </c:pt>
                <c:pt idx="645">
                  <c:v>716.52654505521002</c:v>
                </c:pt>
                <c:pt idx="646">
                  <c:v>716.52654505521002</c:v>
                </c:pt>
                <c:pt idx="647">
                  <c:v>716.52654505521002</c:v>
                </c:pt>
                <c:pt idx="648">
                  <c:v>716.52654505521002</c:v>
                </c:pt>
                <c:pt idx="649">
                  <c:v>716.52654505521002</c:v>
                </c:pt>
                <c:pt idx="650">
                  <c:v>716.52654505521002</c:v>
                </c:pt>
                <c:pt idx="651">
                  <c:v>716.52654505521002</c:v>
                </c:pt>
                <c:pt idx="652">
                  <c:v>716.52654505521002</c:v>
                </c:pt>
                <c:pt idx="653">
                  <c:v>716.52654505521002</c:v>
                </c:pt>
                <c:pt idx="654">
                  <c:v>716.52654505521002</c:v>
                </c:pt>
                <c:pt idx="655">
                  <c:v>716.52654505521002</c:v>
                </c:pt>
                <c:pt idx="656">
                  <c:v>716.52654505521002</c:v>
                </c:pt>
                <c:pt idx="657">
                  <c:v>716.52654505521002</c:v>
                </c:pt>
                <c:pt idx="658">
                  <c:v>716.52654505521002</c:v>
                </c:pt>
                <c:pt idx="659">
                  <c:v>716.52654505521002</c:v>
                </c:pt>
                <c:pt idx="660">
                  <c:v>716.52654505521002</c:v>
                </c:pt>
                <c:pt idx="661">
                  <c:v>716.52654505521002</c:v>
                </c:pt>
                <c:pt idx="662">
                  <c:v>716.52654505521002</c:v>
                </c:pt>
                <c:pt idx="663">
                  <c:v>716.52654505521002</c:v>
                </c:pt>
                <c:pt idx="664">
                  <c:v>716.52654505521002</c:v>
                </c:pt>
                <c:pt idx="665">
                  <c:v>716.52654505521002</c:v>
                </c:pt>
                <c:pt idx="666">
                  <c:v>716.52654505521002</c:v>
                </c:pt>
                <c:pt idx="667">
                  <c:v>716.52654505521002</c:v>
                </c:pt>
                <c:pt idx="668">
                  <c:v>716.52654505521002</c:v>
                </c:pt>
                <c:pt idx="669">
                  <c:v>716.52654505521002</c:v>
                </c:pt>
                <c:pt idx="670">
                  <c:v>716.52654505521002</c:v>
                </c:pt>
                <c:pt idx="671">
                  <c:v>716.52654505521002</c:v>
                </c:pt>
                <c:pt idx="672">
                  <c:v>716.52654505521002</c:v>
                </c:pt>
                <c:pt idx="673">
                  <c:v>716.52654505521002</c:v>
                </c:pt>
                <c:pt idx="674">
                  <c:v>716.52654505521002</c:v>
                </c:pt>
                <c:pt idx="675">
                  <c:v>716.52654505521002</c:v>
                </c:pt>
                <c:pt idx="676">
                  <c:v>716.52654505521002</c:v>
                </c:pt>
                <c:pt idx="677">
                  <c:v>716.52654505521002</c:v>
                </c:pt>
                <c:pt idx="678">
                  <c:v>716.52654505521002</c:v>
                </c:pt>
                <c:pt idx="679">
                  <c:v>716.52654505521002</c:v>
                </c:pt>
                <c:pt idx="680">
                  <c:v>716.52654505521002</c:v>
                </c:pt>
                <c:pt idx="681">
                  <c:v>716.52654505521002</c:v>
                </c:pt>
                <c:pt idx="682">
                  <c:v>716.52654505521002</c:v>
                </c:pt>
                <c:pt idx="683">
                  <c:v>716.52654505521002</c:v>
                </c:pt>
                <c:pt idx="684">
                  <c:v>716.52654505521002</c:v>
                </c:pt>
                <c:pt idx="685">
                  <c:v>716.52654505521002</c:v>
                </c:pt>
                <c:pt idx="686">
                  <c:v>716.52654505521002</c:v>
                </c:pt>
                <c:pt idx="687">
                  <c:v>716.52654505521002</c:v>
                </c:pt>
                <c:pt idx="688">
                  <c:v>716.52654505521002</c:v>
                </c:pt>
                <c:pt idx="689">
                  <c:v>716.52654505521002</c:v>
                </c:pt>
                <c:pt idx="690">
                  <c:v>704.23585509921008</c:v>
                </c:pt>
                <c:pt idx="691">
                  <c:v>692.97346719321013</c:v>
                </c:pt>
                <c:pt idx="692">
                  <c:v>682.15588133721008</c:v>
                </c:pt>
                <c:pt idx="693">
                  <c:v>379.79235426615134</c:v>
                </c:pt>
                <c:pt idx="694">
                  <c:v>369.86437251015133</c:v>
                </c:pt>
                <c:pt idx="695">
                  <c:v>360.38119280415134</c:v>
                </c:pt>
                <c:pt idx="696">
                  <c:v>351.34281514815137</c:v>
                </c:pt>
                <c:pt idx="697">
                  <c:v>342.74923954215132</c:v>
                </c:pt>
                <c:pt idx="698">
                  <c:v>334.60046598615139</c:v>
                </c:pt>
                <c:pt idx="699">
                  <c:v>326.89649448015138</c:v>
                </c:pt>
                <c:pt idx="700">
                  <c:v>319.63732502415138</c:v>
                </c:pt>
                <c:pt idx="701">
                  <c:v>312.82295761815141</c:v>
                </c:pt>
                <c:pt idx="702">
                  <c:v>306.45339226215134</c:v>
                </c:pt>
                <c:pt idx="703">
                  <c:v>300.52862895615141</c:v>
                </c:pt>
                <c:pt idx="704">
                  <c:v>295.04866770015138</c:v>
                </c:pt>
                <c:pt idx="705">
                  <c:v>290.01350849415138</c:v>
                </c:pt>
                <c:pt idx="706">
                  <c:v>284.33727688911273</c:v>
                </c:pt>
                <c:pt idx="707">
                  <c:v>280.19172178311265</c:v>
                </c:pt>
                <c:pt idx="708">
                  <c:v>276.49096872711272</c:v>
                </c:pt>
                <c:pt idx="709">
                  <c:v>273.23501772111268</c:v>
                </c:pt>
                <c:pt idx="710">
                  <c:v>270.42386876511267</c:v>
                </c:pt>
                <c:pt idx="711">
                  <c:v>268.05752185911268</c:v>
                </c:pt>
                <c:pt idx="712">
                  <c:v>561.71763957321002</c:v>
                </c:pt>
                <c:pt idx="713">
                  <c:v>561.71763957321002</c:v>
                </c:pt>
                <c:pt idx="714">
                  <c:v>561.71763957321002</c:v>
                </c:pt>
                <c:pt idx="715">
                  <c:v>561.71763957321002</c:v>
                </c:pt>
                <c:pt idx="716">
                  <c:v>561.71763957321002</c:v>
                </c:pt>
                <c:pt idx="717">
                  <c:v>561.71763957321002</c:v>
                </c:pt>
                <c:pt idx="718">
                  <c:v>561.71763957321002</c:v>
                </c:pt>
                <c:pt idx="719">
                  <c:v>561.71763957321002</c:v>
                </c:pt>
                <c:pt idx="720">
                  <c:v>561.71763957321002</c:v>
                </c:pt>
                <c:pt idx="721">
                  <c:v>561.71763957321002</c:v>
                </c:pt>
                <c:pt idx="722">
                  <c:v>561.71763957321002</c:v>
                </c:pt>
                <c:pt idx="723">
                  <c:v>739.28014209926835</c:v>
                </c:pt>
                <c:pt idx="724">
                  <c:v>740.8067027348684</c:v>
                </c:pt>
                <c:pt idx="725">
                  <c:v>742.49339210846836</c:v>
                </c:pt>
                <c:pt idx="726">
                  <c:v>744.34021022006834</c:v>
                </c:pt>
                <c:pt idx="727">
                  <c:v>746.34715706966836</c:v>
                </c:pt>
                <c:pt idx="728">
                  <c:v>747.86270798784517</c:v>
                </c:pt>
                <c:pt idx="729">
                  <c:v>750.18991231344512</c:v>
                </c:pt>
                <c:pt idx="730">
                  <c:v>752.6772453770451</c:v>
                </c:pt>
                <c:pt idx="731">
                  <c:v>755.3247071786451</c:v>
                </c:pt>
                <c:pt idx="732">
                  <c:v>758.13229771824513</c:v>
                </c:pt>
                <c:pt idx="733">
                  <c:v>761.10001699584507</c:v>
                </c:pt>
                <c:pt idx="734">
                  <c:v>764.22786501144515</c:v>
                </c:pt>
                <c:pt idx="735">
                  <c:v>1036.0648672177481</c:v>
                </c:pt>
                <c:pt idx="736">
                  <c:v>1045.5858550979981</c:v>
                </c:pt>
                <c:pt idx="737">
                  <c:v>1249.14292395235</c:v>
                </c:pt>
                <c:pt idx="738">
                  <c:v>822.67940616001192</c:v>
                </c:pt>
                <c:pt idx="739">
                  <c:v>835.20280787776187</c:v>
                </c:pt>
                <c:pt idx="740">
                  <c:v>848.72701420801195</c:v>
                </c:pt>
                <c:pt idx="741">
                  <c:v>863.25202515076194</c:v>
                </c:pt>
                <c:pt idx="742">
                  <c:v>691.43198722116006</c:v>
                </c:pt>
                <c:pt idx="743">
                  <c:v>714.13468385316003</c:v>
                </c:pt>
                <c:pt idx="744">
                  <c:v>716.70159505521008</c:v>
                </c:pt>
                <c:pt idx="745">
                  <c:v>716.52654505521002</c:v>
                </c:pt>
                <c:pt idx="746">
                  <c:v>716.52654505521002</c:v>
                </c:pt>
                <c:pt idx="747">
                  <c:v>716.52654505521002</c:v>
                </c:pt>
                <c:pt idx="748">
                  <c:v>716.52654505521002</c:v>
                </c:pt>
                <c:pt idx="749">
                  <c:v>716.52654505521002</c:v>
                </c:pt>
                <c:pt idx="750">
                  <c:v>716.52654505521002</c:v>
                </c:pt>
                <c:pt idx="751">
                  <c:v>716.52654505521002</c:v>
                </c:pt>
                <c:pt idx="752">
                  <c:v>716.52654505521002</c:v>
                </c:pt>
                <c:pt idx="753">
                  <c:v>716.52654505521002</c:v>
                </c:pt>
                <c:pt idx="754">
                  <c:v>716.52654505521002</c:v>
                </c:pt>
                <c:pt idx="755">
                  <c:v>704.23585509921008</c:v>
                </c:pt>
                <c:pt idx="756">
                  <c:v>692.97346719321013</c:v>
                </c:pt>
                <c:pt idx="757">
                  <c:v>390.16513807215136</c:v>
                </c:pt>
                <c:pt idx="758">
                  <c:v>379.79235426615134</c:v>
                </c:pt>
                <c:pt idx="759">
                  <c:v>369.86437251015133</c:v>
                </c:pt>
                <c:pt idx="760">
                  <c:v>360.38119280415134</c:v>
                </c:pt>
                <c:pt idx="761">
                  <c:v>351.34281514815137</c:v>
                </c:pt>
                <c:pt idx="762">
                  <c:v>342.74923954215132</c:v>
                </c:pt>
                <c:pt idx="763">
                  <c:v>334.60046598615139</c:v>
                </c:pt>
                <c:pt idx="764">
                  <c:v>326.89649448015138</c:v>
                </c:pt>
                <c:pt idx="765">
                  <c:v>319.63732502415138</c:v>
                </c:pt>
                <c:pt idx="766">
                  <c:v>312.82295761815141</c:v>
                </c:pt>
                <c:pt idx="767">
                  <c:v>306.45339226215134</c:v>
                </c:pt>
                <c:pt idx="768">
                  <c:v>300.52862895615141</c:v>
                </c:pt>
                <c:pt idx="769">
                  <c:v>295.04866770015138</c:v>
                </c:pt>
                <c:pt idx="770">
                  <c:v>290.01350849415138</c:v>
                </c:pt>
                <c:pt idx="771">
                  <c:v>285.4231513381514</c:v>
                </c:pt>
                <c:pt idx="772">
                  <c:v>281.27759623215132</c:v>
                </c:pt>
                <c:pt idx="773">
                  <c:v>573.85183949720999</c:v>
                </c:pt>
                <c:pt idx="774">
                  <c:v>573.85183949720999</c:v>
                </c:pt>
                <c:pt idx="775">
                  <c:v>573.85183949720999</c:v>
                </c:pt>
                <c:pt idx="776">
                  <c:v>573.85183949720999</c:v>
                </c:pt>
                <c:pt idx="777">
                  <c:v>573.85183949720999</c:v>
                </c:pt>
                <c:pt idx="778">
                  <c:v>573.85183949720999</c:v>
                </c:pt>
                <c:pt idx="779">
                  <c:v>573.85183949720999</c:v>
                </c:pt>
                <c:pt idx="780">
                  <c:v>573.85183949720999</c:v>
                </c:pt>
                <c:pt idx="781">
                  <c:v>573.85183949720999</c:v>
                </c:pt>
                <c:pt idx="782">
                  <c:v>573.85183949720999</c:v>
                </c:pt>
                <c:pt idx="783">
                  <c:v>751.83034227384508</c:v>
                </c:pt>
                <c:pt idx="784">
                  <c:v>754.42442782944511</c:v>
                </c:pt>
                <c:pt idx="785">
                  <c:v>757.17864212304517</c:v>
                </c:pt>
                <c:pt idx="786">
                  <c:v>760.09298515464513</c:v>
                </c:pt>
                <c:pt idx="787">
                  <c:v>763.16745692424513</c:v>
                </c:pt>
                <c:pt idx="788">
                  <c:v>1064.7231431829039</c:v>
                </c:pt>
                <c:pt idx="789">
                  <c:v>1074.8432794245039</c:v>
                </c:pt>
                <c:pt idx="790">
                  <c:v>1086.1021089141038</c:v>
                </c:pt>
                <c:pt idx="791">
                  <c:v>631.31444242760995</c:v>
                </c:pt>
                <c:pt idx="792">
                  <c:v>644.85065841321</c:v>
                </c:pt>
                <c:pt idx="793">
                  <c:v>659.52556764681003</c:v>
                </c:pt>
                <c:pt idx="794">
                  <c:v>675.33917012841005</c:v>
                </c:pt>
                <c:pt idx="795">
                  <c:v>692.29146585801004</c:v>
                </c:pt>
                <c:pt idx="796">
                  <c:v>586.35161350975272</c:v>
                </c:pt>
                <c:pt idx="797">
                  <c:v>592.84580372935261</c:v>
                </c:pt>
                <c:pt idx="798">
                  <c:v>592.49570372935261</c:v>
                </c:pt>
                <c:pt idx="799">
                  <c:v>592.49570372935261</c:v>
                </c:pt>
                <c:pt idx="800">
                  <c:v>592.49570372935261</c:v>
                </c:pt>
                <c:pt idx="801">
                  <c:v>592.49570372935261</c:v>
                </c:pt>
                <c:pt idx="802">
                  <c:v>592.49570372935273</c:v>
                </c:pt>
                <c:pt idx="803">
                  <c:v>592.49570372935273</c:v>
                </c:pt>
                <c:pt idx="804">
                  <c:v>673.57675977698602</c:v>
                </c:pt>
                <c:pt idx="805">
                  <c:v>716.52654505521002</c:v>
                </c:pt>
                <c:pt idx="806">
                  <c:v>716.52654505521002</c:v>
                </c:pt>
                <c:pt idx="807">
                  <c:v>716.52654505521002</c:v>
                </c:pt>
                <c:pt idx="808">
                  <c:v>716.52654505521002</c:v>
                </c:pt>
                <c:pt idx="809">
                  <c:v>716.52654505521002</c:v>
                </c:pt>
                <c:pt idx="810">
                  <c:v>716.52654505521002</c:v>
                </c:pt>
                <c:pt idx="811">
                  <c:v>716.52654505521002</c:v>
                </c:pt>
                <c:pt idx="812">
                  <c:v>716.52654505521002</c:v>
                </c:pt>
                <c:pt idx="813">
                  <c:v>716.52654505521002</c:v>
                </c:pt>
                <c:pt idx="814">
                  <c:v>716.52654505521002</c:v>
                </c:pt>
                <c:pt idx="815">
                  <c:v>716.52654505521002</c:v>
                </c:pt>
                <c:pt idx="816">
                  <c:v>716.52654505521002</c:v>
                </c:pt>
                <c:pt idx="817">
                  <c:v>716.52654505521002</c:v>
                </c:pt>
                <c:pt idx="818">
                  <c:v>716.52654505521002</c:v>
                </c:pt>
                <c:pt idx="819">
                  <c:v>716.52654505521002</c:v>
                </c:pt>
                <c:pt idx="820">
                  <c:v>716.52654505521002</c:v>
                </c:pt>
                <c:pt idx="821">
                  <c:v>704.23585509921008</c:v>
                </c:pt>
                <c:pt idx="822">
                  <c:v>692.97346719321013</c:v>
                </c:pt>
                <c:pt idx="823">
                  <c:v>390.16513807215136</c:v>
                </c:pt>
                <c:pt idx="824">
                  <c:v>379.79235426615134</c:v>
                </c:pt>
                <c:pt idx="825">
                  <c:v>369.86437251015133</c:v>
                </c:pt>
                <c:pt idx="826">
                  <c:v>360.38119280415134</c:v>
                </c:pt>
                <c:pt idx="827">
                  <c:v>351.34281514815137</c:v>
                </c:pt>
                <c:pt idx="828">
                  <c:v>342.74923954215132</c:v>
                </c:pt>
                <c:pt idx="829">
                  <c:v>334.60046598615139</c:v>
                </c:pt>
                <c:pt idx="830">
                  <c:v>326.89649448015138</c:v>
                </c:pt>
                <c:pt idx="831">
                  <c:v>319.63732502415138</c:v>
                </c:pt>
                <c:pt idx="832">
                  <c:v>312.82295761815141</c:v>
                </c:pt>
                <c:pt idx="833">
                  <c:v>306.45339226215134</c:v>
                </c:pt>
                <c:pt idx="834">
                  <c:v>300.52862895615141</c:v>
                </c:pt>
                <c:pt idx="835">
                  <c:v>293.96279325111271</c:v>
                </c:pt>
                <c:pt idx="836">
                  <c:v>288.92763404511271</c:v>
                </c:pt>
                <c:pt idx="837">
                  <c:v>137.34716775921001</c:v>
                </c:pt>
                <c:pt idx="838">
                  <c:v>137.34716775921001</c:v>
                </c:pt>
                <c:pt idx="839">
                  <c:v>137.34716775921001</c:v>
                </c:pt>
                <c:pt idx="840">
                  <c:v>137.34716775921001</c:v>
                </c:pt>
                <c:pt idx="841">
                  <c:v>137.34716775921001</c:v>
                </c:pt>
                <c:pt idx="842">
                  <c:v>137.34716775921001</c:v>
                </c:pt>
                <c:pt idx="843">
                  <c:v>137.34716775921001</c:v>
                </c:pt>
                <c:pt idx="844">
                  <c:v>137.34716775921001</c:v>
                </c:pt>
                <c:pt idx="845">
                  <c:v>137.34716775921001</c:v>
                </c:pt>
                <c:pt idx="846">
                  <c:v>137.34716775921001</c:v>
                </c:pt>
                <c:pt idx="847">
                  <c:v>137.34716775921001</c:v>
                </c:pt>
                <c:pt idx="848">
                  <c:v>137.34716775921001</c:v>
                </c:pt>
                <c:pt idx="849">
                  <c:v>137.34716775921001</c:v>
                </c:pt>
                <c:pt idx="850">
                  <c:v>137.34716775921001</c:v>
                </c:pt>
                <c:pt idx="851">
                  <c:v>137.34716775921001</c:v>
                </c:pt>
                <c:pt idx="852">
                  <c:v>137.34716775921001</c:v>
                </c:pt>
                <c:pt idx="853">
                  <c:v>137.34716775921001</c:v>
                </c:pt>
                <c:pt idx="854">
                  <c:v>137.34716775921001</c:v>
                </c:pt>
                <c:pt idx="855">
                  <c:v>137.34716775921001</c:v>
                </c:pt>
                <c:pt idx="856">
                  <c:v>137.34716775921001</c:v>
                </c:pt>
                <c:pt idx="857">
                  <c:v>137.34716775921001</c:v>
                </c:pt>
                <c:pt idx="858">
                  <c:v>316.51095766526828</c:v>
                </c:pt>
                <c:pt idx="859">
                  <c:v>319.6388056808683</c:v>
                </c:pt>
                <c:pt idx="860">
                  <c:v>322.92678243446829</c:v>
                </c:pt>
                <c:pt idx="861">
                  <c:v>326.37488792606831</c:v>
                </c:pt>
                <c:pt idx="862">
                  <c:v>329.33159748624507</c:v>
                </c:pt>
                <c:pt idx="863">
                  <c:v>333.09996045384514</c:v>
                </c:pt>
                <c:pt idx="864">
                  <c:v>337.02845215944512</c:v>
                </c:pt>
                <c:pt idx="865">
                  <c:v>341.11707260304513</c:v>
                </c:pt>
                <c:pt idx="866">
                  <c:v>345.36582178464562</c:v>
                </c:pt>
                <c:pt idx="867">
                  <c:v>349.77469970424562</c:v>
                </c:pt>
                <c:pt idx="868">
                  <c:v>354.34370636184565</c:v>
                </c:pt>
                <c:pt idx="869">
                  <c:v>359.07284175744564</c:v>
                </c:pt>
                <c:pt idx="870">
                  <c:v>363.96210589104567</c:v>
                </c:pt>
                <c:pt idx="871">
                  <c:v>193.81705280361007</c:v>
                </c:pt>
                <c:pt idx="872">
                  <c:v>199.02657441321008</c:v>
                </c:pt>
                <c:pt idx="873">
                  <c:v>204.39622476081007</c:v>
                </c:pt>
                <c:pt idx="874">
                  <c:v>204.04612476081002</c:v>
                </c:pt>
                <c:pt idx="875">
                  <c:v>204.04612476081002</c:v>
                </c:pt>
                <c:pt idx="876">
                  <c:v>204.04612476081002</c:v>
                </c:pt>
                <c:pt idx="877">
                  <c:v>204.04612476081002</c:v>
                </c:pt>
                <c:pt idx="878">
                  <c:v>204.04612476081002</c:v>
                </c:pt>
                <c:pt idx="879">
                  <c:v>204.04612476081002</c:v>
                </c:pt>
                <c:pt idx="880">
                  <c:v>204.04612476081002</c:v>
                </c:pt>
                <c:pt idx="881">
                  <c:v>204.04612476081002</c:v>
                </c:pt>
                <c:pt idx="882">
                  <c:v>204.04612476081002</c:v>
                </c:pt>
                <c:pt idx="883">
                  <c:v>204.04612476081002</c:v>
                </c:pt>
                <c:pt idx="884">
                  <c:v>204.04612476081002</c:v>
                </c:pt>
                <c:pt idx="885">
                  <c:v>204.04612476081002</c:v>
                </c:pt>
                <c:pt idx="886">
                  <c:v>204.04612476081002</c:v>
                </c:pt>
                <c:pt idx="887">
                  <c:v>204.04612476081002</c:v>
                </c:pt>
                <c:pt idx="888">
                  <c:v>204.04612476081002</c:v>
                </c:pt>
                <c:pt idx="889">
                  <c:v>204.04612476081002</c:v>
                </c:pt>
                <c:pt idx="890">
                  <c:v>204.04612476081002</c:v>
                </c:pt>
                <c:pt idx="891">
                  <c:v>204.04612476081002</c:v>
                </c:pt>
                <c:pt idx="892">
                  <c:v>204.04612476081002</c:v>
                </c:pt>
                <c:pt idx="893">
                  <c:v>204.04612476081002</c:v>
                </c:pt>
                <c:pt idx="894">
                  <c:v>204.04612476081002</c:v>
                </c:pt>
                <c:pt idx="895">
                  <c:v>204.04612476081002</c:v>
                </c:pt>
                <c:pt idx="896">
                  <c:v>204.04612476081002</c:v>
                </c:pt>
                <c:pt idx="897">
                  <c:v>204.04612476081002</c:v>
                </c:pt>
                <c:pt idx="898">
                  <c:v>204.04612476081002</c:v>
                </c:pt>
                <c:pt idx="899">
                  <c:v>204.04612476081002</c:v>
                </c:pt>
                <c:pt idx="900">
                  <c:v>204.04612476081002</c:v>
                </c:pt>
                <c:pt idx="901">
                  <c:v>204.04612476081002</c:v>
                </c:pt>
                <c:pt idx="902">
                  <c:v>204.04612476081002</c:v>
                </c:pt>
                <c:pt idx="903">
                  <c:v>204.04612476081002</c:v>
                </c:pt>
                <c:pt idx="904">
                  <c:v>204.04612476081002</c:v>
                </c:pt>
                <c:pt idx="905">
                  <c:v>204.04612476081002</c:v>
                </c:pt>
                <c:pt idx="906">
                  <c:v>204.04612476081002</c:v>
                </c:pt>
                <c:pt idx="907">
                  <c:v>204.04612476081002</c:v>
                </c:pt>
                <c:pt idx="908">
                  <c:v>204.04612476081002</c:v>
                </c:pt>
                <c:pt idx="909">
                  <c:v>204.04612476081002</c:v>
                </c:pt>
                <c:pt idx="910">
                  <c:v>204.04612476081002</c:v>
                </c:pt>
                <c:pt idx="911">
                  <c:v>204.04612476081002</c:v>
                </c:pt>
                <c:pt idx="912">
                  <c:v>204.04612476081002</c:v>
                </c:pt>
                <c:pt idx="913">
                  <c:v>204.04612476081002</c:v>
                </c:pt>
                <c:pt idx="914">
                  <c:v>204.04612476081002</c:v>
                </c:pt>
                <c:pt idx="915">
                  <c:v>204.04612476081002</c:v>
                </c:pt>
                <c:pt idx="916">
                  <c:v>204.04612476081002</c:v>
                </c:pt>
                <c:pt idx="917">
                  <c:v>204.04612476081002</c:v>
                </c:pt>
                <c:pt idx="918">
                  <c:v>204.04612476081002</c:v>
                </c:pt>
                <c:pt idx="919">
                  <c:v>204.04612476081002</c:v>
                </c:pt>
                <c:pt idx="920">
                  <c:v>204.04612476081002</c:v>
                </c:pt>
                <c:pt idx="921">
                  <c:v>204.04612476081002</c:v>
                </c:pt>
                <c:pt idx="922">
                  <c:v>204.04612476081002</c:v>
                </c:pt>
                <c:pt idx="923">
                  <c:v>204.04612476081002</c:v>
                </c:pt>
                <c:pt idx="924">
                  <c:v>204.04612476081002</c:v>
                </c:pt>
                <c:pt idx="925">
                  <c:v>204.04612476081002</c:v>
                </c:pt>
                <c:pt idx="926">
                  <c:v>204.04612476081002</c:v>
                </c:pt>
                <c:pt idx="927">
                  <c:v>204.04612476081002</c:v>
                </c:pt>
                <c:pt idx="928">
                  <c:v>204.04612476081002</c:v>
                </c:pt>
                <c:pt idx="929">
                  <c:v>204.04612476081002</c:v>
                </c:pt>
                <c:pt idx="930">
                  <c:v>204.04612476081002</c:v>
                </c:pt>
                <c:pt idx="931">
                  <c:v>204.04612476081002</c:v>
                </c:pt>
                <c:pt idx="932">
                  <c:v>204.04612476081002</c:v>
                </c:pt>
                <c:pt idx="933">
                  <c:v>204.04612476081002</c:v>
                </c:pt>
                <c:pt idx="934">
                  <c:v>204.04612476081002</c:v>
                </c:pt>
                <c:pt idx="935">
                  <c:v>213.93488364681002</c:v>
                </c:pt>
                <c:pt idx="936">
                  <c:v>223.68494458281</c:v>
                </c:pt>
                <c:pt idx="937">
                  <c:v>233.87980756881001</c:v>
                </c:pt>
                <c:pt idx="938">
                  <c:v>244.51947260481003</c:v>
                </c:pt>
                <c:pt idx="939">
                  <c:v>255.60393969080999</c:v>
                </c:pt>
                <c:pt idx="940">
                  <c:v>267.13320882681006</c:v>
                </c:pt>
                <c:pt idx="941">
                  <c:v>271.51936105521003</c:v>
                </c:pt>
                <c:pt idx="942">
                  <c:v>271.28596105521001</c:v>
                </c:pt>
                <c:pt idx="943">
                  <c:v>271.28596105521001</c:v>
                </c:pt>
                <c:pt idx="944">
                  <c:v>271.28596105521001</c:v>
                </c:pt>
                <c:pt idx="945">
                  <c:v>271.28596105521001</c:v>
                </c:pt>
                <c:pt idx="946">
                  <c:v>271.28596105521001</c:v>
                </c:pt>
                <c:pt idx="947">
                  <c:v>271.28596105521001</c:v>
                </c:pt>
                <c:pt idx="948">
                  <c:v>271.28596105521001</c:v>
                </c:pt>
                <c:pt idx="949">
                  <c:v>271.28596105521001</c:v>
                </c:pt>
                <c:pt idx="950">
                  <c:v>271.28596105521001</c:v>
                </c:pt>
                <c:pt idx="951">
                  <c:v>271.28596105521001</c:v>
                </c:pt>
                <c:pt idx="952">
                  <c:v>271.28596105521001</c:v>
                </c:pt>
                <c:pt idx="953">
                  <c:v>271.28596105521001</c:v>
                </c:pt>
                <c:pt idx="954">
                  <c:v>271.28596105521001</c:v>
                </c:pt>
                <c:pt idx="955">
                  <c:v>271.28596105521001</c:v>
                </c:pt>
                <c:pt idx="956">
                  <c:v>271.28596105521001</c:v>
                </c:pt>
                <c:pt idx="957">
                  <c:v>271.28596105521001</c:v>
                </c:pt>
                <c:pt idx="958">
                  <c:v>271.28596105521001</c:v>
                </c:pt>
                <c:pt idx="959">
                  <c:v>271.28596105521001</c:v>
                </c:pt>
                <c:pt idx="960">
                  <c:v>271.28596105521001</c:v>
                </c:pt>
                <c:pt idx="961">
                  <c:v>271.28596105521001</c:v>
                </c:pt>
                <c:pt idx="962">
                  <c:v>271.28596105521001</c:v>
                </c:pt>
                <c:pt idx="963">
                  <c:v>271.28596105521001</c:v>
                </c:pt>
                <c:pt idx="964">
                  <c:v>271.28596105521001</c:v>
                </c:pt>
                <c:pt idx="965">
                  <c:v>271.28596105521001</c:v>
                </c:pt>
                <c:pt idx="966">
                  <c:v>271.28596105521001</c:v>
                </c:pt>
                <c:pt idx="967">
                  <c:v>271.28596105521001</c:v>
                </c:pt>
                <c:pt idx="968">
                  <c:v>271.28596105521001</c:v>
                </c:pt>
                <c:pt idx="969">
                  <c:v>271.28596105521001</c:v>
                </c:pt>
                <c:pt idx="970">
                  <c:v>253.01672688996001</c:v>
                </c:pt>
                <c:pt idx="971">
                  <c:v>236.62354733721003</c:v>
                </c:pt>
                <c:pt idx="972">
                  <c:v>216.75494250062803</c:v>
                </c:pt>
                <c:pt idx="973">
                  <c:v>231.14651282837804</c:v>
                </c:pt>
                <c:pt idx="974">
                  <c:v>244.53727854362802</c:v>
                </c:pt>
                <c:pt idx="975">
                  <c:v>256.92723964637798</c:v>
                </c:pt>
                <c:pt idx="976">
                  <c:v>269.94520781018593</c:v>
                </c:pt>
                <c:pt idx="977">
                  <c:v>280.33355968793597</c:v>
                </c:pt>
                <c:pt idx="978">
                  <c:v>289.72110695318599</c:v>
                </c:pt>
                <c:pt idx="979">
                  <c:v>298.10784960593594</c:v>
                </c:pt>
                <c:pt idx="980">
                  <c:v>142.38232696521001</c:v>
                </c:pt>
                <c:pt idx="981">
                  <c:v>142.38232696521001</c:v>
                </c:pt>
                <c:pt idx="982">
                  <c:v>142.38232696521001</c:v>
                </c:pt>
                <c:pt idx="983">
                  <c:v>142.38232696521001</c:v>
                </c:pt>
                <c:pt idx="984">
                  <c:v>142.38232696521001</c:v>
                </c:pt>
                <c:pt idx="985">
                  <c:v>142.38232696521001</c:v>
                </c:pt>
                <c:pt idx="986">
                  <c:v>142.38232696521001</c:v>
                </c:pt>
                <c:pt idx="987">
                  <c:v>142.38232696521001</c:v>
                </c:pt>
                <c:pt idx="988">
                  <c:v>142.38232696521001</c:v>
                </c:pt>
                <c:pt idx="989">
                  <c:v>142.38232696521001</c:v>
                </c:pt>
                <c:pt idx="990">
                  <c:v>142.38232696521001</c:v>
                </c:pt>
                <c:pt idx="991">
                  <c:v>142.38232696521001</c:v>
                </c:pt>
                <c:pt idx="992">
                  <c:v>591.25924618910597</c:v>
                </c:pt>
                <c:pt idx="993">
                  <c:v>600.64679345435593</c:v>
                </c:pt>
                <c:pt idx="994">
                  <c:v>611.03514533210603</c:v>
                </c:pt>
                <c:pt idx="995">
                  <c:v>622.42430182235603</c:v>
                </c:pt>
                <c:pt idx="996">
                  <c:v>634.81426292510605</c:v>
                </c:pt>
                <c:pt idx="997">
                  <c:v>646.57621696679803</c:v>
                </c:pt>
                <c:pt idx="998">
                  <c:v>660.96778729454809</c:v>
                </c:pt>
                <c:pt idx="999">
                  <c:v>676.36016223479805</c:v>
                </c:pt>
                <c:pt idx="1000">
                  <c:v>692.75334178754804</c:v>
                </c:pt>
                <c:pt idx="1001">
                  <c:v>201.36256756037801</c:v>
                </c:pt>
                <c:pt idx="1002">
                  <c:v>216.75494250062803</c:v>
                </c:pt>
                <c:pt idx="1003">
                  <c:v>231.14651282837804</c:v>
                </c:pt>
                <c:pt idx="1004">
                  <c:v>244.53727854362802</c:v>
                </c:pt>
                <c:pt idx="1005">
                  <c:v>256.92723964637798</c:v>
                </c:pt>
                <c:pt idx="1006">
                  <c:v>268.31639613662799</c:v>
                </c:pt>
                <c:pt idx="1007">
                  <c:v>278.70474801437803</c:v>
                </c:pt>
                <c:pt idx="1008">
                  <c:v>288.09229527962805</c:v>
                </c:pt>
                <c:pt idx="1009">
                  <c:v>296.47903793237799</c:v>
                </c:pt>
                <c:pt idx="1010">
                  <c:v>303.86497597262803</c:v>
                </c:pt>
                <c:pt idx="1011">
                  <c:v>310.25010940037805</c:v>
                </c:pt>
                <c:pt idx="1012">
                  <c:v>315.63443821562799</c:v>
                </c:pt>
                <c:pt idx="1013">
                  <c:v>320.01796241837803</c:v>
                </c:pt>
                <c:pt idx="1014">
                  <c:v>118.84340247921001</c:v>
                </c:pt>
                <c:pt idx="1015">
                  <c:v>118.84340247921001</c:v>
                </c:pt>
                <c:pt idx="1016">
                  <c:v>118.84340247921001</c:v>
                </c:pt>
                <c:pt idx="1017">
                  <c:v>118.84340247921001</c:v>
                </c:pt>
                <c:pt idx="1018">
                  <c:v>118.84340247921001</c:v>
                </c:pt>
                <c:pt idx="1019">
                  <c:v>118.84340247921001</c:v>
                </c:pt>
                <c:pt idx="1020">
                  <c:v>562.08829157954801</c:v>
                </c:pt>
                <c:pt idx="1021">
                  <c:v>567.47262039479801</c:v>
                </c:pt>
                <c:pt idx="1022">
                  <c:v>573.85775382254803</c:v>
                </c:pt>
                <c:pt idx="1023">
                  <c:v>581.24369186279807</c:v>
                </c:pt>
                <c:pt idx="1024">
                  <c:v>589.63043451554802</c:v>
                </c:pt>
                <c:pt idx="1025">
                  <c:v>599.01798178079798</c:v>
                </c:pt>
                <c:pt idx="1026">
                  <c:v>609.40633365854808</c:v>
                </c:pt>
                <c:pt idx="1027">
                  <c:v>620.79549014879808</c:v>
                </c:pt>
                <c:pt idx="1028">
                  <c:v>195.19933635396001</c:v>
                </c:pt>
                <c:pt idx="1029">
                  <c:v>208.59010206920999</c:v>
                </c:pt>
                <c:pt idx="1030">
                  <c:v>222.98167239695999</c:v>
                </c:pt>
                <c:pt idx="1031">
                  <c:v>238.37404733721002</c:v>
                </c:pt>
                <c:pt idx="1032">
                  <c:v>254.76722688996</c:v>
                </c:pt>
                <c:pt idx="1033">
                  <c:v>272.16121105521</c:v>
                </c:pt>
                <c:pt idx="1034">
                  <c:v>271.28596105521001</c:v>
                </c:pt>
                <c:pt idx="1035">
                  <c:v>271.28596105521001</c:v>
                </c:pt>
                <c:pt idx="1036">
                  <c:v>271.28596105521001</c:v>
                </c:pt>
                <c:pt idx="1037">
                  <c:v>253.01672688996001</c:v>
                </c:pt>
                <c:pt idx="1038">
                  <c:v>236.62354733721003</c:v>
                </c:pt>
                <c:pt idx="1039">
                  <c:v>221.23117239696001</c:v>
                </c:pt>
                <c:pt idx="1040">
                  <c:v>231.14651282837804</c:v>
                </c:pt>
                <c:pt idx="1041">
                  <c:v>244.53727854362802</c:v>
                </c:pt>
                <c:pt idx="1042">
                  <c:v>256.92723964637798</c:v>
                </c:pt>
                <c:pt idx="1043">
                  <c:v>268.31639613662799</c:v>
                </c:pt>
                <c:pt idx="1044">
                  <c:v>278.70474801437803</c:v>
                </c:pt>
                <c:pt idx="1045">
                  <c:v>288.09229527962805</c:v>
                </c:pt>
                <c:pt idx="1046">
                  <c:v>296.47903793237799</c:v>
                </c:pt>
                <c:pt idx="1047">
                  <c:v>303.86497597262803</c:v>
                </c:pt>
                <c:pt idx="1048">
                  <c:v>310.25010940037805</c:v>
                </c:pt>
                <c:pt idx="1049">
                  <c:v>317.26324988918594</c:v>
                </c:pt>
                <c:pt idx="1050">
                  <c:v>321.64677409193598</c:v>
                </c:pt>
                <c:pt idx="1051">
                  <c:v>118.84340247921001</c:v>
                </c:pt>
                <c:pt idx="1052">
                  <c:v>118.84340247921001</c:v>
                </c:pt>
                <c:pt idx="1053">
                  <c:v>118.84340247921001</c:v>
                </c:pt>
                <c:pt idx="1054">
                  <c:v>118.84340247921001</c:v>
                </c:pt>
                <c:pt idx="1055">
                  <c:v>118.84340247921001</c:v>
                </c:pt>
                <c:pt idx="1056">
                  <c:v>118.84340247921001</c:v>
                </c:pt>
                <c:pt idx="1057">
                  <c:v>118.84340247921001</c:v>
                </c:pt>
                <c:pt idx="1058">
                  <c:v>118.84340247921001</c:v>
                </c:pt>
                <c:pt idx="1059">
                  <c:v>591.67353501690377</c:v>
                </c:pt>
                <c:pt idx="1060">
                  <c:v>597.52357157850372</c:v>
                </c:pt>
                <c:pt idx="1061">
                  <c:v>604.51230138810377</c:v>
                </c:pt>
                <c:pt idx="1062">
                  <c:v>612.63972444570368</c:v>
                </c:pt>
                <c:pt idx="1063">
                  <c:v>621.90584075130369</c:v>
                </c:pt>
                <c:pt idx="1064">
                  <c:v>632.31065030490367</c:v>
                </c:pt>
                <c:pt idx="1065">
                  <c:v>176.66896388241003</c:v>
                </c:pt>
                <c:pt idx="1066">
                  <c:v>189.35115993201003</c:v>
                </c:pt>
                <c:pt idx="1067">
                  <c:v>203.17204922961002</c:v>
                </c:pt>
                <c:pt idx="1068">
                  <c:v>218.13163177521005</c:v>
                </c:pt>
                <c:pt idx="1069">
                  <c:v>234.22990756881006</c:v>
                </c:pt>
                <c:pt idx="1070">
                  <c:v>251.46687661041011</c:v>
                </c:pt>
                <c:pt idx="1071">
                  <c:v>269.84253890001008</c:v>
                </c:pt>
                <c:pt idx="1072">
                  <c:v>271.40266105520999</c:v>
                </c:pt>
                <c:pt idx="1073">
                  <c:v>271.28596105521001</c:v>
                </c:pt>
                <c:pt idx="1074">
                  <c:v>271.28596105521001</c:v>
                </c:pt>
                <c:pt idx="1075">
                  <c:v>271.28596105521001</c:v>
                </c:pt>
                <c:pt idx="1076">
                  <c:v>271.28596105521001</c:v>
                </c:pt>
                <c:pt idx="1077">
                  <c:v>271.28596105521001</c:v>
                </c:pt>
                <c:pt idx="1078">
                  <c:v>271.28596105521001</c:v>
                </c:pt>
                <c:pt idx="1079">
                  <c:v>271.28596105521001</c:v>
                </c:pt>
                <c:pt idx="1080">
                  <c:v>271.28596105521001</c:v>
                </c:pt>
                <c:pt idx="1081">
                  <c:v>271.28596105521001</c:v>
                </c:pt>
                <c:pt idx="1082">
                  <c:v>271.28596105521001</c:v>
                </c:pt>
                <c:pt idx="1083">
                  <c:v>184.96938800762803</c:v>
                </c:pt>
                <c:pt idx="1084">
                  <c:v>201.36256756037801</c:v>
                </c:pt>
                <c:pt idx="1085">
                  <c:v>216.75494250062803</c:v>
                </c:pt>
                <c:pt idx="1086">
                  <c:v>231.14651282837804</c:v>
                </c:pt>
                <c:pt idx="1087">
                  <c:v>244.53727854362802</c:v>
                </c:pt>
                <c:pt idx="1088">
                  <c:v>256.92723964637798</c:v>
                </c:pt>
                <c:pt idx="1089">
                  <c:v>269.94520781018593</c:v>
                </c:pt>
                <c:pt idx="1090">
                  <c:v>280.33355968793597</c:v>
                </c:pt>
                <c:pt idx="1091">
                  <c:v>289.72110695318599</c:v>
                </c:pt>
                <c:pt idx="1092">
                  <c:v>298.10784960593594</c:v>
                </c:pt>
                <c:pt idx="1093">
                  <c:v>103.42377586521</c:v>
                </c:pt>
                <c:pt idx="1094">
                  <c:v>103.42377586521</c:v>
                </c:pt>
                <c:pt idx="1095">
                  <c:v>103.42377586521</c:v>
                </c:pt>
                <c:pt idx="1096">
                  <c:v>103.42377586521</c:v>
                </c:pt>
                <c:pt idx="1097">
                  <c:v>103.42377586521</c:v>
                </c:pt>
                <c:pt idx="1098">
                  <c:v>103.42377586521</c:v>
                </c:pt>
                <c:pt idx="1099">
                  <c:v>103.42377586521</c:v>
                </c:pt>
                <c:pt idx="1100">
                  <c:v>103.42377586521</c:v>
                </c:pt>
                <c:pt idx="1101">
                  <c:v>103.42377586521</c:v>
                </c:pt>
                <c:pt idx="1102">
                  <c:v>103.42377586521</c:v>
                </c:pt>
                <c:pt idx="1103">
                  <c:v>103.42377586521</c:v>
                </c:pt>
                <c:pt idx="1104">
                  <c:v>702.14873585540465</c:v>
                </c:pt>
                <c:pt idx="1105">
                  <c:v>713.16091971932735</c:v>
                </c:pt>
                <c:pt idx="1106">
                  <c:v>728.12406068132736</c:v>
                </c:pt>
                <c:pt idx="1107">
                  <c:v>160.88492331321001</c:v>
                </c:pt>
                <c:pt idx="1108">
                  <c:v>179.40648067521002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3C-4F30-B87F-AEB23FA66C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06424"/>
        <c:axId val="1419111344"/>
      </c:scatterChart>
      <c:scatterChart>
        <c:scatterStyle val="smoothMarker"/>
        <c:varyColors val="0"/>
        <c:ser>
          <c:idx val="1"/>
          <c:order val="1"/>
          <c:tx>
            <c:v>Gear Selected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Cycle'!$H$3:$H$1111</c:f>
              <c:numCache>
                <c:formatCode>General</c:formatCode>
                <c:ptCount val="110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2</c:v>
                </c:pt>
                <c:pt idx="241">
                  <c:v>2</c:v>
                </c:pt>
                <c:pt idx="242">
                  <c:v>2</c:v>
                </c:pt>
                <c:pt idx="243">
                  <c:v>2</c:v>
                </c:pt>
                <c:pt idx="244">
                  <c:v>2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2</c:v>
                </c:pt>
                <c:pt idx="266">
                  <c:v>2</c:v>
                </c:pt>
                <c:pt idx="267">
                  <c:v>2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2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2</c:v>
                </c:pt>
                <c:pt idx="297">
                  <c:v>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2</c:v>
                </c:pt>
                <c:pt idx="413">
                  <c:v>2</c:v>
                </c:pt>
                <c:pt idx="414">
                  <c:v>2</c:v>
                </c:pt>
                <c:pt idx="415">
                  <c:v>2</c:v>
                </c:pt>
                <c:pt idx="416">
                  <c:v>2</c:v>
                </c:pt>
                <c:pt idx="417">
                  <c:v>2</c:v>
                </c:pt>
                <c:pt idx="418">
                  <c:v>2</c:v>
                </c:pt>
                <c:pt idx="419">
                  <c:v>2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3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3</c:v>
                </c:pt>
                <c:pt idx="472">
                  <c:v>3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3</c:v>
                </c:pt>
                <c:pt idx="523">
                  <c:v>3</c:v>
                </c:pt>
                <c:pt idx="524">
                  <c:v>3</c:v>
                </c:pt>
                <c:pt idx="525">
                  <c:v>3</c:v>
                </c:pt>
                <c:pt idx="526">
                  <c:v>3</c:v>
                </c:pt>
                <c:pt idx="527">
                  <c:v>3</c:v>
                </c:pt>
                <c:pt idx="528">
                  <c:v>3</c:v>
                </c:pt>
                <c:pt idx="529">
                  <c:v>3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3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3</c:v>
                </c:pt>
                <c:pt idx="685">
                  <c:v>3</c:v>
                </c:pt>
                <c:pt idx="686">
                  <c:v>3</c:v>
                </c:pt>
                <c:pt idx="687">
                  <c:v>3</c:v>
                </c:pt>
                <c:pt idx="688">
                  <c:v>3</c:v>
                </c:pt>
                <c:pt idx="689">
                  <c:v>3</c:v>
                </c:pt>
                <c:pt idx="690">
                  <c:v>3</c:v>
                </c:pt>
                <c:pt idx="691">
                  <c:v>3</c:v>
                </c:pt>
                <c:pt idx="692">
                  <c:v>3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2</c:v>
                </c:pt>
                <c:pt idx="729">
                  <c:v>2</c:v>
                </c:pt>
                <c:pt idx="730">
                  <c:v>2</c:v>
                </c:pt>
                <c:pt idx="731">
                  <c:v>2</c:v>
                </c:pt>
                <c:pt idx="732">
                  <c:v>2</c:v>
                </c:pt>
                <c:pt idx="733">
                  <c:v>2</c:v>
                </c:pt>
                <c:pt idx="734">
                  <c:v>2</c:v>
                </c:pt>
                <c:pt idx="735">
                  <c:v>2</c:v>
                </c:pt>
                <c:pt idx="736">
                  <c:v>2</c:v>
                </c:pt>
                <c:pt idx="737">
                  <c:v>2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3</c:v>
                </c:pt>
                <c:pt idx="746">
                  <c:v>3</c:v>
                </c:pt>
                <c:pt idx="747">
                  <c:v>3</c:v>
                </c:pt>
                <c:pt idx="748">
                  <c:v>3</c:v>
                </c:pt>
                <c:pt idx="749">
                  <c:v>3</c:v>
                </c:pt>
                <c:pt idx="750">
                  <c:v>3</c:v>
                </c:pt>
                <c:pt idx="751">
                  <c:v>3</c:v>
                </c:pt>
                <c:pt idx="752">
                  <c:v>3</c:v>
                </c:pt>
                <c:pt idx="753">
                  <c:v>3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3</c:v>
                </c:pt>
                <c:pt idx="819">
                  <c:v>3</c:v>
                </c:pt>
                <c:pt idx="820">
                  <c:v>3</c:v>
                </c:pt>
                <c:pt idx="821">
                  <c:v>3</c:v>
                </c:pt>
                <c:pt idx="822">
                  <c:v>3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3</c:v>
                </c:pt>
                <c:pt idx="938">
                  <c:v>3</c:v>
                </c:pt>
                <c:pt idx="939">
                  <c:v>3</c:v>
                </c:pt>
                <c:pt idx="940">
                  <c:v>3</c:v>
                </c:pt>
                <c:pt idx="941">
                  <c:v>3</c:v>
                </c:pt>
                <c:pt idx="942">
                  <c:v>3</c:v>
                </c:pt>
                <c:pt idx="943">
                  <c:v>3</c:v>
                </c:pt>
                <c:pt idx="944">
                  <c:v>3</c:v>
                </c:pt>
                <c:pt idx="945">
                  <c:v>3</c:v>
                </c:pt>
                <c:pt idx="946">
                  <c:v>3</c:v>
                </c:pt>
                <c:pt idx="947">
                  <c:v>3</c:v>
                </c:pt>
                <c:pt idx="948">
                  <c:v>3</c:v>
                </c:pt>
                <c:pt idx="949">
                  <c:v>3</c:v>
                </c:pt>
                <c:pt idx="950">
                  <c:v>3</c:v>
                </c:pt>
                <c:pt idx="951">
                  <c:v>3</c:v>
                </c:pt>
                <c:pt idx="952">
                  <c:v>3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3</c:v>
                </c:pt>
                <c:pt idx="957">
                  <c:v>3</c:v>
                </c:pt>
                <c:pt idx="958">
                  <c:v>3</c:v>
                </c:pt>
                <c:pt idx="959">
                  <c:v>3</c:v>
                </c:pt>
                <c:pt idx="960">
                  <c:v>3</c:v>
                </c:pt>
                <c:pt idx="961">
                  <c:v>3</c:v>
                </c:pt>
                <c:pt idx="962">
                  <c:v>3</c:v>
                </c:pt>
                <c:pt idx="963">
                  <c:v>3</c:v>
                </c:pt>
                <c:pt idx="964">
                  <c:v>3</c:v>
                </c:pt>
                <c:pt idx="965">
                  <c:v>3</c:v>
                </c:pt>
                <c:pt idx="966">
                  <c:v>3</c:v>
                </c:pt>
                <c:pt idx="967">
                  <c:v>3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2</c:v>
                </c:pt>
                <c:pt idx="998">
                  <c:v>2</c:v>
                </c:pt>
                <c:pt idx="999">
                  <c:v>2</c:v>
                </c:pt>
                <c:pt idx="1000">
                  <c:v>2</c:v>
                </c:pt>
                <c:pt idx="1001">
                  <c:v>2</c:v>
                </c:pt>
                <c:pt idx="1002">
                  <c:v>2</c:v>
                </c:pt>
                <c:pt idx="1003">
                  <c:v>2</c:v>
                </c:pt>
                <c:pt idx="1004">
                  <c:v>2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2</c:v>
                </c:pt>
                <c:pt idx="1013">
                  <c:v>2</c:v>
                </c:pt>
                <c:pt idx="1014">
                  <c:v>2</c:v>
                </c:pt>
                <c:pt idx="1015">
                  <c:v>2</c:v>
                </c:pt>
                <c:pt idx="1016">
                  <c:v>2</c:v>
                </c:pt>
                <c:pt idx="1017">
                  <c:v>2</c:v>
                </c:pt>
                <c:pt idx="1018">
                  <c:v>2</c:v>
                </c:pt>
                <c:pt idx="1019">
                  <c:v>2</c:v>
                </c:pt>
                <c:pt idx="1020">
                  <c:v>2</c:v>
                </c:pt>
                <c:pt idx="1021">
                  <c:v>2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3</c:v>
                </c:pt>
                <c:pt idx="1029">
                  <c:v>3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3</c:v>
                </c:pt>
                <c:pt idx="1034">
                  <c:v>3</c:v>
                </c:pt>
                <c:pt idx="1035">
                  <c:v>3</c:v>
                </c:pt>
                <c:pt idx="1036">
                  <c:v>3</c:v>
                </c:pt>
                <c:pt idx="1037">
                  <c:v>3</c:v>
                </c:pt>
                <c:pt idx="1038">
                  <c:v>3</c:v>
                </c:pt>
                <c:pt idx="1039">
                  <c:v>3</c:v>
                </c:pt>
                <c:pt idx="1040">
                  <c:v>2</c:v>
                </c:pt>
                <c:pt idx="1041">
                  <c:v>2</c:v>
                </c:pt>
                <c:pt idx="1042">
                  <c:v>2</c:v>
                </c:pt>
                <c:pt idx="1043">
                  <c:v>2</c:v>
                </c:pt>
                <c:pt idx="1044">
                  <c:v>2</c:v>
                </c:pt>
                <c:pt idx="1045">
                  <c:v>2</c:v>
                </c:pt>
                <c:pt idx="1046">
                  <c:v>2</c:v>
                </c:pt>
                <c:pt idx="1047">
                  <c:v>2</c:v>
                </c:pt>
                <c:pt idx="1048">
                  <c:v>2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  <c:pt idx="1063">
                  <c:v>2</c:v>
                </c:pt>
                <c:pt idx="1064">
                  <c:v>2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2</c:v>
                </c:pt>
                <c:pt idx="1084">
                  <c:v>2</c:v>
                </c:pt>
                <c:pt idx="1085">
                  <c:v>2</c:v>
                </c:pt>
                <c:pt idx="1086">
                  <c:v>2</c:v>
                </c:pt>
                <c:pt idx="1087">
                  <c:v>2</c:v>
                </c:pt>
                <c:pt idx="1088">
                  <c:v>2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2</c:v>
                </c:pt>
                <c:pt idx="1106">
                  <c:v>2</c:v>
                </c:pt>
                <c:pt idx="1107">
                  <c:v>3</c:v>
                </c:pt>
                <c:pt idx="1108">
                  <c:v>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13C-4F30-B87F-AEB23FA66C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8966672"/>
        <c:axId val="1368969296"/>
      </c:scatterChart>
      <c:valAx>
        <c:axId val="1419106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11344"/>
        <c:crosses val="autoZero"/>
        <c:crossBetween val="midCat"/>
      </c:valAx>
      <c:valAx>
        <c:axId val="1419111344"/>
        <c:scaling>
          <c:orientation val="minMax"/>
          <c:min val="-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Required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106424"/>
        <c:crosses val="autoZero"/>
        <c:crossBetween val="midCat"/>
      </c:valAx>
      <c:valAx>
        <c:axId val="1368969296"/>
        <c:scaling>
          <c:orientation val="minMax"/>
          <c:max val="15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Gear</a:t>
                </a:r>
                <a:r>
                  <a:rPr lang="en-GB" baseline="0"/>
                  <a:t> Selected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8966672"/>
        <c:crosses val="max"/>
        <c:crossBetween val="midCat"/>
        <c:majorUnit val="1"/>
      </c:valAx>
      <c:valAx>
        <c:axId val="1368966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68969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6500093340076022"/>
          <c:y val="0.87338984867869751"/>
          <c:w val="0.66567564802257062"/>
          <c:h val="7.61512550100912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Aerodynamic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Cycle'!$J$3:$J$1111</c:f>
              <c:numCache>
                <c:formatCode>General</c:formatCode>
                <c:ptCount val="1109"/>
                <c:pt idx="0">
                  <c:v>0</c:v>
                </c:pt>
                <c:pt idx="1">
                  <c:v>0.8896040999999999</c:v>
                </c:pt>
                <c:pt idx="2">
                  <c:v>3.5584163999999996</c:v>
                </c:pt>
                <c:pt idx="3">
                  <c:v>8.0064368999999989</c:v>
                </c:pt>
                <c:pt idx="4">
                  <c:v>14.233665599999998</c:v>
                </c:pt>
                <c:pt idx="5">
                  <c:v>22.240102499999999</c:v>
                </c:pt>
                <c:pt idx="6">
                  <c:v>32.025747599999995</c:v>
                </c:pt>
                <c:pt idx="7">
                  <c:v>43.590600899999998</c:v>
                </c:pt>
                <c:pt idx="8">
                  <c:v>56.934662399999993</c:v>
                </c:pt>
                <c:pt idx="9">
                  <c:v>72.057932099999988</c:v>
                </c:pt>
                <c:pt idx="10">
                  <c:v>88.960409999999996</c:v>
                </c:pt>
                <c:pt idx="11">
                  <c:v>107.64209609999999</c:v>
                </c:pt>
                <c:pt idx="12">
                  <c:v>128.10299039999998</c:v>
                </c:pt>
                <c:pt idx="13">
                  <c:v>150.34309289999999</c:v>
                </c:pt>
                <c:pt idx="14">
                  <c:v>159.97581505520998</c:v>
                </c:pt>
                <c:pt idx="15">
                  <c:v>159.97581505520998</c:v>
                </c:pt>
                <c:pt idx="16">
                  <c:v>159.97581505520998</c:v>
                </c:pt>
                <c:pt idx="17">
                  <c:v>159.97581505520998</c:v>
                </c:pt>
                <c:pt idx="18">
                  <c:v>159.97581505520998</c:v>
                </c:pt>
                <c:pt idx="19">
                  <c:v>159.97581505520998</c:v>
                </c:pt>
                <c:pt idx="20">
                  <c:v>159.97581505520998</c:v>
                </c:pt>
                <c:pt idx="21">
                  <c:v>159.97581505520998</c:v>
                </c:pt>
                <c:pt idx="22">
                  <c:v>159.97581505520998</c:v>
                </c:pt>
                <c:pt idx="23">
                  <c:v>159.97581505520998</c:v>
                </c:pt>
                <c:pt idx="24">
                  <c:v>159.97581505520998</c:v>
                </c:pt>
                <c:pt idx="25">
                  <c:v>159.97581505520998</c:v>
                </c:pt>
                <c:pt idx="26">
                  <c:v>159.97581505520998</c:v>
                </c:pt>
                <c:pt idx="27">
                  <c:v>159.97581505520998</c:v>
                </c:pt>
                <c:pt idx="28">
                  <c:v>159.97581505520998</c:v>
                </c:pt>
                <c:pt idx="29">
                  <c:v>159.97581505520998</c:v>
                </c:pt>
                <c:pt idx="30">
                  <c:v>159.97581505520998</c:v>
                </c:pt>
                <c:pt idx="31">
                  <c:v>159.97581505520998</c:v>
                </c:pt>
                <c:pt idx="32">
                  <c:v>159.97581505520998</c:v>
                </c:pt>
                <c:pt idx="33">
                  <c:v>159.97581505520998</c:v>
                </c:pt>
                <c:pt idx="34">
                  <c:v>159.97581505520998</c:v>
                </c:pt>
                <c:pt idx="35">
                  <c:v>159.97581505520998</c:v>
                </c:pt>
                <c:pt idx="36">
                  <c:v>159.97581505520998</c:v>
                </c:pt>
                <c:pt idx="37">
                  <c:v>159.97581505520998</c:v>
                </c:pt>
                <c:pt idx="38">
                  <c:v>159.97581505520998</c:v>
                </c:pt>
                <c:pt idx="39">
                  <c:v>159.97581505520998</c:v>
                </c:pt>
                <c:pt idx="40">
                  <c:v>159.97581505520998</c:v>
                </c:pt>
                <c:pt idx="41">
                  <c:v>159.97581505520998</c:v>
                </c:pt>
                <c:pt idx="42">
                  <c:v>159.97581505520998</c:v>
                </c:pt>
                <c:pt idx="43">
                  <c:v>159.97581505520998</c:v>
                </c:pt>
                <c:pt idx="44">
                  <c:v>159.97581505520998</c:v>
                </c:pt>
                <c:pt idx="45">
                  <c:v>159.97581505520998</c:v>
                </c:pt>
                <c:pt idx="46">
                  <c:v>159.97581505520998</c:v>
                </c:pt>
                <c:pt idx="47">
                  <c:v>159.97581505520998</c:v>
                </c:pt>
                <c:pt idx="48">
                  <c:v>159.97581505520998</c:v>
                </c:pt>
                <c:pt idx="49">
                  <c:v>159.97581505520998</c:v>
                </c:pt>
                <c:pt idx="50">
                  <c:v>159.97581505520998</c:v>
                </c:pt>
                <c:pt idx="51">
                  <c:v>159.97581505520998</c:v>
                </c:pt>
                <c:pt idx="52">
                  <c:v>159.97581505520998</c:v>
                </c:pt>
                <c:pt idx="53">
                  <c:v>159.97581505520998</c:v>
                </c:pt>
                <c:pt idx="54">
                  <c:v>159.97581505520998</c:v>
                </c:pt>
                <c:pt idx="55">
                  <c:v>159.97581505520998</c:v>
                </c:pt>
                <c:pt idx="56">
                  <c:v>159.97581505520998</c:v>
                </c:pt>
                <c:pt idx="57">
                  <c:v>159.97581505520998</c:v>
                </c:pt>
                <c:pt idx="58">
                  <c:v>159.97581505520998</c:v>
                </c:pt>
                <c:pt idx="59">
                  <c:v>159.97581505520998</c:v>
                </c:pt>
                <c:pt idx="60">
                  <c:v>159.97581505520998</c:v>
                </c:pt>
                <c:pt idx="61">
                  <c:v>159.97581505520998</c:v>
                </c:pt>
                <c:pt idx="62">
                  <c:v>159.97581505520998</c:v>
                </c:pt>
                <c:pt idx="63">
                  <c:v>159.97581505520998</c:v>
                </c:pt>
                <c:pt idx="64">
                  <c:v>159.97581505520998</c:v>
                </c:pt>
                <c:pt idx="65">
                  <c:v>159.97581505520998</c:v>
                </c:pt>
                <c:pt idx="66">
                  <c:v>159.97581505520998</c:v>
                </c:pt>
                <c:pt idx="67">
                  <c:v>159.97581505520998</c:v>
                </c:pt>
                <c:pt idx="68">
                  <c:v>159.97581505520998</c:v>
                </c:pt>
                <c:pt idx="69">
                  <c:v>159.97581505520998</c:v>
                </c:pt>
                <c:pt idx="70">
                  <c:v>159.97581505520998</c:v>
                </c:pt>
                <c:pt idx="71">
                  <c:v>159.97581505520998</c:v>
                </c:pt>
                <c:pt idx="72">
                  <c:v>159.97581505520998</c:v>
                </c:pt>
                <c:pt idx="73">
                  <c:v>159.97581505520998</c:v>
                </c:pt>
                <c:pt idx="74">
                  <c:v>159.97581505520998</c:v>
                </c:pt>
                <c:pt idx="75">
                  <c:v>159.97581505520998</c:v>
                </c:pt>
                <c:pt idx="76">
                  <c:v>159.97581505520998</c:v>
                </c:pt>
                <c:pt idx="77">
                  <c:v>159.97581505520998</c:v>
                </c:pt>
                <c:pt idx="78">
                  <c:v>159.97581505520998</c:v>
                </c:pt>
                <c:pt idx="79">
                  <c:v>159.97581505520998</c:v>
                </c:pt>
                <c:pt idx="80">
                  <c:v>159.97581505520998</c:v>
                </c:pt>
                <c:pt idx="81">
                  <c:v>159.97581505520998</c:v>
                </c:pt>
                <c:pt idx="82">
                  <c:v>159.97581505520998</c:v>
                </c:pt>
                <c:pt idx="83">
                  <c:v>159.97581505520998</c:v>
                </c:pt>
                <c:pt idx="84">
                  <c:v>159.97581505520998</c:v>
                </c:pt>
                <c:pt idx="85">
                  <c:v>159.97581505520998</c:v>
                </c:pt>
                <c:pt idx="86">
                  <c:v>159.97581505520998</c:v>
                </c:pt>
                <c:pt idx="87">
                  <c:v>159.97581505520998</c:v>
                </c:pt>
                <c:pt idx="88">
                  <c:v>159.97581505520998</c:v>
                </c:pt>
                <c:pt idx="89">
                  <c:v>159.97581505520998</c:v>
                </c:pt>
                <c:pt idx="90">
                  <c:v>159.97581505520998</c:v>
                </c:pt>
                <c:pt idx="91">
                  <c:v>159.97581505520998</c:v>
                </c:pt>
                <c:pt idx="92">
                  <c:v>159.97581505520998</c:v>
                </c:pt>
                <c:pt idx="93">
                  <c:v>150.34309289999999</c:v>
                </c:pt>
                <c:pt idx="94">
                  <c:v>139.00064062499999</c:v>
                </c:pt>
                <c:pt idx="95">
                  <c:v>128.10299039999998</c:v>
                </c:pt>
                <c:pt idx="96">
                  <c:v>117.65014222499998</c:v>
                </c:pt>
                <c:pt idx="97">
                  <c:v>107.64209609999999</c:v>
                </c:pt>
                <c:pt idx="98">
                  <c:v>107.64209609999999</c:v>
                </c:pt>
                <c:pt idx="99">
                  <c:v>107.64209609999999</c:v>
                </c:pt>
                <c:pt idx="100">
                  <c:v>107.64209609999999</c:v>
                </c:pt>
                <c:pt idx="101">
                  <c:v>107.64209609999999</c:v>
                </c:pt>
                <c:pt idx="102">
                  <c:v>107.64209609999999</c:v>
                </c:pt>
                <c:pt idx="103">
                  <c:v>107.64209609999999</c:v>
                </c:pt>
                <c:pt idx="104">
                  <c:v>107.64209609999999</c:v>
                </c:pt>
                <c:pt idx="105">
                  <c:v>107.64209609999999</c:v>
                </c:pt>
                <c:pt idx="106">
                  <c:v>107.64209609999999</c:v>
                </c:pt>
                <c:pt idx="107">
                  <c:v>107.64209609999999</c:v>
                </c:pt>
                <c:pt idx="108">
                  <c:v>107.64209609999999</c:v>
                </c:pt>
                <c:pt idx="109">
                  <c:v>107.64209609999999</c:v>
                </c:pt>
                <c:pt idx="110">
                  <c:v>128.10299039999998</c:v>
                </c:pt>
                <c:pt idx="111">
                  <c:v>150.34309289999999</c:v>
                </c:pt>
                <c:pt idx="112">
                  <c:v>159.97581505520998</c:v>
                </c:pt>
                <c:pt idx="113">
                  <c:v>159.97581505520998</c:v>
                </c:pt>
                <c:pt idx="114">
                  <c:v>159.97581505520998</c:v>
                </c:pt>
                <c:pt idx="115">
                  <c:v>159.97581505520998</c:v>
                </c:pt>
                <c:pt idx="116">
                  <c:v>88.960409999999996</c:v>
                </c:pt>
                <c:pt idx="117">
                  <c:v>88.960409999999996</c:v>
                </c:pt>
                <c:pt idx="118">
                  <c:v>98.078852024999989</c:v>
                </c:pt>
                <c:pt idx="119">
                  <c:v>98.078852024999989</c:v>
                </c:pt>
                <c:pt idx="120">
                  <c:v>117.65014222499998</c:v>
                </c:pt>
                <c:pt idx="121">
                  <c:v>139.00064062499999</c:v>
                </c:pt>
                <c:pt idx="122">
                  <c:v>159.97581505520998</c:v>
                </c:pt>
                <c:pt idx="123">
                  <c:v>159.97581505520998</c:v>
                </c:pt>
                <c:pt idx="124">
                  <c:v>159.97581505520998</c:v>
                </c:pt>
                <c:pt idx="125">
                  <c:v>159.97581505520998</c:v>
                </c:pt>
                <c:pt idx="126">
                  <c:v>159.97581505520998</c:v>
                </c:pt>
                <c:pt idx="127">
                  <c:v>159.97581505520998</c:v>
                </c:pt>
                <c:pt idx="128">
                  <c:v>159.97581505520998</c:v>
                </c:pt>
                <c:pt idx="129">
                  <c:v>159.97581505520998</c:v>
                </c:pt>
                <c:pt idx="130">
                  <c:v>159.97581505520998</c:v>
                </c:pt>
                <c:pt idx="131">
                  <c:v>159.97581505520998</c:v>
                </c:pt>
                <c:pt idx="132">
                  <c:v>159.97581505520998</c:v>
                </c:pt>
                <c:pt idx="133">
                  <c:v>159.97581505520998</c:v>
                </c:pt>
                <c:pt idx="134">
                  <c:v>159.97581505520998</c:v>
                </c:pt>
                <c:pt idx="135">
                  <c:v>159.97581505520998</c:v>
                </c:pt>
                <c:pt idx="136">
                  <c:v>159.97581505520998</c:v>
                </c:pt>
                <c:pt idx="137">
                  <c:v>159.97581505520998</c:v>
                </c:pt>
                <c:pt idx="138">
                  <c:v>159.97581505520998</c:v>
                </c:pt>
                <c:pt idx="139">
                  <c:v>159.97581505520998</c:v>
                </c:pt>
                <c:pt idx="140">
                  <c:v>159.97581505520998</c:v>
                </c:pt>
                <c:pt idx="141">
                  <c:v>159.97581505520998</c:v>
                </c:pt>
                <c:pt idx="142">
                  <c:v>159.97581505520998</c:v>
                </c:pt>
                <c:pt idx="143">
                  <c:v>159.97581505520998</c:v>
                </c:pt>
                <c:pt idx="144">
                  <c:v>159.97581505520998</c:v>
                </c:pt>
                <c:pt idx="145">
                  <c:v>159.97581505520998</c:v>
                </c:pt>
                <c:pt idx="146">
                  <c:v>159.97581505520998</c:v>
                </c:pt>
                <c:pt idx="147">
                  <c:v>159.97581505520998</c:v>
                </c:pt>
                <c:pt idx="148">
                  <c:v>159.97581505520998</c:v>
                </c:pt>
                <c:pt idx="149">
                  <c:v>159.97581505520998</c:v>
                </c:pt>
                <c:pt idx="150">
                  <c:v>159.97581505520998</c:v>
                </c:pt>
                <c:pt idx="151">
                  <c:v>159.97581505520998</c:v>
                </c:pt>
                <c:pt idx="152">
                  <c:v>159.97581505520998</c:v>
                </c:pt>
                <c:pt idx="153">
                  <c:v>159.97581505520998</c:v>
                </c:pt>
                <c:pt idx="154">
                  <c:v>159.97581505520998</c:v>
                </c:pt>
                <c:pt idx="155">
                  <c:v>159.97581505520998</c:v>
                </c:pt>
                <c:pt idx="156">
                  <c:v>159.97581505520998</c:v>
                </c:pt>
                <c:pt idx="157">
                  <c:v>137.00623719320998</c:v>
                </c:pt>
                <c:pt idx="158">
                  <c:v>115.81586753120997</c:v>
                </c:pt>
                <c:pt idx="159">
                  <c:v>96.404706069209993</c:v>
                </c:pt>
                <c:pt idx="160">
                  <c:v>78.772752807209997</c:v>
                </c:pt>
                <c:pt idx="161">
                  <c:v>62.920007745209993</c:v>
                </c:pt>
                <c:pt idx="162">
                  <c:v>48.846470883209996</c:v>
                </c:pt>
                <c:pt idx="163">
                  <c:v>36.552142221209998</c:v>
                </c:pt>
                <c:pt idx="164">
                  <c:v>26.037021759209999</c:v>
                </c:pt>
                <c:pt idx="165">
                  <c:v>17.30110949721</c:v>
                </c:pt>
                <c:pt idx="166">
                  <c:v>10.34440543521</c:v>
                </c:pt>
                <c:pt idx="167">
                  <c:v>10.34440543521</c:v>
                </c:pt>
                <c:pt idx="168">
                  <c:v>10.34440543521</c:v>
                </c:pt>
                <c:pt idx="169">
                  <c:v>10.34440543521</c:v>
                </c:pt>
                <c:pt idx="170">
                  <c:v>10.34440543521</c:v>
                </c:pt>
                <c:pt idx="171">
                  <c:v>10.34440543521</c:v>
                </c:pt>
                <c:pt idx="172">
                  <c:v>10.34440543521</c:v>
                </c:pt>
                <c:pt idx="173">
                  <c:v>10.34440543521</c:v>
                </c:pt>
                <c:pt idx="174">
                  <c:v>10.34440543521</c:v>
                </c:pt>
                <c:pt idx="175">
                  <c:v>10.34440543521</c:v>
                </c:pt>
                <c:pt idx="176">
                  <c:v>10.34440543521</c:v>
                </c:pt>
                <c:pt idx="177">
                  <c:v>10.34440543521</c:v>
                </c:pt>
                <c:pt idx="178">
                  <c:v>17.30110949721</c:v>
                </c:pt>
                <c:pt idx="179">
                  <c:v>26.037021759209999</c:v>
                </c:pt>
                <c:pt idx="180">
                  <c:v>36.552142221209998</c:v>
                </c:pt>
                <c:pt idx="181">
                  <c:v>48.846470883209996</c:v>
                </c:pt>
                <c:pt idx="182">
                  <c:v>62.920007745209993</c:v>
                </c:pt>
                <c:pt idx="183">
                  <c:v>78.772752807209997</c:v>
                </c:pt>
                <c:pt idx="184">
                  <c:v>96.404706069209993</c:v>
                </c:pt>
                <c:pt idx="185">
                  <c:v>115.81586753120997</c:v>
                </c:pt>
                <c:pt idx="186">
                  <c:v>137.00623719320998</c:v>
                </c:pt>
                <c:pt idx="187">
                  <c:v>159.97581505520998</c:v>
                </c:pt>
                <c:pt idx="188">
                  <c:v>159.97581505520998</c:v>
                </c:pt>
                <c:pt idx="189">
                  <c:v>159.97581505520998</c:v>
                </c:pt>
                <c:pt idx="190">
                  <c:v>159.97581505520998</c:v>
                </c:pt>
                <c:pt idx="191">
                  <c:v>159.97581505520998</c:v>
                </c:pt>
                <c:pt idx="192">
                  <c:v>159.97581505520998</c:v>
                </c:pt>
                <c:pt idx="193">
                  <c:v>159.97581505520998</c:v>
                </c:pt>
                <c:pt idx="194">
                  <c:v>159.97581505520998</c:v>
                </c:pt>
                <c:pt idx="195">
                  <c:v>159.97581505520998</c:v>
                </c:pt>
                <c:pt idx="196">
                  <c:v>159.97581505520998</c:v>
                </c:pt>
                <c:pt idx="197">
                  <c:v>159.97581505520998</c:v>
                </c:pt>
                <c:pt idx="198">
                  <c:v>159.97581505520998</c:v>
                </c:pt>
                <c:pt idx="199">
                  <c:v>159.97581505520998</c:v>
                </c:pt>
                <c:pt idx="200">
                  <c:v>159.97581505520998</c:v>
                </c:pt>
                <c:pt idx="201">
                  <c:v>159.97581505520998</c:v>
                </c:pt>
                <c:pt idx="202">
                  <c:v>159.97581505520998</c:v>
                </c:pt>
                <c:pt idx="203">
                  <c:v>159.97581505520998</c:v>
                </c:pt>
                <c:pt idx="204">
                  <c:v>159.97581505520998</c:v>
                </c:pt>
                <c:pt idx="205">
                  <c:v>159.97581505520998</c:v>
                </c:pt>
                <c:pt idx="206">
                  <c:v>159.97581505520998</c:v>
                </c:pt>
                <c:pt idx="207">
                  <c:v>159.97581505520998</c:v>
                </c:pt>
                <c:pt idx="208">
                  <c:v>159.97581505520998</c:v>
                </c:pt>
                <c:pt idx="209">
                  <c:v>159.97581505520998</c:v>
                </c:pt>
                <c:pt idx="210">
                  <c:v>159.97581505520998</c:v>
                </c:pt>
                <c:pt idx="211">
                  <c:v>159.97581505520998</c:v>
                </c:pt>
                <c:pt idx="212">
                  <c:v>159.97581505520998</c:v>
                </c:pt>
                <c:pt idx="213">
                  <c:v>159.97581505520998</c:v>
                </c:pt>
                <c:pt idx="214">
                  <c:v>137.00623719320998</c:v>
                </c:pt>
                <c:pt idx="215">
                  <c:v>115.81586753120997</c:v>
                </c:pt>
                <c:pt idx="216">
                  <c:v>96.404706069209993</c:v>
                </c:pt>
                <c:pt idx="217">
                  <c:v>78.772752807209997</c:v>
                </c:pt>
                <c:pt idx="218">
                  <c:v>62.920007745209993</c:v>
                </c:pt>
                <c:pt idx="219">
                  <c:v>48.846470883209996</c:v>
                </c:pt>
                <c:pt idx="220">
                  <c:v>36.552142221209998</c:v>
                </c:pt>
                <c:pt idx="221">
                  <c:v>26.037021759209999</c:v>
                </c:pt>
                <c:pt idx="222">
                  <c:v>17.30110949721</c:v>
                </c:pt>
                <c:pt idx="223">
                  <c:v>10.34440543521</c:v>
                </c:pt>
                <c:pt idx="224">
                  <c:v>10.34440543521</c:v>
                </c:pt>
                <c:pt idx="225">
                  <c:v>10.34440543521</c:v>
                </c:pt>
                <c:pt idx="226">
                  <c:v>10.34440543521</c:v>
                </c:pt>
                <c:pt idx="227">
                  <c:v>10.34440543521</c:v>
                </c:pt>
                <c:pt idx="228">
                  <c:v>10.34440543521</c:v>
                </c:pt>
                <c:pt idx="229">
                  <c:v>10.34440543521</c:v>
                </c:pt>
                <c:pt idx="230">
                  <c:v>10.34440543521</c:v>
                </c:pt>
                <c:pt idx="231">
                  <c:v>10.34440543521</c:v>
                </c:pt>
                <c:pt idx="232">
                  <c:v>10.34440543521</c:v>
                </c:pt>
                <c:pt idx="233">
                  <c:v>10.34440543521</c:v>
                </c:pt>
                <c:pt idx="234">
                  <c:v>10.34440543521</c:v>
                </c:pt>
                <c:pt idx="235">
                  <c:v>10.34440543521</c:v>
                </c:pt>
                <c:pt idx="236">
                  <c:v>13.60035644121</c:v>
                </c:pt>
                <c:pt idx="237">
                  <c:v>17.30110949721</c:v>
                </c:pt>
                <c:pt idx="238">
                  <c:v>21.446664603209999</c:v>
                </c:pt>
                <c:pt idx="239">
                  <c:v>26.037021759209999</c:v>
                </c:pt>
                <c:pt idx="240">
                  <c:v>31.072180965209999</c:v>
                </c:pt>
                <c:pt idx="241">
                  <c:v>36.552142221209998</c:v>
                </c:pt>
                <c:pt idx="242">
                  <c:v>42.476905527209993</c:v>
                </c:pt>
                <c:pt idx="243">
                  <c:v>48.846470883209996</c:v>
                </c:pt>
                <c:pt idx="244">
                  <c:v>55.660838289209991</c:v>
                </c:pt>
                <c:pt idx="245">
                  <c:v>62.920007745209993</c:v>
                </c:pt>
                <c:pt idx="246">
                  <c:v>70.623979251210002</c:v>
                </c:pt>
                <c:pt idx="247">
                  <c:v>78.772752807209997</c:v>
                </c:pt>
                <c:pt idx="248">
                  <c:v>87.366328413209985</c:v>
                </c:pt>
                <c:pt idx="249">
                  <c:v>96.404706069209993</c:v>
                </c:pt>
                <c:pt idx="250">
                  <c:v>105.88788577520999</c:v>
                </c:pt>
                <c:pt idx="251">
                  <c:v>115.81586753120997</c:v>
                </c:pt>
                <c:pt idx="252">
                  <c:v>137.00623719320998</c:v>
                </c:pt>
                <c:pt idx="253">
                  <c:v>159.97581505520998</c:v>
                </c:pt>
                <c:pt idx="254">
                  <c:v>159.97581505520998</c:v>
                </c:pt>
                <c:pt idx="255">
                  <c:v>159.97581505520998</c:v>
                </c:pt>
                <c:pt idx="256">
                  <c:v>159.97581505520998</c:v>
                </c:pt>
                <c:pt idx="257">
                  <c:v>159.97581505520998</c:v>
                </c:pt>
                <c:pt idx="258">
                  <c:v>159.97581505520998</c:v>
                </c:pt>
                <c:pt idx="259">
                  <c:v>159.97581505520998</c:v>
                </c:pt>
                <c:pt idx="260">
                  <c:v>159.97581505520998</c:v>
                </c:pt>
                <c:pt idx="261">
                  <c:v>159.97581505520998</c:v>
                </c:pt>
                <c:pt idx="262">
                  <c:v>159.97581505520998</c:v>
                </c:pt>
                <c:pt idx="263">
                  <c:v>159.97581505520998</c:v>
                </c:pt>
                <c:pt idx="264">
                  <c:v>159.97581505520998</c:v>
                </c:pt>
                <c:pt idx="265">
                  <c:v>159.97581505520998</c:v>
                </c:pt>
                <c:pt idx="266">
                  <c:v>159.97581505520998</c:v>
                </c:pt>
                <c:pt idx="267">
                  <c:v>139.00064062499999</c:v>
                </c:pt>
                <c:pt idx="268">
                  <c:v>128.10299039999998</c:v>
                </c:pt>
                <c:pt idx="269">
                  <c:v>117.65014222499998</c:v>
                </c:pt>
                <c:pt idx="270">
                  <c:v>107.64209609999999</c:v>
                </c:pt>
                <c:pt idx="271">
                  <c:v>107.64209609999999</c:v>
                </c:pt>
                <c:pt idx="272">
                  <c:v>107.64209609999999</c:v>
                </c:pt>
                <c:pt idx="273">
                  <c:v>107.64209609999999</c:v>
                </c:pt>
                <c:pt idx="274">
                  <c:v>107.64209609999999</c:v>
                </c:pt>
                <c:pt idx="275">
                  <c:v>107.64209609999999</c:v>
                </c:pt>
                <c:pt idx="276">
                  <c:v>107.64209609999999</c:v>
                </c:pt>
                <c:pt idx="277">
                  <c:v>107.64209609999999</c:v>
                </c:pt>
                <c:pt idx="278">
                  <c:v>107.64209609999999</c:v>
                </c:pt>
                <c:pt idx="279">
                  <c:v>107.64209609999999</c:v>
                </c:pt>
                <c:pt idx="280">
                  <c:v>107.64209609999999</c:v>
                </c:pt>
                <c:pt idx="281">
                  <c:v>107.64209609999999</c:v>
                </c:pt>
                <c:pt idx="282">
                  <c:v>107.64209609999999</c:v>
                </c:pt>
                <c:pt idx="283">
                  <c:v>107.64209609999999</c:v>
                </c:pt>
                <c:pt idx="284">
                  <c:v>107.64209609999999</c:v>
                </c:pt>
                <c:pt idx="285">
                  <c:v>128.10299039999998</c:v>
                </c:pt>
                <c:pt idx="286">
                  <c:v>139.00064062499999</c:v>
                </c:pt>
                <c:pt idx="287">
                  <c:v>150.34309289999999</c:v>
                </c:pt>
                <c:pt idx="288">
                  <c:v>159.97581505520998</c:v>
                </c:pt>
                <c:pt idx="289">
                  <c:v>159.97581505520998</c:v>
                </c:pt>
                <c:pt idx="290">
                  <c:v>159.97581505520998</c:v>
                </c:pt>
                <c:pt idx="291">
                  <c:v>159.97581505520998</c:v>
                </c:pt>
                <c:pt idx="292">
                  <c:v>159.97581505520998</c:v>
                </c:pt>
                <c:pt idx="293">
                  <c:v>159.97581505520998</c:v>
                </c:pt>
                <c:pt idx="294">
                  <c:v>159.97581505520998</c:v>
                </c:pt>
                <c:pt idx="295">
                  <c:v>159.97581505520998</c:v>
                </c:pt>
                <c:pt idx="296">
                  <c:v>137.00623719320998</c:v>
                </c:pt>
                <c:pt idx="297">
                  <c:v>115.81586753120997</c:v>
                </c:pt>
                <c:pt idx="298">
                  <c:v>96.404706069209993</c:v>
                </c:pt>
                <c:pt idx="299">
                  <c:v>78.772752807209997</c:v>
                </c:pt>
                <c:pt idx="300">
                  <c:v>62.920007745209993</c:v>
                </c:pt>
                <c:pt idx="301">
                  <c:v>48.846470883209996</c:v>
                </c:pt>
                <c:pt idx="302">
                  <c:v>36.552142221209998</c:v>
                </c:pt>
                <c:pt idx="303">
                  <c:v>26.037021759209999</c:v>
                </c:pt>
                <c:pt idx="304">
                  <c:v>17.30110949721</c:v>
                </c:pt>
                <c:pt idx="305">
                  <c:v>17.30110949721</c:v>
                </c:pt>
                <c:pt idx="306">
                  <c:v>17.30110949721</c:v>
                </c:pt>
                <c:pt idx="307">
                  <c:v>17.30110949721</c:v>
                </c:pt>
                <c:pt idx="308">
                  <c:v>17.30110949721</c:v>
                </c:pt>
                <c:pt idx="309">
                  <c:v>17.30110949721</c:v>
                </c:pt>
                <c:pt idx="310">
                  <c:v>17.30110949721</c:v>
                </c:pt>
                <c:pt idx="311">
                  <c:v>17.30110949721</c:v>
                </c:pt>
                <c:pt idx="312">
                  <c:v>17.30110949721</c:v>
                </c:pt>
                <c:pt idx="313">
                  <c:v>21.446664603209999</c:v>
                </c:pt>
                <c:pt idx="314">
                  <c:v>26.037021759209999</c:v>
                </c:pt>
                <c:pt idx="315">
                  <c:v>31.072180965209999</c:v>
                </c:pt>
                <c:pt idx="316">
                  <c:v>36.552142221209998</c:v>
                </c:pt>
                <c:pt idx="317">
                  <c:v>42.476905527209993</c:v>
                </c:pt>
                <c:pt idx="318">
                  <c:v>48.846470883209996</c:v>
                </c:pt>
                <c:pt idx="319">
                  <c:v>55.660838289209991</c:v>
                </c:pt>
                <c:pt idx="320">
                  <c:v>62.920007745209993</c:v>
                </c:pt>
                <c:pt idx="321">
                  <c:v>70.623979251210002</c:v>
                </c:pt>
                <c:pt idx="322">
                  <c:v>78.772752807209997</c:v>
                </c:pt>
                <c:pt idx="323">
                  <c:v>96.404706069209993</c:v>
                </c:pt>
                <c:pt idx="324">
                  <c:v>115.81586753120997</c:v>
                </c:pt>
                <c:pt idx="325">
                  <c:v>137.00623719320998</c:v>
                </c:pt>
                <c:pt idx="326">
                  <c:v>159.97581505520998</c:v>
                </c:pt>
                <c:pt idx="327">
                  <c:v>159.97581505520998</c:v>
                </c:pt>
                <c:pt idx="328">
                  <c:v>137.00623719320998</c:v>
                </c:pt>
                <c:pt idx="329">
                  <c:v>115.81586753120997</c:v>
                </c:pt>
                <c:pt idx="330">
                  <c:v>96.404706069209993</c:v>
                </c:pt>
                <c:pt idx="331">
                  <c:v>78.772752807209997</c:v>
                </c:pt>
                <c:pt idx="332">
                  <c:v>62.920007745209993</c:v>
                </c:pt>
                <c:pt idx="333">
                  <c:v>48.846470883209996</c:v>
                </c:pt>
                <c:pt idx="334">
                  <c:v>36.552142221209998</c:v>
                </c:pt>
                <c:pt idx="335">
                  <c:v>26.037021759209999</c:v>
                </c:pt>
                <c:pt idx="336">
                  <c:v>17.30110949721</c:v>
                </c:pt>
                <c:pt idx="337">
                  <c:v>10.34440543521</c:v>
                </c:pt>
                <c:pt idx="338">
                  <c:v>5.1669095732099999</c:v>
                </c:pt>
                <c:pt idx="339">
                  <c:v>5.1669095732099999</c:v>
                </c:pt>
                <c:pt idx="340">
                  <c:v>5.1669095732099999</c:v>
                </c:pt>
                <c:pt idx="341">
                  <c:v>5.1669095732099999</c:v>
                </c:pt>
                <c:pt idx="342">
                  <c:v>5.1669095732099999</c:v>
                </c:pt>
                <c:pt idx="343">
                  <c:v>7.5332564792100003</c:v>
                </c:pt>
                <c:pt idx="344">
                  <c:v>10.34440543521</c:v>
                </c:pt>
                <c:pt idx="345">
                  <c:v>13.60035644121</c:v>
                </c:pt>
                <c:pt idx="346">
                  <c:v>17.30110949721</c:v>
                </c:pt>
                <c:pt idx="347">
                  <c:v>21.446664603209999</c:v>
                </c:pt>
                <c:pt idx="348">
                  <c:v>26.037021759209999</c:v>
                </c:pt>
                <c:pt idx="349">
                  <c:v>31.072180965209999</c:v>
                </c:pt>
                <c:pt idx="350">
                  <c:v>36.552142221209998</c:v>
                </c:pt>
                <c:pt idx="351">
                  <c:v>42.476905527209993</c:v>
                </c:pt>
                <c:pt idx="352">
                  <c:v>48.846470883209996</c:v>
                </c:pt>
                <c:pt idx="353">
                  <c:v>55.660838289209991</c:v>
                </c:pt>
                <c:pt idx="354">
                  <c:v>62.920007745209993</c:v>
                </c:pt>
                <c:pt idx="355">
                  <c:v>74.642765772960004</c:v>
                </c:pt>
                <c:pt idx="356">
                  <c:v>87.366328413209985</c:v>
                </c:pt>
                <c:pt idx="357">
                  <c:v>101.09069566595998</c:v>
                </c:pt>
                <c:pt idx="358">
                  <c:v>115.81586753120997</c:v>
                </c:pt>
                <c:pt idx="359">
                  <c:v>137.00623719320998</c:v>
                </c:pt>
                <c:pt idx="360">
                  <c:v>159.97581505520998</c:v>
                </c:pt>
                <c:pt idx="361">
                  <c:v>159.97581505520998</c:v>
                </c:pt>
                <c:pt idx="362">
                  <c:v>159.97581505520998</c:v>
                </c:pt>
                <c:pt idx="363">
                  <c:v>159.97581505520998</c:v>
                </c:pt>
                <c:pt idx="364">
                  <c:v>159.97581505520998</c:v>
                </c:pt>
                <c:pt idx="365">
                  <c:v>159.97581505520998</c:v>
                </c:pt>
                <c:pt idx="366">
                  <c:v>159.97581505520998</c:v>
                </c:pt>
                <c:pt idx="367">
                  <c:v>142.58183088995997</c:v>
                </c:pt>
                <c:pt idx="368">
                  <c:v>126.18865133721</c:v>
                </c:pt>
                <c:pt idx="369">
                  <c:v>110.79627639696</c:v>
                </c:pt>
                <c:pt idx="370">
                  <c:v>96.404706069209993</c:v>
                </c:pt>
                <c:pt idx="371">
                  <c:v>83.013940353959995</c:v>
                </c:pt>
                <c:pt idx="372">
                  <c:v>70.623979251210002</c:v>
                </c:pt>
                <c:pt idx="373">
                  <c:v>59.234822760959993</c:v>
                </c:pt>
                <c:pt idx="374">
                  <c:v>48.846470883209996</c:v>
                </c:pt>
                <c:pt idx="375">
                  <c:v>39.458923617959996</c:v>
                </c:pt>
                <c:pt idx="376">
                  <c:v>31.072180965209999</c:v>
                </c:pt>
                <c:pt idx="377">
                  <c:v>23.686242924959998</c:v>
                </c:pt>
                <c:pt idx="378">
                  <c:v>17.30110949721</c:v>
                </c:pt>
                <c:pt idx="379">
                  <c:v>11.916780681960001</c:v>
                </c:pt>
                <c:pt idx="380">
                  <c:v>7.5332564792100003</c:v>
                </c:pt>
                <c:pt idx="381">
                  <c:v>7.5332564792100003</c:v>
                </c:pt>
                <c:pt idx="382">
                  <c:v>7.5332564792100003</c:v>
                </c:pt>
                <c:pt idx="383">
                  <c:v>7.5332564792100003</c:v>
                </c:pt>
                <c:pt idx="384">
                  <c:v>7.5332564792100003</c:v>
                </c:pt>
                <c:pt idx="385">
                  <c:v>7.5332564792100003</c:v>
                </c:pt>
                <c:pt idx="386">
                  <c:v>7.5332564792100003</c:v>
                </c:pt>
                <c:pt idx="387">
                  <c:v>7.5332564792100003</c:v>
                </c:pt>
                <c:pt idx="388">
                  <c:v>7.5332564792100003</c:v>
                </c:pt>
                <c:pt idx="389">
                  <c:v>7.5332564792100003</c:v>
                </c:pt>
                <c:pt idx="390">
                  <c:v>7.5332564792100003</c:v>
                </c:pt>
                <c:pt idx="391">
                  <c:v>11.916780681960001</c:v>
                </c:pt>
                <c:pt idx="392">
                  <c:v>17.30110949721</c:v>
                </c:pt>
                <c:pt idx="393">
                  <c:v>23.686242924959998</c:v>
                </c:pt>
                <c:pt idx="394">
                  <c:v>31.072180965209999</c:v>
                </c:pt>
                <c:pt idx="395">
                  <c:v>39.458923617959996</c:v>
                </c:pt>
                <c:pt idx="396">
                  <c:v>52.198054329959994</c:v>
                </c:pt>
                <c:pt idx="397">
                  <c:v>66.716393241959992</c:v>
                </c:pt>
                <c:pt idx="398">
                  <c:v>83.013940353959995</c:v>
                </c:pt>
                <c:pt idx="399">
                  <c:v>101.09069566595998</c:v>
                </c:pt>
                <c:pt idx="400">
                  <c:v>120.94665917795999</c:v>
                </c:pt>
                <c:pt idx="401">
                  <c:v>142.58183088995997</c:v>
                </c:pt>
                <c:pt idx="402">
                  <c:v>159.97581505520998</c:v>
                </c:pt>
                <c:pt idx="403">
                  <c:v>142.58183088995997</c:v>
                </c:pt>
                <c:pt idx="404">
                  <c:v>126.18865133721</c:v>
                </c:pt>
                <c:pt idx="405">
                  <c:v>110.79627639696</c:v>
                </c:pt>
                <c:pt idx="406">
                  <c:v>96.404706069209993</c:v>
                </c:pt>
                <c:pt idx="407">
                  <c:v>83.013940353959995</c:v>
                </c:pt>
                <c:pt idx="408">
                  <c:v>70.623979251210002</c:v>
                </c:pt>
                <c:pt idx="409">
                  <c:v>59.234822760959993</c:v>
                </c:pt>
                <c:pt idx="410">
                  <c:v>48.846470883209996</c:v>
                </c:pt>
                <c:pt idx="411">
                  <c:v>48.846470883209996</c:v>
                </c:pt>
                <c:pt idx="412">
                  <c:v>48.846470883209996</c:v>
                </c:pt>
                <c:pt idx="413">
                  <c:v>48.846470883209996</c:v>
                </c:pt>
                <c:pt idx="414">
                  <c:v>48.846470883209996</c:v>
                </c:pt>
                <c:pt idx="415">
                  <c:v>48.846470883209996</c:v>
                </c:pt>
                <c:pt idx="416">
                  <c:v>48.846470883209996</c:v>
                </c:pt>
                <c:pt idx="417">
                  <c:v>59.234822760959993</c:v>
                </c:pt>
                <c:pt idx="418">
                  <c:v>70.623979251210002</c:v>
                </c:pt>
                <c:pt idx="419">
                  <c:v>83.013940353959995</c:v>
                </c:pt>
                <c:pt idx="420">
                  <c:v>96.404706069209993</c:v>
                </c:pt>
                <c:pt idx="421">
                  <c:v>110.79627639696</c:v>
                </c:pt>
                <c:pt idx="422">
                  <c:v>126.18865133721</c:v>
                </c:pt>
                <c:pt idx="423">
                  <c:v>142.58183088995997</c:v>
                </c:pt>
                <c:pt idx="424">
                  <c:v>159.97581505520998</c:v>
                </c:pt>
                <c:pt idx="425">
                  <c:v>159.97581505520998</c:v>
                </c:pt>
                <c:pt idx="426">
                  <c:v>159.97581505520998</c:v>
                </c:pt>
                <c:pt idx="427">
                  <c:v>159.97581505520998</c:v>
                </c:pt>
                <c:pt idx="428">
                  <c:v>159.97581505520998</c:v>
                </c:pt>
                <c:pt idx="429">
                  <c:v>159.97581505520998</c:v>
                </c:pt>
                <c:pt idx="430">
                  <c:v>159.97581505520998</c:v>
                </c:pt>
                <c:pt idx="431">
                  <c:v>159.97581505520998</c:v>
                </c:pt>
                <c:pt idx="432">
                  <c:v>159.97581505520998</c:v>
                </c:pt>
                <c:pt idx="433">
                  <c:v>159.97581505520998</c:v>
                </c:pt>
                <c:pt idx="434">
                  <c:v>159.97581505520998</c:v>
                </c:pt>
                <c:pt idx="435">
                  <c:v>159.97581505520998</c:v>
                </c:pt>
                <c:pt idx="436">
                  <c:v>159.97581505520998</c:v>
                </c:pt>
                <c:pt idx="437">
                  <c:v>159.97581505520998</c:v>
                </c:pt>
                <c:pt idx="438">
                  <c:v>159.97581505520998</c:v>
                </c:pt>
                <c:pt idx="439">
                  <c:v>159.97581505520998</c:v>
                </c:pt>
                <c:pt idx="440">
                  <c:v>159.97581505520998</c:v>
                </c:pt>
                <c:pt idx="441">
                  <c:v>159.97581505520998</c:v>
                </c:pt>
                <c:pt idx="442">
                  <c:v>159.97581505520998</c:v>
                </c:pt>
                <c:pt idx="443">
                  <c:v>159.97581505520998</c:v>
                </c:pt>
                <c:pt idx="444">
                  <c:v>159.97581505520998</c:v>
                </c:pt>
                <c:pt idx="445">
                  <c:v>159.97581505520998</c:v>
                </c:pt>
                <c:pt idx="446">
                  <c:v>159.97581505520998</c:v>
                </c:pt>
                <c:pt idx="447">
                  <c:v>159.97581505520998</c:v>
                </c:pt>
                <c:pt idx="448">
                  <c:v>159.97581505520998</c:v>
                </c:pt>
                <c:pt idx="449">
                  <c:v>159.97581505520998</c:v>
                </c:pt>
                <c:pt idx="450">
                  <c:v>159.97581505520998</c:v>
                </c:pt>
                <c:pt idx="451">
                  <c:v>159.97581505520998</c:v>
                </c:pt>
                <c:pt idx="452">
                  <c:v>159.97581505520998</c:v>
                </c:pt>
                <c:pt idx="453">
                  <c:v>159.97581505520998</c:v>
                </c:pt>
                <c:pt idx="454">
                  <c:v>159.97581505520998</c:v>
                </c:pt>
                <c:pt idx="455">
                  <c:v>159.97581505520998</c:v>
                </c:pt>
                <c:pt idx="456">
                  <c:v>159.97581505520998</c:v>
                </c:pt>
                <c:pt idx="457">
                  <c:v>159.97581505520998</c:v>
                </c:pt>
                <c:pt idx="458">
                  <c:v>159.97581505520998</c:v>
                </c:pt>
                <c:pt idx="459">
                  <c:v>159.97581505520998</c:v>
                </c:pt>
                <c:pt idx="460">
                  <c:v>159.97581505520998</c:v>
                </c:pt>
                <c:pt idx="461">
                  <c:v>159.97581505520998</c:v>
                </c:pt>
                <c:pt idx="462">
                  <c:v>159.97581505520998</c:v>
                </c:pt>
                <c:pt idx="463">
                  <c:v>159.97581505520998</c:v>
                </c:pt>
                <c:pt idx="464">
                  <c:v>159.97581505520998</c:v>
                </c:pt>
                <c:pt idx="465">
                  <c:v>159.97581505520998</c:v>
                </c:pt>
                <c:pt idx="466">
                  <c:v>159.97581505520998</c:v>
                </c:pt>
                <c:pt idx="467">
                  <c:v>159.97581505520998</c:v>
                </c:pt>
                <c:pt idx="468">
                  <c:v>159.97581505520998</c:v>
                </c:pt>
                <c:pt idx="469">
                  <c:v>159.97581505520998</c:v>
                </c:pt>
                <c:pt idx="470">
                  <c:v>159.97581505520998</c:v>
                </c:pt>
                <c:pt idx="471">
                  <c:v>159.97581505520998</c:v>
                </c:pt>
                <c:pt idx="472">
                  <c:v>159.97581505520998</c:v>
                </c:pt>
                <c:pt idx="473">
                  <c:v>142.58183088995997</c:v>
                </c:pt>
                <c:pt idx="474">
                  <c:v>126.18865133721</c:v>
                </c:pt>
                <c:pt idx="475">
                  <c:v>110.79627639696</c:v>
                </c:pt>
                <c:pt idx="476">
                  <c:v>96.404706069209993</c:v>
                </c:pt>
                <c:pt idx="477">
                  <c:v>83.013940353959995</c:v>
                </c:pt>
                <c:pt idx="478">
                  <c:v>70.623979251210002</c:v>
                </c:pt>
                <c:pt idx="479">
                  <c:v>59.234822760959993</c:v>
                </c:pt>
                <c:pt idx="480">
                  <c:v>48.846470883209996</c:v>
                </c:pt>
                <c:pt idx="481">
                  <c:v>39.458923617959996</c:v>
                </c:pt>
                <c:pt idx="482">
                  <c:v>31.072180965209999</c:v>
                </c:pt>
                <c:pt idx="483">
                  <c:v>23.686242924959998</c:v>
                </c:pt>
                <c:pt idx="484">
                  <c:v>17.30110949721</c:v>
                </c:pt>
                <c:pt idx="485">
                  <c:v>11.916780681960001</c:v>
                </c:pt>
                <c:pt idx="486">
                  <c:v>11.916780681960001</c:v>
                </c:pt>
                <c:pt idx="487">
                  <c:v>11.916780681960001</c:v>
                </c:pt>
                <c:pt idx="488">
                  <c:v>11.916780681960001</c:v>
                </c:pt>
                <c:pt idx="489">
                  <c:v>11.916780681960001</c:v>
                </c:pt>
                <c:pt idx="490">
                  <c:v>11.916780681960001</c:v>
                </c:pt>
                <c:pt idx="491">
                  <c:v>11.916780681960001</c:v>
                </c:pt>
                <c:pt idx="492">
                  <c:v>11.916780681960001</c:v>
                </c:pt>
                <c:pt idx="493">
                  <c:v>17.30110949721</c:v>
                </c:pt>
                <c:pt idx="494">
                  <c:v>23.686242924959998</c:v>
                </c:pt>
                <c:pt idx="495">
                  <c:v>31.072180965209999</c:v>
                </c:pt>
                <c:pt idx="496">
                  <c:v>39.458923617959996</c:v>
                </c:pt>
                <c:pt idx="497">
                  <c:v>48.846470883209996</c:v>
                </c:pt>
                <c:pt idx="498">
                  <c:v>59.234822760959993</c:v>
                </c:pt>
                <c:pt idx="499">
                  <c:v>70.623979251210002</c:v>
                </c:pt>
                <c:pt idx="500">
                  <c:v>83.013940353959995</c:v>
                </c:pt>
                <c:pt idx="501">
                  <c:v>96.404706069209993</c:v>
                </c:pt>
                <c:pt idx="502">
                  <c:v>115.81586753120997</c:v>
                </c:pt>
                <c:pt idx="503">
                  <c:v>137.00623719320998</c:v>
                </c:pt>
                <c:pt idx="504">
                  <c:v>159.97581505520998</c:v>
                </c:pt>
                <c:pt idx="505">
                  <c:v>159.97581505520998</c:v>
                </c:pt>
                <c:pt idx="506">
                  <c:v>159.97581505520998</c:v>
                </c:pt>
                <c:pt idx="507">
                  <c:v>159.97581505520998</c:v>
                </c:pt>
                <c:pt idx="508">
                  <c:v>159.97581505520998</c:v>
                </c:pt>
                <c:pt idx="509">
                  <c:v>159.97581505520998</c:v>
                </c:pt>
                <c:pt idx="510">
                  <c:v>159.97581505520998</c:v>
                </c:pt>
                <c:pt idx="511">
                  <c:v>159.97581505520998</c:v>
                </c:pt>
                <c:pt idx="512">
                  <c:v>159.97581505520998</c:v>
                </c:pt>
                <c:pt idx="513">
                  <c:v>159.97581505520998</c:v>
                </c:pt>
                <c:pt idx="514">
                  <c:v>159.97581505520998</c:v>
                </c:pt>
                <c:pt idx="515">
                  <c:v>159.97581505520998</c:v>
                </c:pt>
                <c:pt idx="516">
                  <c:v>159.97581505520998</c:v>
                </c:pt>
                <c:pt idx="517">
                  <c:v>159.97581505520998</c:v>
                </c:pt>
                <c:pt idx="518">
                  <c:v>159.97581505520998</c:v>
                </c:pt>
                <c:pt idx="519">
                  <c:v>159.97581505520998</c:v>
                </c:pt>
                <c:pt idx="520">
                  <c:v>159.97581505520998</c:v>
                </c:pt>
                <c:pt idx="521">
                  <c:v>159.97581505520998</c:v>
                </c:pt>
                <c:pt idx="522">
                  <c:v>159.97581505520998</c:v>
                </c:pt>
                <c:pt idx="523">
                  <c:v>159.97581505520998</c:v>
                </c:pt>
                <c:pt idx="524">
                  <c:v>159.97581505520998</c:v>
                </c:pt>
                <c:pt idx="525">
                  <c:v>159.97581505520998</c:v>
                </c:pt>
                <c:pt idx="526">
                  <c:v>159.97581505520998</c:v>
                </c:pt>
                <c:pt idx="527">
                  <c:v>142.58183088995997</c:v>
                </c:pt>
                <c:pt idx="528">
                  <c:v>126.18865133721</c:v>
                </c:pt>
                <c:pt idx="529">
                  <c:v>110.79627639696</c:v>
                </c:pt>
                <c:pt idx="530">
                  <c:v>96.404706069209993</c:v>
                </c:pt>
                <c:pt idx="531">
                  <c:v>83.013940353959995</c:v>
                </c:pt>
                <c:pt idx="532">
                  <c:v>70.623979251210002</c:v>
                </c:pt>
                <c:pt idx="533">
                  <c:v>59.234822760959993</c:v>
                </c:pt>
                <c:pt idx="534">
                  <c:v>48.846470883209996</c:v>
                </c:pt>
                <c:pt idx="535">
                  <c:v>39.458923617959996</c:v>
                </c:pt>
                <c:pt idx="536">
                  <c:v>31.072180965209999</c:v>
                </c:pt>
                <c:pt idx="537">
                  <c:v>31.072180965209999</c:v>
                </c:pt>
                <c:pt idx="538">
                  <c:v>31.072180965209999</c:v>
                </c:pt>
                <c:pt idx="539">
                  <c:v>31.072180965209999</c:v>
                </c:pt>
                <c:pt idx="540">
                  <c:v>31.072180965209999</c:v>
                </c:pt>
                <c:pt idx="541">
                  <c:v>31.072180965209999</c:v>
                </c:pt>
                <c:pt idx="542">
                  <c:v>31.072180965209999</c:v>
                </c:pt>
                <c:pt idx="543">
                  <c:v>31.072180965209999</c:v>
                </c:pt>
                <c:pt idx="544">
                  <c:v>39.458923617959996</c:v>
                </c:pt>
                <c:pt idx="545">
                  <c:v>48.846470883209996</c:v>
                </c:pt>
                <c:pt idx="546">
                  <c:v>59.234822760959993</c:v>
                </c:pt>
                <c:pt idx="547">
                  <c:v>70.623979251210002</c:v>
                </c:pt>
                <c:pt idx="548">
                  <c:v>83.013940353959995</c:v>
                </c:pt>
                <c:pt idx="549">
                  <c:v>96.404706069209993</c:v>
                </c:pt>
                <c:pt idx="550">
                  <c:v>115.81586753120997</c:v>
                </c:pt>
                <c:pt idx="551">
                  <c:v>137.00623719320998</c:v>
                </c:pt>
                <c:pt idx="552">
                  <c:v>159.97581505520998</c:v>
                </c:pt>
                <c:pt idx="553">
                  <c:v>159.97581505520998</c:v>
                </c:pt>
                <c:pt idx="554">
                  <c:v>159.97581505520998</c:v>
                </c:pt>
                <c:pt idx="555">
                  <c:v>159.97581505520998</c:v>
                </c:pt>
                <c:pt idx="556">
                  <c:v>159.97581505520998</c:v>
                </c:pt>
                <c:pt idx="557">
                  <c:v>159.97581505520998</c:v>
                </c:pt>
                <c:pt idx="558">
                  <c:v>159.97581505520998</c:v>
                </c:pt>
                <c:pt idx="559">
                  <c:v>142.58183088995997</c:v>
                </c:pt>
                <c:pt idx="560">
                  <c:v>126.18865133721</c:v>
                </c:pt>
                <c:pt idx="561">
                  <c:v>110.79627639696</c:v>
                </c:pt>
                <c:pt idx="562">
                  <c:v>96.404706069209993</c:v>
                </c:pt>
                <c:pt idx="563">
                  <c:v>83.013940353959995</c:v>
                </c:pt>
                <c:pt idx="564">
                  <c:v>70.623979251210002</c:v>
                </c:pt>
                <c:pt idx="565">
                  <c:v>59.234822760959993</c:v>
                </c:pt>
                <c:pt idx="566">
                  <c:v>48.846470883209996</c:v>
                </c:pt>
                <c:pt idx="567">
                  <c:v>39.458923617959996</c:v>
                </c:pt>
                <c:pt idx="568">
                  <c:v>31.072180965209999</c:v>
                </c:pt>
                <c:pt idx="569">
                  <c:v>23.686242924959998</c:v>
                </c:pt>
                <c:pt idx="570">
                  <c:v>17.30110949721</c:v>
                </c:pt>
                <c:pt idx="571">
                  <c:v>11.916780681960001</c:v>
                </c:pt>
                <c:pt idx="572">
                  <c:v>7.5332564792100003</c:v>
                </c:pt>
                <c:pt idx="573">
                  <c:v>7.5332564792100003</c:v>
                </c:pt>
                <c:pt idx="574">
                  <c:v>7.5332564792100003</c:v>
                </c:pt>
                <c:pt idx="575">
                  <c:v>7.5332564792100003</c:v>
                </c:pt>
                <c:pt idx="576">
                  <c:v>7.5332564792100003</c:v>
                </c:pt>
                <c:pt idx="577">
                  <c:v>7.5332564792100003</c:v>
                </c:pt>
                <c:pt idx="578">
                  <c:v>7.5332564792100003</c:v>
                </c:pt>
                <c:pt idx="579">
                  <c:v>7.5332564792100003</c:v>
                </c:pt>
                <c:pt idx="580">
                  <c:v>7.5332564792100003</c:v>
                </c:pt>
                <c:pt idx="581">
                  <c:v>7.5332564792100003</c:v>
                </c:pt>
                <c:pt idx="582">
                  <c:v>7.5332564792100003</c:v>
                </c:pt>
                <c:pt idx="583">
                  <c:v>7.5332564792100003</c:v>
                </c:pt>
                <c:pt idx="584">
                  <c:v>9.1665696068099987</c:v>
                </c:pt>
                <c:pt idx="585">
                  <c:v>10.960011472409997</c:v>
                </c:pt>
                <c:pt idx="586">
                  <c:v>12.913582076009995</c:v>
                </c:pt>
                <c:pt idx="587">
                  <c:v>15.027281417609995</c:v>
                </c:pt>
                <c:pt idx="588">
                  <c:v>17.301109497209993</c:v>
                </c:pt>
                <c:pt idx="589">
                  <c:v>19.735066314809988</c:v>
                </c:pt>
                <c:pt idx="590">
                  <c:v>22.329151870409991</c:v>
                </c:pt>
                <c:pt idx="591">
                  <c:v>25.083366164009984</c:v>
                </c:pt>
                <c:pt idx="592">
                  <c:v>32.669465126759981</c:v>
                </c:pt>
                <c:pt idx="593">
                  <c:v>41.256368702009979</c:v>
                </c:pt>
                <c:pt idx="594">
                  <c:v>50.844076889759982</c:v>
                </c:pt>
                <c:pt idx="595">
                  <c:v>61.432589690009969</c:v>
                </c:pt>
                <c:pt idx="596">
                  <c:v>73.021907102759968</c:v>
                </c:pt>
                <c:pt idx="597">
                  <c:v>85.612029128009965</c:v>
                </c:pt>
                <c:pt idx="598">
                  <c:v>99.202955765759967</c:v>
                </c:pt>
                <c:pt idx="599">
                  <c:v>113.79468701600996</c:v>
                </c:pt>
                <c:pt idx="600">
                  <c:v>129.38722287875996</c:v>
                </c:pt>
                <c:pt idx="601">
                  <c:v>145.98056335400997</c:v>
                </c:pt>
                <c:pt idx="602">
                  <c:v>159.97581505520998</c:v>
                </c:pt>
                <c:pt idx="603">
                  <c:v>159.97581505520998</c:v>
                </c:pt>
                <c:pt idx="604">
                  <c:v>159.97581505520998</c:v>
                </c:pt>
                <c:pt idx="605">
                  <c:v>159.97581505520998</c:v>
                </c:pt>
                <c:pt idx="606">
                  <c:v>159.97581505520998</c:v>
                </c:pt>
                <c:pt idx="607">
                  <c:v>159.97581505520998</c:v>
                </c:pt>
                <c:pt idx="608">
                  <c:v>139.00064062499999</c:v>
                </c:pt>
                <c:pt idx="609">
                  <c:v>128.10299039999998</c:v>
                </c:pt>
                <c:pt idx="610">
                  <c:v>128.10299039999998</c:v>
                </c:pt>
                <c:pt idx="611">
                  <c:v>139.00064062499999</c:v>
                </c:pt>
                <c:pt idx="612">
                  <c:v>150.34309289999999</c:v>
                </c:pt>
                <c:pt idx="613">
                  <c:v>159.97581505520998</c:v>
                </c:pt>
                <c:pt idx="614">
                  <c:v>159.97581505520998</c:v>
                </c:pt>
                <c:pt idx="615">
                  <c:v>159.97581505520998</c:v>
                </c:pt>
                <c:pt idx="616">
                  <c:v>159.97581505520998</c:v>
                </c:pt>
                <c:pt idx="617">
                  <c:v>159.97581505520998</c:v>
                </c:pt>
                <c:pt idx="618">
                  <c:v>159.97581505520998</c:v>
                </c:pt>
                <c:pt idx="619">
                  <c:v>159.97581505520998</c:v>
                </c:pt>
                <c:pt idx="620">
                  <c:v>159.97581505520998</c:v>
                </c:pt>
                <c:pt idx="621">
                  <c:v>159.97581505520998</c:v>
                </c:pt>
                <c:pt idx="622">
                  <c:v>159.97581505520998</c:v>
                </c:pt>
                <c:pt idx="623">
                  <c:v>159.97581505520998</c:v>
                </c:pt>
                <c:pt idx="624">
                  <c:v>159.97581505520998</c:v>
                </c:pt>
                <c:pt idx="625">
                  <c:v>159.97581505520998</c:v>
                </c:pt>
                <c:pt idx="626">
                  <c:v>159.97581505520998</c:v>
                </c:pt>
                <c:pt idx="627">
                  <c:v>159.97581505520998</c:v>
                </c:pt>
                <c:pt idx="628">
                  <c:v>159.97581505520998</c:v>
                </c:pt>
                <c:pt idx="629">
                  <c:v>159.97581505520998</c:v>
                </c:pt>
                <c:pt idx="630">
                  <c:v>159.97581505520998</c:v>
                </c:pt>
                <c:pt idx="631">
                  <c:v>159.97581505520998</c:v>
                </c:pt>
                <c:pt idx="632">
                  <c:v>159.97581505520998</c:v>
                </c:pt>
                <c:pt idx="633">
                  <c:v>159.97581505520998</c:v>
                </c:pt>
                <c:pt idx="634">
                  <c:v>159.97581505520998</c:v>
                </c:pt>
                <c:pt idx="635">
                  <c:v>159.97581505520998</c:v>
                </c:pt>
                <c:pt idx="636">
                  <c:v>159.97581505520998</c:v>
                </c:pt>
                <c:pt idx="637">
                  <c:v>159.97581505520998</c:v>
                </c:pt>
                <c:pt idx="638">
                  <c:v>159.97581505520998</c:v>
                </c:pt>
                <c:pt idx="639">
                  <c:v>159.97581505520998</c:v>
                </c:pt>
                <c:pt idx="640">
                  <c:v>159.97581505520998</c:v>
                </c:pt>
                <c:pt idx="641">
                  <c:v>159.97581505520998</c:v>
                </c:pt>
                <c:pt idx="642">
                  <c:v>159.97581505520998</c:v>
                </c:pt>
                <c:pt idx="643">
                  <c:v>159.97581505520998</c:v>
                </c:pt>
                <c:pt idx="644">
                  <c:v>159.97581505520998</c:v>
                </c:pt>
                <c:pt idx="645">
                  <c:v>159.97581505520998</c:v>
                </c:pt>
                <c:pt idx="646">
                  <c:v>159.97581505520998</c:v>
                </c:pt>
                <c:pt idx="647">
                  <c:v>159.97581505520998</c:v>
                </c:pt>
                <c:pt idx="648">
                  <c:v>159.97581505520998</c:v>
                </c:pt>
                <c:pt idx="649">
                  <c:v>159.97581505520998</c:v>
                </c:pt>
                <c:pt idx="650">
                  <c:v>159.97581505520998</c:v>
                </c:pt>
                <c:pt idx="651">
                  <c:v>159.97581505520998</c:v>
                </c:pt>
                <c:pt idx="652">
                  <c:v>159.97581505520998</c:v>
                </c:pt>
                <c:pt idx="653">
                  <c:v>159.97581505520998</c:v>
                </c:pt>
                <c:pt idx="654">
                  <c:v>159.97581505520998</c:v>
                </c:pt>
                <c:pt idx="655">
                  <c:v>159.97581505520998</c:v>
                </c:pt>
                <c:pt idx="656">
                  <c:v>159.97581505520998</c:v>
                </c:pt>
                <c:pt idx="657">
                  <c:v>159.97581505520998</c:v>
                </c:pt>
                <c:pt idx="658">
                  <c:v>159.97581505520998</c:v>
                </c:pt>
                <c:pt idx="659">
                  <c:v>159.97581505520998</c:v>
                </c:pt>
                <c:pt idx="660">
                  <c:v>159.97581505520998</c:v>
                </c:pt>
                <c:pt idx="661">
                  <c:v>159.97581505520998</c:v>
                </c:pt>
                <c:pt idx="662">
                  <c:v>159.97581505520998</c:v>
                </c:pt>
                <c:pt idx="663">
                  <c:v>159.97581505520998</c:v>
                </c:pt>
                <c:pt idx="664">
                  <c:v>159.97581505520998</c:v>
                </c:pt>
                <c:pt idx="665">
                  <c:v>159.97581505520998</c:v>
                </c:pt>
                <c:pt idx="666">
                  <c:v>159.97581505520998</c:v>
                </c:pt>
                <c:pt idx="667">
                  <c:v>159.97581505520998</c:v>
                </c:pt>
                <c:pt idx="668">
                  <c:v>159.97581505520998</c:v>
                </c:pt>
                <c:pt idx="669">
                  <c:v>159.97581505520998</c:v>
                </c:pt>
                <c:pt idx="670">
                  <c:v>159.97581505520998</c:v>
                </c:pt>
                <c:pt idx="671">
                  <c:v>159.97581505520998</c:v>
                </c:pt>
                <c:pt idx="672">
                  <c:v>159.97581505520998</c:v>
                </c:pt>
                <c:pt idx="673">
                  <c:v>159.97581505520998</c:v>
                </c:pt>
                <c:pt idx="674">
                  <c:v>159.97581505520998</c:v>
                </c:pt>
                <c:pt idx="675">
                  <c:v>159.97581505520998</c:v>
                </c:pt>
                <c:pt idx="676">
                  <c:v>159.97581505520998</c:v>
                </c:pt>
                <c:pt idx="677">
                  <c:v>159.97581505520998</c:v>
                </c:pt>
                <c:pt idx="678">
                  <c:v>159.97581505520998</c:v>
                </c:pt>
                <c:pt idx="679">
                  <c:v>159.97581505520998</c:v>
                </c:pt>
                <c:pt idx="680">
                  <c:v>159.97581505520998</c:v>
                </c:pt>
                <c:pt idx="681">
                  <c:v>159.97581505520998</c:v>
                </c:pt>
                <c:pt idx="682">
                  <c:v>159.97581505520998</c:v>
                </c:pt>
                <c:pt idx="683">
                  <c:v>159.97581505520998</c:v>
                </c:pt>
                <c:pt idx="684">
                  <c:v>159.97581505520998</c:v>
                </c:pt>
                <c:pt idx="685">
                  <c:v>159.97581505520998</c:v>
                </c:pt>
                <c:pt idx="686">
                  <c:v>159.97581505520998</c:v>
                </c:pt>
                <c:pt idx="687">
                  <c:v>159.97581505520998</c:v>
                </c:pt>
                <c:pt idx="688">
                  <c:v>159.97581505520998</c:v>
                </c:pt>
                <c:pt idx="689">
                  <c:v>159.97581505520998</c:v>
                </c:pt>
                <c:pt idx="690">
                  <c:v>148.26862509921</c:v>
                </c:pt>
                <c:pt idx="691">
                  <c:v>137.00623719320998</c:v>
                </c:pt>
                <c:pt idx="692">
                  <c:v>126.18865133721</c:v>
                </c:pt>
                <c:pt idx="693">
                  <c:v>115.81586753120997</c:v>
                </c:pt>
                <c:pt idx="694">
                  <c:v>105.88788577520999</c:v>
                </c:pt>
                <c:pt idx="695">
                  <c:v>96.404706069209993</c:v>
                </c:pt>
                <c:pt idx="696">
                  <c:v>87.366328413209985</c:v>
                </c:pt>
                <c:pt idx="697">
                  <c:v>78.772752807209997</c:v>
                </c:pt>
                <c:pt idx="698">
                  <c:v>70.623979251210002</c:v>
                </c:pt>
                <c:pt idx="699">
                  <c:v>62.920007745209993</c:v>
                </c:pt>
                <c:pt idx="700">
                  <c:v>55.660838289209991</c:v>
                </c:pt>
                <c:pt idx="701">
                  <c:v>48.846470883209996</c:v>
                </c:pt>
                <c:pt idx="702">
                  <c:v>42.476905527209993</c:v>
                </c:pt>
                <c:pt idx="703">
                  <c:v>36.552142221209998</c:v>
                </c:pt>
                <c:pt idx="704">
                  <c:v>31.072180965209999</c:v>
                </c:pt>
                <c:pt idx="705">
                  <c:v>26.037021759209999</c:v>
                </c:pt>
                <c:pt idx="706">
                  <c:v>21.446664603209999</c:v>
                </c:pt>
                <c:pt idx="707">
                  <c:v>17.30110949721</c:v>
                </c:pt>
                <c:pt idx="708">
                  <c:v>13.60035644121</c:v>
                </c:pt>
                <c:pt idx="709">
                  <c:v>10.34440543521</c:v>
                </c:pt>
                <c:pt idx="710">
                  <c:v>7.5332564792100003</c:v>
                </c:pt>
                <c:pt idx="711">
                  <c:v>5.1669095732099999</c:v>
                </c:pt>
                <c:pt idx="712">
                  <c:v>5.1669095732099999</c:v>
                </c:pt>
                <c:pt idx="713">
                  <c:v>5.1669095732099999</c:v>
                </c:pt>
                <c:pt idx="714">
                  <c:v>5.1669095732099999</c:v>
                </c:pt>
                <c:pt idx="715">
                  <c:v>5.1669095732099999</c:v>
                </c:pt>
                <c:pt idx="716">
                  <c:v>5.1669095732099999</c:v>
                </c:pt>
                <c:pt idx="717">
                  <c:v>5.1669095732099999</c:v>
                </c:pt>
                <c:pt idx="718">
                  <c:v>5.1669095732099999</c:v>
                </c:pt>
                <c:pt idx="719">
                  <c:v>5.1669095732099999</c:v>
                </c:pt>
                <c:pt idx="720">
                  <c:v>5.1669095732099999</c:v>
                </c:pt>
                <c:pt idx="721">
                  <c:v>5.1669095732099999</c:v>
                </c:pt>
                <c:pt idx="722">
                  <c:v>5.1669095732099999</c:v>
                </c:pt>
                <c:pt idx="723">
                  <c:v>6.5333414708099991</c:v>
                </c:pt>
                <c:pt idx="724">
                  <c:v>8.0599021064099983</c:v>
                </c:pt>
                <c:pt idx="725">
                  <c:v>9.7465914800099966</c:v>
                </c:pt>
                <c:pt idx="726">
                  <c:v>11.593409591609996</c:v>
                </c:pt>
                <c:pt idx="727">
                  <c:v>13.600356441209994</c:v>
                </c:pt>
                <c:pt idx="728">
                  <c:v>15.767432028809992</c:v>
                </c:pt>
                <c:pt idx="729">
                  <c:v>18.094636354409989</c:v>
                </c:pt>
                <c:pt idx="730">
                  <c:v>20.581969418009987</c:v>
                </c:pt>
                <c:pt idx="731">
                  <c:v>23.229431219609982</c:v>
                </c:pt>
                <c:pt idx="732">
                  <c:v>26.037021759209981</c:v>
                </c:pt>
                <c:pt idx="733">
                  <c:v>29.004741036809978</c:v>
                </c:pt>
                <c:pt idx="734">
                  <c:v>32.132589052409976</c:v>
                </c:pt>
                <c:pt idx="735">
                  <c:v>40.652772320159968</c:v>
                </c:pt>
                <c:pt idx="736">
                  <c:v>50.173760200409973</c:v>
                </c:pt>
                <c:pt idx="737">
                  <c:v>60.695552693159961</c:v>
                </c:pt>
                <c:pt idx="738">
                  <c:v>72.218149798409968</c:v>
                </c:pt>
                <c:pt idx="739">
                  <c:v>84.741551516159959</c:v>
                </c:pt>
                <c:pt idx="740">
                  <c:v>98.265757846409954</c:v>
                </c:pt>
                <c:pt idx="741">
                  <c:v>112.79076878915994</c:v>
                </c:pt>
                <c:pt idx="742">
                  <c:v>133.71425722115995</c:v>
                </c:pt>
                <c:pt idx="743">
                  <c:v>156.41695385315995</c:v>
                </c:pt>
                <c:pt idx="744">
                  <c:v>159.97581505520998</c:v>
                </c:pt>
                <c:pt idx="745">
                  <c:v>159.97581505520998</c:v>
                </c:pt>
                <c:pt idx="746">
                  <c:v>159.97581505520998</c:v>
                </c:pt>
                <c:pt idx="747">
                  <c:v>159.97581505520998</c:v>
                </c:pt>
                <c:pt idx="748">
                  <c:v>159.97581505520998</c:v>
                </c:pt>
                <c:pt idx="749">
                  <c:v>159.97581505520998</c:v>
                </c:pt>
                <c:pt idx="750">
                  <c:v>159.97581505520998</c:v>
                </c:pt>
                <c:pt idx="751">
                  <c:v>159.97581505520998</c:v>
                </c:pt>
                <c:pt idx="752">
                  <c:v>159.97581505520998</c:v>
                </c:pt>
                <c:pt idx="753">
                  <c:v>159.97581505520998</c:v>
                </c:pt>
                <c:pt idx="754">
                  <c:v>159.97581505520998</c:v>
                </c:pt>
                <c:pt idx="755">
                  <c:v>148.26862509921</c:v>
                </c:pt>
                <c:pt idx="756">
                  <c:v>137.00623719320998</c:v>
                </c:pt>
                <c:pt idx="757">
                  <c:v>126.18865133721</c:v>
                </c:pt>
                <c:pt idx="758">
                  <c:v>115.81586753120997</c:v>
                </c:pt>
                <c:pt idx="759">
                  <c:v>105.88788577520999</c:v>
                </c:pt>
                <c:pt idx="760">
                  <c:v>96.404706069209993</c:v>
                </c:pt>
                <c:pt idx="761">
                  <c:v>87.366328413209985</c:v>
                </c:pt>
                <c:pt idx="762">
                  <c:v>78.772752807209997</c:v>
                </c:pt>
                <c:pt idx="763">
                  <c:v>70.623979251210002</c:v>
                </c:pt>
                <c:pt idx="764">
                  <c:v>62.920007745209993</c:v>
                </c:pt>
                <c:pt idx="765">
                  <c:v>55.660838289209991</c:v>
                </c:pt>
                <c:pt idx="766">
                  <c:v>48.846470883209996</c:v>
                </c:pt>
                <c:pt idx="767">
                  <c:v>42.476905527209993</c:v>
                </c:pt>
                <c:pt idx="768">
                  <c:v>36.552142221209998</c:v>
                </c:pt>
                <c:pt idx="769">
                  <c:v>31.072180965209999</c:v>
                </c:pt>
                <c:pt idx="770">
                  <c:v>26.037021759209999</c:v>
                </c:pt>
                <c:pt idx="771">
                  <c:v>21.446664603209999</c:v>
                </c:pt>
                <c:pt idx="772">
                  <c:v>17.30110949721</c:v>
                </c:pt>
                <c:pt idx="773">
                  <c:v>17.30110949721</c:v>
                </c:pt>
                <c:pt idx="774">
                  <c:v>17.30110949721</c:v>
                </c:pt>
                <c:pt idx="775">
                  <c:v>17.30110949721</c:v>
                </c:pt>
                <c:pt idx="776">
                  <c:v>17.30110949721</c:v>
                </c:pt>
                <c:pt idx="777">
                  <c:v>17.30110949721</c:v>
                </c:pt>
                <c:pt idx="778">
                  <c:v>17.30110949721</c:v>
                </c:pt>
                <c:pt idx="779">
                  <c:v>17.30110949721</c:v>
                </c:pt>
                <c:pt idx="780">
                  <c:v>17.30110949721</c:v>
                </c:pt>
                <c:pt idx="781">
                  <c:v>17.30110949721</c:v>
                </c:pt>
                <c:pt idx="782">
                  <c:v>17.30110949721</c:v>
                </c:pt>
                <c:pt idx="783">
                  <c:v>19.735066314809998</c:v>
                </c:pt>
                <c:pt idx="784">
                  <c:v>22.329151870409994</c:v>
                </c:pt>
                <c:pt idx="785">
                  <c:v>25.083366164009991</c:v>
                </c:pt>
                <c:pt idx="786">
                  <c:v>27.997709195609993</c:v>
                </c:pt>
                <c:pt idx="787">
                  <c:v>31.072180965209991</c:v>
                </c:pt>
                <c:pt idx="788">
                  <c:v>40.053623958809986</c:v>
                </c:pt>
                <c:pt idx="789">
                  <c:v>50.17376020040998</c:v>
                </c:pt>
                <c:pt idx="790">
                  <c:v>61.432589690009969</c:v>
                </c:pt>
                <c:pt idx="791">
                  <c:v>73.83011242760999</c:v>
                </c:pt>
                <c:pt idx="792">
                  <c:v>87.366328413209985</c:v>
                </c:pt>
                <c:pt idx="793">
                  <c:v>102.04123764681002</c:v>
                </c:pt>
                <c:pt idx="794">
                  <c:v>117.85484012841003</c:v>
                </c:pt>
                <c:pt idx="795">
                  <c:v>134.80713585801004</c:v>
                </c:pt>
                <c:pt idx="796">
                  <c:v>152.89812483561005</c:v>
                </c:pt>
                <c:pt idx="797">
                  <c:v>159.97581505520998</c:v>
                </c:pt>
                <c:pt idx="798">
                  <c:v>159.97581505520998</c:v>
                </c:pt>
                <c:pt idx="799">
                  <c:v>159.97581505520998</c:v>
                </c:pt>
                <c:pt idx="800">
                  <c:v>159.97581505520998</c:v>
                </c:pt>
                <c:pt idx="801">
                  <c:v>159.97581505520998</c:v>
                </c:pt>
                <c:pt idx="802">
                  <c:v>159.97581505520998</c:v>
                </c:pt>
                <c:pt idx="803">
                  <c:v>159.97581505520998</c:v>
                </c:pt>
                <c:pt idx="804">
                  <c:v>159.97581505520998</c:v>
                </c:pt>
                <c:pt idx="805">
                  <c:v>159.97581505520998</c:v>
                </c:pt>
                <c:pt idx="806">
                  <c:v>159.97581505520998</c:v>
                </c:pt>
                <c:pt idx="807">
                  <c:v>159.97581505520998</c:v>
                </c:pt>
                <c:pt idx="808">
                  <c:v>159.97581505520998</c:v>
                </c:pt>
                <c:pt idx="809">
                  <c:v>159.97581505520998</c:v>
                </c:pt>
                <c:pt idx="810">
                  <c:v>159.97581505520998</c:v>
                </c:pt>
                <c:pt idx="811">
                  <c:v>159.97581505520998</c:v>
                </c:pt>
                <c:pt idx="812">
                  <c:v>159.97581505520998</c:v>
                </c:pt>
                <c:pt idx="813">
                  <c:v>159.97581505520998</c:v>
                </c:pt>
                <c:pt idx="814">
                  <c:v>159.97581505520998</c:v>
                </c:pt>
                <c:pt idx="815">
                  <c:v>159.97581505520998</c:v>
                </c:pt>
                <c:pt idx="816">
                  <c:v>159.97581505520998</c:v>
                </c:pt>
                <c:pt idx="817">
                  <c:v>159.97581505520998</c:v>
                </c:pt>
                <c:pt idx="818">
                  <c:v>159.97581505520998</c:v>
                </c:pt>
                <c:pt idx="819">
                  <c:v>159.97581505520998</c:v>
                </c:pt>
                <c:pt idx="820">
                  <c:v>159.97581505520998</c:v>
                </c:pt>
                <c:pt idx="821">
                  <c:v>148.26862509921</c:v>
                </c:pt>
                <c:pt idx="822">
                  <c:v>137.00623719320998</c:v>
                </c:pt>
                <c:pt idx="823">
                  <c:v>126.18865133721</c:v>
                </c:pt>
                <c:pt idx="824">
                  <c:v>115.81586753120997</c:v>
                </c:pt>
                <c:pt idx="825">
                  <c:v>105.88788577520999</c:v>
                </c:pt>
                <c:pt idx="826">
                  <c:v>96.404706069209993</c:v>
                </c:pt>
                <c:pt idx="827">
                  <c:v>87.366328413209985</c:v>
                </c:pt>
                <c:pt idx="828">
                  <c:v>78.772752807209997</c:v>
                </c:pt>
                <c:pt idx="829">
                  <c:v>70.623979251210002</c:v>
                </c:pt>
                <c:pt idx="830">
                  <c:v>62.920007745209993</c:v>
                </c:pt>
                <c:pt idx="831">
                  <c:v>55.660838289209991</c:v>
                </c:pt>
                <c:pt idx="832">
                  <c:v>48.846470883209996</c:v>
                </c:pt>
                <c:pt idx="833">
                  <c:v>42.476905527209993</c:v>
                </c:pt>
                <c:pt idx="834">
                  <c:v>36.552142221209998</c:v>
                </c:pt>
                <c:pt idx="835">
                  <c:v>31.072180965209999</c:v>
                </c:pt>
                <c:pt idx="836">
                  <c:v>26.037021759209999</c:v>
                </c:pt>
                <c:pt idx="837">
                  <c:v>26.037021759209999</c:v>
                </c:pt>
                <c:pt idx="838">
                  <c:v>26.037021759209999</c:v>
                </c:pt>
                <c:pt idx="839">
                  <c:v>26.037021759209999</c:v>
                </c:pt>
                <c:pt idx="840">
                  <c:v>26.037021759209999</c:v>
                </c:pt>
                <c:pt idx="841">
                  <c:v>26.037021759209999</c:v>
                </c:pt>
                <c:pt idx="842">
                  <c:v>26.037021759209999</c:v>
                </c:pt>
                <c:pt idx="843">
                  <c:v>26.037021759209999</c:v>
                </c:pt>
                <c:pt idx="844">
                  <c:v>26.037021759209999</c:v>
                </c:pt>
                <c:pt idx="845">
                  <c:v>26.037021759209999</c:v>
                </c:pt>
                <c:pt idx="846">
                  <c:v>26.037021759209999</c:v>
                </c:pt>
                <c:pt idx="847">
                  <c:v>26.037021759209999</c:v>
                </c:pt>
                <c:pt idx="848">
                  <c:v>26.037021759209999</c:v>
                </c:pt>
                <c:pt idx="849">
                  <c:v>26.037021759209999</c:v>
                </c:pt>
                <c:pt idx="850">
                  <c:v>26.037021759209999</c:v>
                </c:pt>
                <c:pt idx="851">
                  <c:v>26.037021759209999</c:v>
                </c:pt>
                <c:pt idx="852">
                  <c:v>26.037021759209999</c:v>
                </c:pt>
                <c:pt idx="853">
                  <c:v>26.037021759209999</c:v>
                </c:pt>
                <c:pt idx="854">
                  <c:v>26.037021759209999</c:v>
                </c:pt>
                <c:pt idx="855">
                  <c:v>26.037021759209999</c:v>
                </c:pt>
                <c:pt idx="856">
                  <c:v>26.037021759209999</c:v>
                </c:pt>
                <c:pt idx="857">
                  <c:v>26.037021759209999</c:v>
                </c:pt>
                <c:pt idx="858">
                  <c:v>29.00474103681</c:v>
                </c:pt>
                <c:pt idx="859">
                  <c:v>32.132589052409998</c:v>
                </c:pt>
                <c:pt idx="860">
                  <c:v>35.420565806009989</c:v>
                </c:pt>
                <c:pt idx="861">
                  <c:v>38.868671297609986</c:v>
                </c:pt>
                <c:pt idx="862">
                  <c:v>42.476905527209986</c:v>
                </c:pt>
                <c:pt idx="863">
                  <c:v>46.245268494809977</c:v>
                </c:pt>
                <c:pt idx="864">
                  <c:v>50.17376020040998</c:v>
                </c:pt>
                <c:pt idx="865">
                  <c:v>54.262380644009973</c:v>
                </c:pt>
                <c:pt idx="866">
                  <c:v>58.511129825609991</c:v>
                </c:pt>
                <c:pt idx="867">
                  <c:v>62.920007745209993</c:v>
                </c:pt>
                <c:pt idx="868">
                  <c:v>67.489014402810014</c:v>
                </c:pt>
                <c:pt idx="869">
                  <c:v>72.21814979841001</c:v>
                </c:pt>
                <c:pt idx="870">
                  <c:v>77.107413932010033</c:v>
                </c:pt>
                <c:pt idx="871">
                  <c:v>82.156806803610053</c:v>
                </c:pt>
                <c:pt idx="872">
                  <c:v>87.366328413210056</c:v>
                </c:pt>
                <c:pt idx="873">
                  <c:v>92.73597876081007</c:v>
                </c:pt>
                <c:pt idx="874">
                  <c:v>92.735978760809999</c:v>
                </c:pt>
                <c:pt idx="875">
                  <c:v>92.735978760809999</c:v>
                </c:pt>
                <c:pt idx="876">
                  <c:v>92.735978760809999</c:v>
                </c:pt>
                <c:pt idx="877">
                  <c:v>92.735978760809999</c:v>
                </c:pt>
                <c:pt idx="878">
                  <c:v>92.735978760809999</c:v>
                </c:pt>
                <c:pt idx="879">
                  <c:v>92.735978760809999</c:v>
                </c:pt>
                <c:pt idx="880">
                  <c:v>92.735978760809999</c:v>
                </c:pt>
                <c:pt idx="881">
                  <c:v>92.735978760809999</c:v>
                </c:pt>
                <c:pt idx="882">
                  <c:v>92.735978760809999</c:v>
                </c:pt>
                <c:pt idx="883">
                  <c:v>92.735978760809999</c:v>
                </c:pt>
                <c:pt idx="884">
                  <c:v>92.735978760809999</c:v>
                </c:pt>
                <c:pt idx="885">
                  <c:v>92.735978760809999</c:v>
                </c:pt>
                <c:pt idx="886">
                  <c:v>92.735978760809999</c:v>
                </c:pt>
                <c:pt idx="887">
                  <c:v>92.735978760809999</c:v>
                </c:pt>
                <c:pt idx="888">
                  <c:v>92.735978760809999</c:v>
                </c:pt>
                <c:pt idx="889">
                  <c:v>92.735978760809999</c:v>
                </c:pt>
                <c:pt idx="890">
                  <c:v>92.735978760809999</c:v>
                </c:pt>
                <c:pt idx="891">
                  <c:v>92.735978760809999</c:v>
                </c:pt>
                <c:pt idx="892">
                  <c:v>92.735978760809999</c:v>
                </c:pt>
                <c:pt idx="893">
                  <c:v>92.735978760809999</c:v>
                </c:pt>
                <c:pt idx="894">
                  <c:v>92.735978760809999</c:v>
                </c:pt>
                <c:pt idx="895">
                  <c:v>92.735978760809999</c:v>
                </c:pt>
                <c:pt idx="896">
                  <c:v>92.735978760809999</c:v>
                </c:pt>
                <c:pt idx="897">
                  <c:v>92.735978760809999</c:v>
                </c:pt>
                <c:pt idx="898">
                  <c:v>92.735978760809999</c:v>
                </c:pt>
                <c:pt idx="899">
                  <c:v>92.735978760809999</c:v>
                </c:pt>
                <c:pt idx="900">
                  <c:v>92.735978760809999</c:v>
                </c:pt>
                <c:pt idx="901">
                  <c:v>92.735978760809999</c:v>
                </c:pt>
                <c:pt idx="902">
                  <c:v>92.735978760809999</c:v>
                </c:pt>
                <c:pt idx="903">
                  <c:v>92.735978760809999</c:v>
                </c:pt>
                <c:pt idx="904">
                  <c:v>92.735978760809999</c:v>
                </c:pt>
                <c:pt idx="905">
                  <c:v>92.735978760809999</c:v>
                </c:pt>
                <c:pt idx="906">
                  <c:v>92.735978760809999</c:v>
                </c:pt>
                <c:pt idx="907">
                  <c:v>92.735978760809999</c:v>
                </c:pt>
                <c:pt idx="908">
                  <c:v>92.735978760809999</c:v>
                </c:pt>
                <c:pt idx="909">
                  <c:v>92.735978760809999</c:v>
                </c:pt>
                <c:pt idx="910">
                  <c:v>92.735978760809999</c:v>
                </c:pt>
                <c:pt idx="911">
                  <c:v>92.735978760809999</c:v>
                </c:pt>
                <c:pt idx="912">
                  <c:v>92.735978760809999</c:v>
                </c:pt>
                <c:pt idx="913">
                  <c:v>92.735978760809999</c:v>
                </c:pt>
                <c:pt idx="914">
                  <c:v>92.735978760809999</c:v>
                </c:pt>
                <c:pt idx="915">
                  <c:v>92.735978760809999</c:v>
                </c:pt>
                <c:pt idx="916">
                  <c:v>92.735978760809999</c:v>
                </c:pt>
                <c:pt idx="917">
                  <c:v>92.735978760809999</c:v>
                </c:pt>
                <c:pt idx="918">
                  <c:v>92.735978760809999</c:v>
                </c:pt>
                <c:pt idx="919">
                  <c:v>92.735978760809999</c:v>
                </c:pt>
                <c:pt idx="920">
                  <c:v>92.735978760809999</c:v>
                </c:pt>
                <c:pt idx="921">
                  <c:v>92.735978760809999</c:v>
                </c:pt>
                <c:pt idx="922">
                  <c:v>92.735978760809999</c:v>
                </c:pt>
                <c:pt idx="923">
                  <c:v>92.735978760809999</c:v>
                </c:pt>
                <c:pt idx="924">
                  <c:v>92.735978760809999</c:v>
                </c:pt>
                <c:pt idx="925">
                  <c:v>92.735978760809999</c:v>
                </c:pt>
                <c:pt idx="926">
                  <c:v>92.735978760809999</c:v>
                </c:pt>
                <c:pt idx="927">
                  <c:v>92.735978760809999</c:v>
                </c:pt>
                <c:pt idx="928">
                  <c:v>92.735978760809999</c:v>
                </c:pt>
                <c:pt idx="929">
                  <c:v>92.735978760809999</c:v>
                </c:pt>
                <c:pt idx="930">
                  <c:v>92.735978760809999</c:v>
                </c:pt>
                <c:pt idx="931">
                  <c:v>92.735978760809999</c:v>
                </c:pt>
                <c:pt idx="932">
                  <c:v>92.735978760809999</c:v>
                </c:pt>
                <c:pt idx="933">
                  <c:v>92.735978760809999</c:v>
                </c:pt>
                <c:pt idx="934">
                  <c:v>92.735978760809999</c:v>
                </c:pt>
                <c:pt idx="935">
                  <c:v>102.04123764681002</c:v>
                </c:pt>
                <c:pt idx="936">
                  <c:v>111.79129858281</c:v>
                </c:pt>
                <c:pt idx="937">
                  <c:v>121.98616156881</c:v>
                </c:pt>
                <c:pt idx="938">
                  <c:v>132.62582660481002</c:v>
                </c:pt>
                <c:pt idx="939">
                  <c:v>143.71029369081</c:v>
                </c:pt>
                <c:pt idx="940">
                  <c:v>155.23956282681002</c:v>
                </c:pt>
                <c:pt idx="941">
                  <c:v>159.97581505520998</c:v>
                </c:pt>
                <c:pt idx="942">
                  <c:v>159.97581505520998</c:v>
                </c:pt>
                <c:pt idx="943">
                  <c:v>159.97581505520998</c:v>
                </c:pt>
                <c:pt idx="944">
                  <c:v>159.97581505520998</c:v>
                </c:pt>
                <c:pt idx="945">
                  <c:v>159.97581505520998</c:v>
                </c:pt>
                <c:pt idx="946">
                  <c:v>159.97581505520998</c:v>
                </c:pt>
                <c:pt idx="947">
                  <c:v>159.97581505520998</c:v>
                </c:pt>
                <c:pt idx="948">
                  <c:v>159.97581505520998</c:v>
                </c:pt>
                <c:pt idx="949">
                  <c:v>159.97581505520998</c:v>
                </c:pt>
                <c:pt idx="950">
                  <c:v>159.97581505520998</c:v>
                </c:pt>
                <c:pt idx="951">
                  <c:v>159.97581505520998</c:v>
                </c:pt>
                <c:pt idx="952">
                  <c:v>159.97581505520998</c:v>
                </c:pt>
                <c:pt idx="953">
                  <c:v>159.97581505520998</c:v>
                </c:pt>
                <c:pt idx="954">
                  <c:v>159.97581505520998</c:v>
                </c:pt>
                <c:pt idx="955">
                  <c:v>159.97581505520998</c:v>
                </c:pt>
                <c:pt idx="956">
                  <c:v>159.97581505520998</c:v>
                </c:pt>
                <c:pt idx="957">
                  <c:v>159.97581505520998</c:v>
                </c:pt>
                <c:pt idx="958">
                  <c:v>159.97581505520998</c:v>
                </c:pt>
                <c:pt idx="959">
                  <c:v>159.97581505520998</c:v>
                </c:pt>
                <c:pt idx="960">
                  <c:v>159.97581505520998</c:v>
                </c:pt>
                <c:pt idx="961">
                  <c:v>159.97581505520998</c:v>
                </c:pt>
                <c:pt idx="962">
                  <c:v>159.97581505520998</c:v>
                </c:pt>
                <c:pt idx="963">
                  <c:v>159.97581505520998</c:v>
                </c:pt>
                <c:pt idx="964">
                  <c:v>159.97581505520998</c:v>
                </c:pt>
                <c:pt idx="965">
                  <c:v>159.97581505520998</c:v>
                </c:pt>
                <c:pt idx="966">
                  <c:v>159.97581505520998</c:v>
                </c:pt>
                <c:pt idx="967">
                  <c:v>159.97581505520998</c:v>
                </c:pt>
                <c:pt idx="968">
                  <c:v>159.97581505520998</c:v>
                </c:pt>
                <c:pt idx="969">
                  <c:v>159.97581505520998</c:v>
                </c:pt>
                <c:pt idx="970">
                  <c:v>142.58183088995997</c:v>
                </c:pt>
                <c:pt idx="971">
                  <c:v>126.18865133721</c:v>
                </c:pt>
                <c:pt idx="972">
                  <c:v>110.79627639696</c:v>
                </c:pt>
                <c:pt idx="973">
                  <c:v>96.404706069209993</c:v>
                </c:pt>
                <c:pt idx="974">
                  <c:v>83.013940353959995</c:v>
                </c:pt>
                <c:pt idx="975">
                  <c:v>70.623979251210002</c:v>
                </c:pt>
                <c:pt idx="976">
                  <c:v>59.234822760959993</c:v>
                </c:pt>
                <c:pt idx="977">
                  <c:v>48.846470883209996</c:v>
                </c:pt>
                <c:pt idx="978">
                  <c:v>39.458923617959996</c:v>
                </c:pt>
                <c:pt idx="979">
                  <c:v>31.072180965209999</c:v>
                </c:pt>
                <c:pt idx="980">
                  <c:v>31.072180965209999</c:v>
                </c:pt>
                <c:pt idx="981">
                  <c:v>31.072180965209999</c:v>
                </c:pt>
                <c:pt idx="982">
                  <c:v>31.072180965209999</c:v>
                </c:pt>
                <c:pt idx="983">
                  <c:v>31.072180965209999</c:v>
                </c:pt>
                <c:pt idx="984">
                  <c:v>31.072180965209999</c:v>
                </c:pt>
                <c:pt idx="985">
                  <c:v>31.072180965209999</c:v>
                </c:pt>
                <c:pt idx="986">
                  <c:v>31.072180965209999</c:v>
                </c:pt>
                <c:pt idx="987">
                  <c:v>31.072180965209999</c:v>
                </c:pt>
                <c:pt idx="988">
                  <c:v>31.072180965209999</c:v>
                </c:pt>
                <c:pt idx="989">
                  <c:v>31.072180965209999</c:v>
                </c:pt>
                <c:pt idx="990">
                  <c:v>31.072180965209999</c:v>
                </c:pt>
                <c:pt idx="991">
                  <c:v>31.072180965209999</c:v>
                </c:pt>
                <c:pt idx="992">
                  <c:v>39.458923617959996</c:v>
                </c:pt>
                <c:pt idx="993">
                  <c:v>48.846470883209996</c:v>
                </c:pt>
                <c:pt idx="994">
                  <c:v>59.234822760959993</c:v>
                </c:pt>
                <c:pt idx="995">
                  <c:v>70.623979251210002</c:v>
                </c:pt>
                <c:pt idx="996">
                  <c:v>83.013940353959995</c:v>
                </c:pt>
                <c:pt idx="997">
                  <c:v>96.404706069209993</c:v>
                </c:pt>
                <c:pt idx="998">
                  <c:v>110.79627639696</c:v>
                </c:pt>
                <c:pt idx="999">
                  <c:v>126.18865133721</c:v>
                </c:pt>
                <c:pt idx="1000">
                  <c:v>142.58183088995997</c:v>
                </c:pt>
                <c:pt idx="1001">
                  <c:v>126.18865133721</c:v>
                </c:pt>
                <c:pt idx="1002">
                  <c:v>110.79627639696</c:v>
                </c:pt>
                <c:pt idx="1003">
                  <c:v>96.404706069209993</c:v>
                </c:pt>
                <c:pt idx="1004">
                  <c:v>83.013940353959995</c:v>
                </c:pt>
                <c:pt idx="1005">
                  <c:v>70.623979251210002</c:v>
                </c:pt>
                <c:pt idx="1006">
                  <c:v>59.234822760959993</c:v>
                </c:pt>
                <c:pt idx="1007">
                  <c:v>48.846470883209996</c:v>
                </c:pt>
                <c:pt idx="1008">
                  <c:v>39.458923617959996</c:v>
                </c:pt>
                <c:pt idx="1009">
                  <c:v>31.072180965209999</c:v>
                </c:pt>
                <c:pt idx="1010">
                  <c:v>23.686242924959998</c:v>
                </c:pt>
                <c:pt idx="1011">
                  <c:v>17.30110949721</c:v>
                </c:pt>
                <c:pt idx="1012">
                  <c:v>11.916780681960001</c:v>
                </c:pt>
                <c:pt idx="1013">
                  <c:v>7.5332564792100003</c:v>
                </c:pt>
                <c:pt idx="1014">
                  <c:v>7.5332564792100003</c:v>
                </c:pt>
                <c:pt idx="1015">
                  <c:v>7.5332564792100003</c:v>
                </c:pt>
                <c:pt idx="1016">
                  <c:v>7.5332564792100003</c:v>
                </c:pt>
                <c:pt idx="1017">
                  <c:v>7.5332564792100003</c:v>
                </c:pt>
                <c:pt idx="1018">
                  <c:v>7.5332564792100003</c:v>
                </c:pt>
                <c:pt idx="1019">
                  <c:v>7.5332564792100003</c:v>
                </c:pt>
                <c:pt idx="1020">
                  <c:v>11.916780681960001</c:v>
                </c:pt>
                <c:pt idx="1021">
                  <c:v>17.30110949721</c:v>
                </c:pt>
                <c:pt idx="1022">
                  <c:v>23.686242924959998</c:v>
                </c:pt>
                <c:pt idx="1023">
                  <c:v>31.072180965209999</c:v>
                </c:pt>
                <c:pt idx="1024">
                  <c:v>39.458923617959996</c:v>
                </c:pt>
                <c:pt idx="1025">
                  <c:v>48.846470883209996</c:v>
                </c:pt>
                <c:pt idx="1026">
                  <c:v>59.234822760959993</c:v>
                </c:pt>
                <c:pt idx="1027">
                  <c:v>70.623979251210002</c:v>
                </c:pt>
                <c:pt idx="1028">
                  <c:v>83.013940353959995</c:v>
                </c:pt>
                <c:pt idx="1029">
                  <c:v>96.404706069209993</c:v>
                </c:pt>
                <c:pt idx="1030">
                  <c:v>110.79627639696</c:v>
                </c:pt>
                <c:pt idx="1031">
                  <c:v>126.18865133721</c:v>
                </c:pt>
                <c:pt idx="1032">
                  <c:v>142.58183088995997</c:v>
                </c:pt>
                <c:pt idx="1033">
                  <c:v>159.97581505520998</c:v>
                </c:pt>
                <c:pt idx="1034">
                  <c:v>159.97581505520998</c:v>
                </c:pt>
                <c:pt idx="1035">
                  <c:v>159.97581505520998</c:v>
                </c:pt>
                <c:pt idx="1036">
                  <c:v>159.97581505520998</c:v>
                </c:pt>
                <c:pt idx="1037">
                  <c:v>142.58183088995997</c:v>
                </c:pt>
                <c:pt idx="1038">
                  <c:v>126.18865133721</c:v>
                </c:pt>
                <c:pt idx="1039">
                  <c:v>110.79627639696</c:v>
                </c:pt>
                <c:pt idx="1040">
                  <c:v>96.404706069209993</c:v>
                </c:pt>
                <c:pt idx="1041">
                  <c:v>83.013940353959995</c:v>
                </c:pt>
                <c:pt idx="1042">
                  <c:v>70.623979251210002</c:v>
                </c:pt>
                <c:pt idx="1043">
                  <c:v>59.234822760959993</c:v>
                </c:pt>
                <c:pt idx="1044">
                  <c:v>48.846470883209996</c:v>
                </c:pt>
                <c:pt idx="1045">
                  <c:v>39.458923617959996</c:v>
                </c:pt>
                <c:pt idx="1046">
                  <c:v>31.072180965209999</c:v>
                </c:pt>
                <c:pt idx="1047">
                  <c:v>23.686242924959998</c:v>
                </c:pt>
                <c:pt idx="1048">
                  <c:v>17.30110949721</c:v>
                </c:pt>
                <c:pt idx="1049">
                  <c:v>11.916780681960001</c:v>
                </c:pt>
                <c:pt idx="1050">
                  <c:v>7.5332564792100003</c:v>
                </c:pt>
                <c:pt idx="1051">
                  <c:v>7.5332564792100003</c:v>
                </c:pt>
                <c:pt idx="1052">
                  <c:v>7.5332564792100003</c:v>
                </c:pt>
                <c:pt idx="1053">
                  <c:v>7.5332564792100003</c:v>
                </c:pt>
                <c:pt idx="1054">
                  <c:v>7.5332564792100003</c:v>
                </c:pt>
                <c:pt idx="1055">
                  <c:v>7.5332564792100003</c:v>
                </c:pt>
                <c:pt idx="1056">
                  <c:v>7.5332564792100003</c:v>
                </c:pt>
                <c:pt idx="1057">
                  <c:v>7.5332564792100003</c:v>
                </c:pt>
                <c:pt idx="1058">
                  <c:v>7.5332564792100003</c:v>
                </c:pt>
                <c:pt idx="1059">
                  <c:v>12.244599792809998</c:v>
                </c:pt>
                <c:pt idx="1060">
                  <c:v>18.094636354409996</c:v>
                </c:pt>
                <c:pt idx="1061">
                  <c:v>25.083366164009991</c:v>
                </c:pt>
                <c:pt idx="1062">
                  <c:v>33.210789221609986</c:v>
                </c:pt>
                <c:pt idx="1063">
                  <c:v>42.476905527209986</c:v>
                </c:pt>
                <c:pt idx="1064">
                  <c:v>52.881715080809983</c:v>
                </c:pt>
                <c:pt idx="1065">
                  <c:v>64.425217882409981</c:v>
                </c:pt>
                <c:pt idx="1066">
                  <c:v>77.10741393200999</c:v>
                </c:pt>
                <c:pt idx="1067">
                  <c:v>90.928303229610009</c:v>
                </c:pt>
                <c:pt idx="1068">
                  <c:v>105.88788577521002</c:v>
                </c:pt>
                <c:pt idx="1069">
                  <c:v>121.98616156881003</c:v>
                </c:pt>
                <c:pt idx="1070">
                  <c:v>139.22313061041007</c:v>
                </c:pt>
                <c:pt idx="1071">
                  <c:v>157.59879290001007</c:v>
                </c:pt>
                <c:pt idx="1072">
                  <c:v>159.97581505520998</c:v>
                </c:pt>
                <c:pt idx="1073">
                  <c:v>159.97581505520998</c:v>
                </c:pt>
                <c:pt idx="1074">
                  <c:v>159.97581505520998</c:v>
                </c:pt>
                <c:pt idx="1075">
                  <c:v>159.97581505520998</c:v>
                </c:pt>
                <c:pt idx="1076">
                  <c:v>159.97581505520998</c:v>
                </c:pt>
                <c:pt idx="1077">
                  <c:v>159.97581505520998</c:v>
                </c:pt>
                <c:pt idx="1078">
                  <c:v>159.97581505520998</c:v>
                </c:pt>
                <c:pt idx="1079">
                  <c:v>159.97581505520998</c:v>
                </c:pt>
                <c:pt idx="1080">
                  <c:v>159.97581505520998</c:v>
                </c:pt>
                <c:pt idx="1081">
                  <c:v>159.97581505520998</c:v>
                </c:pt>
                <c:pt idx="1082">
                  <c:v>159.97581505520998</c:v>
                </c:pt>
                <c:pt idx="1083">
                  <c:v>142.58183088995997</c:v>
                </c:pt>
                <c:pt idx="1084">
                  <c:v>126.18865133721</c:v>
                </c:pt>
                <c:pt idx="1085">
                  <c:v>110.79627639696</c:v>
                </c:pt>
                <c:pt idx="1086">
                  <c:v>96.404706069209993</c:v>
                </c:pt>
                <c:pt idx="1087">
                  <c:v>83.013940353959995</c:v>
                </c:pt>
                <c:pt idx="1088">
                  <c:v>70.623979251210002</c:v>
                </c:pt>
                <c:pt idx="1089">
                  <c:v>59.234822760959993</c:v>
                </c:pt>
                <c:pt idx="1090">
                  <c:v>48.846470883209996</c:v>
                </c:pt>
                <c:pt idx="1091">
                  <c:v>39.458923617959996</c:v>
                </c:pt>
                <c:pt idx="1092">
                  <c:v>31.072180965209999</c:v>
                </c:pt>
                <c:pt idx="1093">
                  <c:v>31.072180965209999</c:v>
                </c:pt>
                <c:pt idx="1094">
                  <c:v>31.072180965209999</c:v>
                </c:pt>
                <c:pt idx="1095">
                  <c:v>31.072180965209999</c:v>
                </c:pt>
                <c:pt idx="1096">
                  <c:v>31.072180965209999</c:v>
                </c:pt>
                <c:pt idx="1097">
                  <c:v>31.072180965209999</c:v>
                </c:pt>
                <c:pt idx="1098">
                  <c:v>31.072180965209999</c:v>
                </c:pt>
                <c:pt idx="1099">
                  <c:v>31.072180965209999</c:v>
                </c:pt>
                <c:pt idx="1100">
                  <c:v>31.072180965209999</c:v>
                </c:pt>
                <c:pt idx="1101">
                  <c:v>31.072180965209999</c:v>
                </c:pt>
                <c:pt idx="1102">
                  <c:v>31.072180965209999</c:v>
                </c:pt>
                <c:pt idx="1103">
                  <c:v>31.072180965209999</c:v>
                </c:pt>
                <c:pt idx="1104">
                  <c:v>42.476905527209993</c:v>
                </c:pt>
                <c:pt idx="1105">
                  <c:v>55.660838289209991</c:v>
                </c:pt>
                <c:pt idx="1106">
                  <c:v>70.623979251210002</c:v>
                </c:pt>
                <c:pt idx="1107">
                  <c:v>87.366328413209985</c:v>
                </c:pt>
                <c:pt idx="1108">
                  <c:v>105.88788577520999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DE-49CD-A967-7090E1A4FDAF}"/>
            </c:ext>
          </c:extLst>
        </c:ser>
        <c:ser>
          <c:idx val="1"/>
          <c:order val="1"/>
          <c:tx>
            <c:v>Resistance Due to Gradient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Cycle'!$O$3:$O$1111</c:f>
              <c:numCache>
                <c:formatCode>General</c:formatCode>
                <c:ptCount val="11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193.03527636160186</c:v>
                </c:pt>
                <c:pt idx="94">
                  <c:v>193.03527636160186</c:v>
                </c:pt>
                <c:pt idx="95">
                  <c:v>193.03527636160186</c:v>
                </c:pt>
                <c:pt idx="96">
                  <c:v>193.03527636160186</c:v>
                </c:pt>
                <c:pt idx="97">
                  <c:v>193.03527636160186</c:v>
                </c:pt>
                <c:pt idx="98">
                  <c:v>193.03527636160186</c:v>
                </c:pt>
                <c:pt idx="99">
                  <c:v>193.03527636160186</c:v>
                </c:pt>
                <c:pt idx="100">
                  <c:v>193.03527636160186</c:v>
                </c:pt>
                <c:pt idx="101">
                  <c:v>193.03527636160186</c:v>
                </c:pt>
                <c:pt idx="102">
                  <c:v>193.03527636160186</c:v>
                </c:pt>
                <c:pt idx="103">
                  <c:v>193.03527636160186</c:v>
                </c:pt>
                <c:pt idx="104">
                  <c:v>193.03527636160186</c:v>
                </c:pt>
                <c:pt idx="105">
                  <c:v>193.03527636160186</c:v>
                </c:pt>
                <c:pt idx="106">
                  <c:v>193.03527636160186</c:v>
                </c:pt>
                <c:pt idx="107">
                  <c:v>193.03527636160186</c:v>
                </c:pt>
                <c:pt idx="108">
                  <c:v>193.03527636160186</c:v>
                </c:pt>
                <c:pt idx="109">
                  <c:v>193.03527636160186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-142.59245732963961</c:v>
                </c:pt>
                <c:pt idx="122">
                  <c:v>-142.59245732963961</c:v>
                </c:pt>
                <c:pt idx="123">
                  <c:v>-142.59245732963961</c:v>
                </c:pt>
                <c:pt idx="124">
                  <c:v>-142.59245732963961</c:v>
                </c:pt>
                <c:pt idx="125">
                  <c:v>-142.59245732963961</c:v>
                </c:pt>
                <c:pt idx="126">
                  <c:v>-142.59245732963961</c:v>
                </c:pt>
                <c:pt idx="127">
                  <c:v>-142.59245732963961</c:v>
                </c:pt>
                <c:pt idx="128">
                  <c:v>-142.59245732963961</c:v>
                </c:pt>
                <c:pt idx="129">
                  <c:v>-142.59245732963961</c:v>
                </c:pt>
                <c:pt idx="130">
                  <c:v>-142.59245732963961</c:v>
                </c:pt>
                <c:pt idx="131">
                  <c:v>-142.59245732963961</c:v>
                </c:pt>
                <c:pt idx="132">
                  <c:v>-142.59245732963961</c:v>
                </c:pt>
                <c:pt idx="133">
                  <c:v>-142.59245732963976</c:v>
                </c:pt>
                <c:pt idx="134">
                  <c:v>-142.59245732963976</c:v>
                </c:pt>
                <c:pt idx="135">
                  <c:v>-142.59245732963976</c:v>
                </c:pt>
                <c:pt idx="136">
                  <c:v>-142.59245732963976</c:v>
                </c:pt>
                <c:pt idx="137">
                  <c:v>-142.59245732963976</c:v>
                </c:pt>
                <c:pt idx="138">
                  <c:v>-142.59245732963976</c:v>
                </c:pt>
                <c:pt idx="139">
                  <c:v>-142.59245732963976</c:v>
                </c:pt>
                <c:pt idx="140">
                  <c:v>-142.59245732963976</c:v>
                </c:pt>
                <c:pt idx="141">
                  <c:v>-142.59245732963976</c:v>
                </c:pt>
                <c:pt idx="142">
                  <c:v>-142.59245732963973</c:v>
                </c:pt>
                <c:pt idx="143">
                  <c:v>-142.59245732963973</c:v>
                </c:pt>
                <c:pt idx="144">
                  <c:v>-142.59245732963973</c:v>
                </c:pt>
                <c:pt idx="145">
                  <c:v>-42.94978527822547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142.59245732963973</c:v>
                </c:pt>
                <c:pt idx="268">
                  <c:v>142.59245732963973</c:v>
                </c:pt>
                <c:pt idx="269">
                  <c:v>142.59245732963967</c:v>
                </c:pt>
                <c:pt idx="270">
                  <c:v>142.59245732963976</c:v>
                </c:pt>
                <c:pt idx="271">
                  <c:v>142.59245732963976</c:v>
                </c:pt>
                <c:pt idx="272">
                  <c:v>142.59245732963976</c:v>
                </c:pt>
                <c:pt idx="273">
                  <c:v>142.59245732963976</c:v>
                </c:pt>
                <c:pt idx="274">
                  <c:v>142.59245732963976</c:v>
                </c:pt>
                <c:pt idx="275">
                  <c:v>142.59245732963976</c:v>
                </c:pt>
                <c:pt idx="276">
                  <c:v>142.59245732963976</c:v>
                </c:pt>
                <c:pt idx="277">
                  <c:v>142.59245732963976</c:v>
                </c:pt>
                <c:pt idx="278">
                  <c:v>142.59245732963961</c:v>
                </c:pt>
                <c:pt idx="279">
                  <c:v>142.59245732963961</c:v>
                </c:pt>
                <c:pt idx="280">
                  <c:v>142.59245732963961</c:v>
                </c:pt>
                <c:pt idx="281">
                  <c:v>142.59245732963961</c:v>
                </c:pt>
                <c:pt idx="282">
                  <c:v>142.59245732963961</c:v>
                </c:pt>
                <c:pt idx="283">
                  <c:v>142.59245732963961</c:v>
                </c:pt>
                <c:pt idx="284">
                  <c:v>142.59245732963961</c:v>
                </c:pt>
                <c:pt idx="285">
                  <c:v>84.651568571046568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-193.03527636160186</c:v>
                </c:pt>
                <c:pt idx="324">
                  <c:v>-193.03527636160186</c:v>
                </c:pt>
                <c:pt idx="325">
                  <c:v>-193.03527636160186</c:v>
                </c:pt>
                <c:pt idx="326">
                  <c:v>-193.03527636160186</c:v>
                </c:pt>
                <c:pt idx="327">
                  <c:v>-193.03527636160186</c:v>
                </c:pt>
                <c:pt idx="328">
                  <c:v>-193.03527636160186</c:v>
                </c:pt>
                <c:pt idx="329">
                  <c:v>-193.03527636160186</c:v>
                </c:pt>
                <c:pt idx="330">
                  <c:v>-193.03527636160186</c:v>
                </c:pt>
                <c:pt idx="331">
                  <c:v>-193.03527636160186</c:v>
                </c:pt>
                <c:pt idx="332">
                  <c:v>-193.03527636160186</c:v>
                </c:pt>
                <c:pt idx="333">
                  <c:v>-193.03527636160186</c:v>
                </c:pt>
                <c:pt idx="334">
                  <c:v>-193.03527636160186</c:v>
                </c:pt>
                <c:pt idx="335">
                  <c:v>-193.03527636160186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193.03527636160186</c:v>
                </c:pt>
                <c:pt idx="609">
                  <c:v>193.03527636160186</c:v>
                </c:pt>
                <c:pt idx="610">
                  <c:v>193.03527636160186</c:v>
                </c:pt>
                <c:pt idx="611">
                  <c:v>193.03527636160186</c:v>
                </c:pt>
                <c:pt idx="612">
                  <c:v>193.03527636160186</c:v>
                </c:pt>
                <c:pt idx="613">
                  <c:v>193.03527636160186</c:v>
                </c:pt>
                <c:pt idx="614">
                  <c:v>193.03527636160186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-142.59245732963976</c:v>
                </c:pt>
                <c:pt idx="628">
                  <c:v>-142.59245732963976</c:v>
                </c:pt>
                <c:pt idx="629">
                  <c:v>-142.59245732963976</c:v>
                </c:pt>
                <c:pt idx="630">
                  <c:v>-142.59245732963976</c:v>
                </c:pt>
                <c:pt idx="631">
                  <c:v>-142.59245732963976</c:v>
                </c:pt>
                <c:pt idx="632">
                  <c:v>-142.59245732963976</c:v>
                </c:pt>
                <c:pt idx="633">
                  <c:v>-142.59245732963976</c:v>
                </c:pt>
                <c:pt idx="634">
                  <c:v>-142.59245732963973</c:v>
                </c:pt>
                <c:pt idx="635">
                  <c:v>-142.59245732963973</c:v>
                </c:pt>
                <c:pt idx="636">
                  <c:v>-142.59245732963953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193.03527636160186</c:v>
                </c:pt>
                <c:pt idx="738">
                  <c:v>193.03527636160186</c:v>
                </c:pt>
                <c:pt idx="739">
                  <c:v>193.03527636160186</c:v>
                </c:pt>
                <c:pt idx="740">
                  <c:v>193.03527636160186</c:v>
                </c:pt>
                <c:pt idx="741">
                  <c:v>193.03527636160186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-124.03084132585728</c:v>
                </c:pt>
                <c:pt idx="797">
                  <c:v>-124.03084132585738</c:v>
                </c:pt>
                <c:pt idx="798">
                  <c:v>-124.03084132585738</c:v>
                </c:pt>
                <c:pt idx="799">
                  <c:v>-124.03084132585738</c:v>
                </c:pt>
                <c:pt idx="800">
                  <c:v>-124.03084132585738</c:v>
                </c:pt>
                <c:pt idx="801">
                  <c:v>-124.03084132585738</c:v>
                </c:pt>
                <c:pt idx="802">
                  <c:v>-124.03084132585735</c:v>
                </c:pt>
                <c:pt idx="803">
                  <c:v>-124.03084132585735</c:v>
                </c:pt>
                <c:pt idx="804">
                  <c:v>-42.949785278223978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BDE-49CD-A967-7090E1A4FDAF}"/>
            </c:ext>
          </c:extLst>
        </c:ser>
        <c:ser>
          <c:idx val="2"/>
          <c:order val="2"/>
          <c:tx>
            <c:v>Rolling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'Drive Cycle'!$F$3:$F$1111</c:f>
              <c:numCache>
                <c:formatCode>General</c:formatCode>
                <c:ptCount val="1109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1.8333333333333333</c:v>
                </c:pt>
                <c:pt idx="4">
                  <c:v>2.083333333333333</c:v>
                </c:pt>
                <c:pt idx="5">
                  <c:v>2.2833333333333332</c:v>
                </c:pt>
                <c:pt idx="6">
                  <c:v>2.4499999999999997</c:v>
                </c:pt>
                <c:pt idx="7">
                  <c:v>2.5928571428571425</c:v>
                </c:pt>
                <c:pt idx="8">
                  <c:v>2.7178571428571425</c:v>
                </c:pt>
                <c:pt idx="9">
                  <c:v>2.8289682539682537</c:v>
                </c:pt>
                <c:pt idx="10">
                  <c:v>2.9289682539682538</c:v>
                </c:pt>
                <c:pt idx="11">
                  <c:v>3.0198773448773446</c:v>
                </c:pt>
                <c:pt idx="12">
                  <c:v>3.1032106782106781</c:v>
                </c:pt>
                <c:pt idx="13">
                  <c:v>3.1801337551337552</c:v>
                </c:pt>
                <c:pt idx="14">
                  <c:v>3.2547049706445681</c:v>
                </c:pt>
                <c:pt idx="15">
                  <c:v>3.329276186155381</c:v>
                </c:pt>
                <c:pt idx="16">
                  <c:v>3.4038474016661939</c:v>
                </c:pt>
                <c:pt idx="17">
                  <c:v>3.4784186171770068</c:v>
                </c:pt>
                <c:pt idx="18">
                  <c:v>3.5529898326878198</c:v>
                </c:pt>
                <c:pt idx="19">
                  <c:v>3.6275610481986327</c:v>
                </c:pt>
                <c:pt idx="20">
                  <c:v>3.7021322637094456</c:v>
                </c:pt>
                <c:pt idx="21">
                  <c:v>3.7767034792202585</c:v>
                </c:pt>
                <c:pt idx="22">
                  <c:v>3.8512746947310714</c:v>
                </c:pt>
                <c:pt idx="23">
                  <c:v>3.9258459102418843</c:v>
                </c:pt>
                <c:pt idx="24">
                  <c:v>4.0004171257526968</c:v>
                </c:pt>
                <c:pt idx="25">
                  <c:v>4.0749883412635093</c:v>
                </c:pt>
                <c:pt idx="26">
                  <c:v>4.1495595567743218</c:v>
                </c:pt>
                <c:pt idx="27">
                  <c:v>4.2241307722851342</c:v>
                </c:pt>
                <c:pt idx="28">
                  <c:v>4.2987019877959467</c:v>
                </c:pt>
                <c:pt idx="29">
                  <c:v>4.3732732033067592</c:v>
                </c:pt>
                <c:pt idx="30">
                  <c:v>4.4478444188175716</c:v>
                </c:pt>
                <c:pt idx="31">
                  <c:v>4.5224156343283841</c:v>
                </c:pt>
                <c:pt idx="32">
                  <c:v>4.5969868498391966</c:v>
                </c:pt>
                <c:pt idx="33">
                  <c:v>4.6715580653500091</c:v>
                </c:pt>
                <c:pt idx="34">
                  <c:v>4.7461292808608215</c:v>
                </c:pt>
                <c:pt idx="35">
                  <c:v>4.820700496371634</c:v>
                </c:pt>
                <c:pt idx="36">
                  <c:v>4.8952717118824465</c:v>
                </c:pt>
                <c:pt idx="37">
                  <c:v>4.9698429273932589</c:v>
                </c:pt>
                <c:pt idx="38">
                  <c:v>5.0444141429040714</c:v>
                </c:pt>
                <c:pt idx="39">
                  <c:v>5.1189853584148839</c:v>
                </c:pt>
                <c:pt idx="40">
                  <c:v>5.1935565739256964</c:v>
                </c:pt>
                <c:pt idx="41">
                  <c:v>5.2681277894365088</c:v>
                </c:pt>
                <c:pt idx="42">
                  <c:v>5.3426990049473213</c:v>
                </c:pt>
                <c:pt idx="43">
                  <c:v>5.4172702204581338</c:v>
                </c:pt>
                <c:pt idx="44">
                  <c:v>5.4918414359689463</c:v>
                </c:pt>
                <c:pt idx="45">
                  <c:v>5.5664126514797587</c:v>
                </c:pt>
                <c:pt idx="46">
                  <c:v>5.6409838669905712</c:v>
                </c:pt>
                <c:pt idx="47">
                  <c:v>5.7155550825013837</c:v>
                </c:pt>
                <c:pt idx="48">
                  <c:v>5.7901262980121961</c:v>
                </c:pt>
                <c:pt idx="49">
                  <c:v>5.8646975135230086</c:v>
                </c:pt>
                <c:pt idx="50">
                  <c:v>5.9392687290338211</c:v>
                </c:pt>
                <c:pt idx="51">
                  <c:v>6.0138399445446336</c:v>
                </c:pt>
                <c:pt idx="52">
                  <c:v>6.088411160055446</c:v>
                </c:pt>
                <c:pt idx="53">
                  <c:v>6.1629823755662585</c:v>
                </c:pt>
                <c:pt idx="54">
                  <c:v>6.237553591077071</c:v>
                </c:pt>
                <c:pt idx="55">
                  <c:v>6.3121248065878834</c:v>
                </c:pt>
                <c:pt idx="56">
                  <c:v>6.3866960220986959</c:v>
                </c:pt>
                <c:pt idx="57">
                  <c:v>6.4612672376095084</c:v>
                </c:pt>
                <c:pt idx="58">
                  <c:v>6.5358384531203209</c:v>
                </c:pt>
                <c:pt idx="59">
                  <c:v>6.6104096686311333</c:v>
                </c:pt>
                <c:pt idx="60">
                  <c:v>6.6849808841419458</c:v>
                </c:pt>
                <c:pt idx="61">
                  <c:v>6.7595520996527583</c:v>
                </c:pt>
                <c:pt idx="62">
                  <c:v>6.8341233151635707</c:v>
                </c:pt>
                <c:pt idx="63">
                  <c:v>6.9086945306743832</c:v>
                </c:pt>
                <c:pt idx="64">
                  <c:v>6.9832657461851957</c:v>
                </c:pt>
                <c:pt idx="65">
                  <c:v>7.0578369616960082</c:v>
                </c:pt>
                <c:pt idx="66">
                  <c:v>7.1324081772068206</c:v>
                </c:pt>
                <c:pt idx="67">
                  <c:v>7.2069793927176331</c:v>
                </c:pt>
                <c:pt idx="68">
                  <c:v>7.2815506082284456</c:v>
                </c:pt>
                <c:pt idx="69">
                  <c:v>7.356121823739258</c:v>
                </c:pt>
                <c:pt idx="70">
                  <c:v>7.4306930392500705</c:v>
                </c:pt>
                <c:pt idx="71">
                  <c:v>7.505264254760883</c:v>
                </c:pt>
                <c:pt idx="72">
                  <c:v>7.5798354702716955</c:v>
                </c:pt>
                <c:pt idx="73">
                  <c:v>7.6544066857825079</c:v>
                </c:pt>
                <c:pt idx="74">
                  <c:v>7.7289779012933204</c:v>
                </c:pt>
                <c:pt idx="75">
                  <c:v>7.8035491168041329</c:v>
                </c:pt>
                <c:pt idx="76">
                  <c:v>7.8781203323149454</c:v>
                </c:pt>
                <c:pt idx="77">
                  <c:v>7.9526915478257578</c:v>
                </c:pt>
                <c:pt idx="78">
                  <c:v>8.0272627633365712</c:v>
                </c:pt>
                <c:pt idx="79">
                  <c:v>8.1018339788473845</c:v>
                </c:pt>
                <c:pt idx="80">
                  <c:v>8.1764051943581979</c:v>
                </c:pt>
                <c:pt idx="81">
                  <c:v>8.2509764098690113</c:v>
                </c:pt>
                <c:pt idx="82">
                  <c:v>8.3255476253798246</c:v>
                </c:pt>
                <c:pt idx="83">
                  <c:v>8.400118840890638</c:v>
                </c:pt>
                <c:pt idx="84">
                  <c:v>8.4746900564014513</c:v>
                </c:pt>
                <c:pt idx="85">
                  <c:v>8.5492612719122647</c:v>
                </c:pt>
                <c:pt idx="86">
                  <c:v>8.6238324874230781</c:v>
                </c:pt>
                <c:pt idx="87">
                  <c:v>8.6984037029338914</c:v>
                </c:pt>
                <c:pt idx="88">
                  <c:v>8.7729749184447048</c:v>
                </c:pt>
                <c:pt idx="89">
                  <c:v>8.8475461339555181</c:v>
                </c:pt>
                <c:pt idx="90">
                  <c:v>8.9221173494663315</c:v>
                </c:pt>
                <c:pt idx="91">
                  <c:v>8.9966885649771449</c:v>
                </c:pt>
                <c:pt idx="92">
                  <c:v>9.0712597804879582</c:v>
                </c:pt>
                <c:pt idx="93">
                  <c:v>9.1481828574110349</c:v>
                </c:pt>
                <c:pt idx="94">
                  <c:v>9.2281828574110349</c:v>
                </c:pt>
                <c:pt idx="95">
                  <c:v>9.3115161907443689</c:v>
                </c:pt>
                <c:pt idx="96">
                  <c:v>9.3984727124834997</c:v>
                </c:pt>
                <c:pt idx="97">
                  <c:v>9.4893818033925914</c:v>
                </c:pt>
                <c:pt idx="98">
                  <c:v>9.5802908943016831</c:v>
                </c:pt>
                <c:pt idx="99">
                  <c:v>9.6711999852107748</c:v>
                </c:pt>
                <c:pt idx="100">
                  <c:v>9.7621090761198666</c:v>
                </c:pt>
                <c:pt idx="101">
                  <c:v>9.8530181670289583</c:v>
                </c:pt>
                <c:pt idx="102">
                  <c:v>9.94392725793805</c:v>
                </c:pt>
                <c:pt idx="103">
                  <c:v>10.034836348847142</c:v>
                </c:pt>
                <c:pt idx="104">
                  <c:v>10.125745439756233</c:v>
                </c:pt>
                <c:pt idx="105">
                  <c:v>10.216654530665325</c:v>
                </c:pt>
                <c:pt idx="106">
                  <c:v>10.307563621574417</c:v>
                </c:pt>
                <c:pt idx="107">
                  <c:v>10.398472712483509</c:v>
                </c:pt>
                <c:pt idx="108">
                  <c:v>10.4893818033926</c:v>
                </c:pt>
                <c:pt idx="109">
                  <c:v>10.580290894301692</c:v>
                </c:pt>
                <c:pt idx="110">
                  <c:v>10.663624227635026</c:v>
                </c:pt>
                <c:pt idx="111">
                  <c:v>10.740547304558103</c:v>
                </c:pt>
                <c:pt idx="112">
                  <c:v>10.815118520068916</c:v>
                </c:pt>
                <c:pt idx="113">
                  <c:v>10.889689735579729</c:v>
                </c:pt>
                <c:pt idx="114">
                  <c:v>10.964260951090543</c:v>
                </c:pt>
                <c:pt idx="115">
                  <c:v>11.038832166601356</c:v>
                </c:pt>
                <c:pt idx="116">
                  <c:v>11.138832166601356</c:v>
                </c:pt>
                <c:pt idx="117">
                  <c:v>11.238832166601355</c:v>
                </c:pt>
                <c:pt idx="118">
                  <c:v>11.33407026183945</c:v>
                </c:pt>
                <c:pt idx="119">
                  <c:v>11.429308357077545</c:v>
                </c:pt>
                <c:pt idx="120">
                  <c:v>11.516264878816676</c:v>
                </c:pt>
                <c:pt idx="121">
                  <c:v>11.596264878816676</c:v>
                </c:pt>
                <c:pt idx="122">
                  <c:v>11.670836094327489</c:v>
                </c:pt>
                <c:pt idx="123">
                  <c:v>11.745407309838303</c:v>
                </c:pt>
                <c:pt idx="124">
                  <c:v>11.819978525349116</c:v>
                </c:pt>
                <c:pt idx="125">
                  <c:v>11.894549740859929</c:v>
                </c:pt>
                <c:pt idx="126">
                  <c:v>11.969120956370743</c:v>
                </c:pt>
                <c:pt idx="127">
                  <c:v>12.043692171881556</c:v>
                </c:pt>
                <c:pt idx="128">
                  <c:v>12.11826338739237</c:v>
                </c:pt>
                <c:pt idx="129">
                  <c:v>12.192834602903183</c:v>
                </c:pt>
                <c:pt idx="130">
                  <c:v>12.267405818413996</c:v>
                </c:pt>
                <c:pt idx="131">
                  <c:v>12.34197703392481</c:v>
                </c:pt>
                <c:pt idx="132">
                  <c:v>12.416548249435623</c:v>
                </c:pt>
                <c:pt idx="133">
                  <c:v>12.491119464946436</c:v>
                </c:pt>
                <c:pt idx="134">
                  <c:v>12.56569068045725</c:v>
                </c:pt>
                <c:pt idx="135">
                  <c:v>12.640261895968063</c:v>
                </c:pt>
                <c:pt idx="136">
                  <c:v>12.714833111478876</c:v>
                </c:pt>
                <c:pt idx="137">
                  <c:v>12.78940432698969</c:v>
                </c:pt>
                <c:pt idx="138">
                  <c:v>12.863975542500503</c:v>
                </c:pt>
                <c:pt idx="139">
                  <c:v>12.938546758011316</c:v>
                </c:pt>
                <c:pt idx="140">
                  <c:v>13.01311797352213</c:v>
                </c:pt>
                <c:pt idx="141">
                  <c:v>13.087689189032943</c:v>
                </c:pt>
                <c:pt idx="142">
                  <c:v>13.162260404543757</c:v>
                </c:pt>
                <c:pt idx="143">
                  <c:v>13.23683162005457</c:v>
                </c:pt>
                <c:pt idx="144">
                  <c:v>13.311402835565383</c:v>
                </c:pt>
                <c:pt idx="145">
                  <c:v>13.385974051076197</c:v>
                </c:pt>
                <c:pt idx="146">
                  <c:v>13.46054526658701</c:v>
                </c:pt>
                <c:pt idx="147">
                  <c:v>13.535116482097823</c:v>
                </c:pt>
                <c:pt idx="148">
                  <c:v>13.609687697608637</c:v>
                </c:pt>
                <c:pt idx="149">
                  <c:v>13.68425891311945</c:v>
                </c:pt>
                <c:pt idx="150">
                  <c:v>13.758830128630263</c:v>
                </c:pt>
                <c:pt idx="151">
                  <c:v>13.833401344141077</c:v>
                </c:pt>
                <c:pt idx="152">
                  <c:v>13.90797255965189</c:v>
                </c:pt>
                <c:pt idx="153">
                  <c:v>13.982543775162704</c:v>
                </c:pt>
                <c:pt idx="154">
                  <c:v>14.057114990673517</c:v>
                </c:pt>
                <c:pt idx="155">
                  <c:v>14.13168620618433</c:v>
                </c:pt>
                <c:pt idx="156">
                  <c:v>14.206257421695144</c:v>
                </c:pt>
                <c:pt idx="157">
                  <c:v>14.286837598971534</c:v>
                </c:pt>
                <c:pt idx="158">
                  <c:v>14.374480017902297</c:v>
                </c:pt>
                <c:pt idx="159">
                  <c:v>14.470541497249078</c:v>
                </c:pt>
                <c:pt idx="160">
                  <c:v>14.57681142286013</c:v>
                </c:pt>
                <c:pt idx="161">
                  <c:v>14.695717487069405</c:v>
                </c:pt>
                <c:pt idx="162">
                  <c:v>14.83067025360112</c:v>
                </c:pt>
                <c:pt idx="163">
                  <c:v>14.98667649385073</c:v>
                </c:pt>
                <c:pt idx="164">
                  <c:v>15.171519377399713</c:v>
                </c:pt>
                <c:pt idx="165">
                  <c:v>15.398276747014226</c:v>
                </c:pt>
                <c:pt idx="166">
                  <c:v>15.691531878979035</c:v>
                </c:pt>
                <c:pt idx="167">
                  <c:v>15.984787010943844</c:v>
                </c:pt>
                <c:pt idx="168">
                  <c:v>16.278042142908653</c:v>
                </c:pt>
                <c:pt idx="169">
                  <c:v>16.571297274873462</c:v>
                </c:pt>
                <c:pt idx="170">
                  <c:v>16.864552406838271</c:v>
                </c:pt>
                <c:pt idx="171">
                  <c:v>17.15780753880308</c:v>
                </c:pt>
                <c:pt idx="172">
                  <c:v>17.45106267076789</c:v>
                </c:pt>
                <c:pt idx="173">
                  <c:v>17.744317802732699</c:v>
                </c:pt>
                <c:pt idx="174">
                  <c:v>18.037572934697508</c:v>
                </c:pt>
                <c:pt idx="175">
                  <c:v>18.330828066662317</c:v>
                </c:pt>
                <c:pt idx="176">
                  <c:v>18.624083198627126</c:v>
                </c:pt>
                <c:pt idx="177">
                  <c:v>18.917338330591935</c:v>
                </c:pt>
                <c:pt idx="178">
                  <c:v>19.144095700206449</c:v>
                </c:pt>
                <c:pt idx="179">
                  <c:v>19.328938583755434</c:v>
                </c:pt>
                <c:pt idx="180">
                  <c:v>19.484944824005044</c:v>
                </c:pt>
                <c:pt idx="181">
                  <c:v>19.619897590536759</c:v>
                </c:pt>
                <c:pt idx="182">
                  <c:v>19.738803654746032</c:v>
                </c:pt>
                <c:pt idx="183">
                  <c:v>19.845073580357084</c:v>
                </c:pt>
                <c:pt idx="184">
                  <c:v>19.941135059703868</c:v>
                </c:pt>
                <c:pt idx="185">
                  <c:v>20.02877747863463</c:v>
                </c:pt>
                <c:pt idx="186">
                  <c:v>20.109357655911019</c:v>
                </c:pt>
                <c:pt idx="187">
                  <c:v>20.183928871421831</c:v>
                </c:pt>
                <c:pt idx="188">
                  <c:v>20.258500086932642</c:v>
                </c:pt>
                <c:pt idx="189">
                  <c:v>20.333071302443454</c:v>
                </c:pt>
                <c:pt idx="190">
                  <c:v>20.407642517954265</c:v>
                </c:pt>
                <c:pt idx="191">
                  <c:v>20.482213733465077</c:v>
                </c:pt>
                <c:pt idx="192">
                  <c:v>20.556784948975888</c:v>
                </c:pt>
                <c:pt idx="193">
                  <c:v>20.6313561644867</c:v>
                </c:pt>
                <c:pt idx="194">
                  <c:v>20.705927379997512</c:v>
                </c:pt>
                <c:pt idx="195">
                  <c:v>20.780498595508323</c:v>
                </c:pt>
                <c:pt idx="196">
                  <c:v>20.855069811019135</c:v>
                </c:pt>
                <c:pt idx="197">
                  <c:v>20.929641026529946</c:v>
                </c:pt>
                <c:pt idx="198">
                  <c:v>21.004212242040758</c:v>
                </c:pt>
                <c:pt idx="199">
                  <c:v>21.07878345755157</c:v>
                </c:pt>
                <c:pt idx="200">
                  <c:v>21.153354673062381</c:v>
                </c:pt>
                <c:pt idx="201">
                  <c:v>21.227925888573193</c:v>
                </c:pt>
                <c:pt idx="202">
                  <c:v>21.302497104084004</c:v>
                </c:pt>
                <c:pt idx="203">
                  <c:v>21.377068319594816</c:v>
                </c:pt>
                <c:pt idx="204">
                  <c:v>21.451639535105627</c:v>
                </c:pt>
                <c:pt idx="205">
                  <c:v>21.526210750616439</c:v>
                </c:pt>
                <c:pt idx="206">
                  <c:v>21.600781966127251</c:v>
                </c:pt>
                <c:pt idx="207">
                  <c:v>21.675353181638062</c:v>
                </c:pt>
                <c:pt idx="208">
                  <c:v>21.749924397148874</c:v>
                </c:pt>
                <c:pt idx="209">
                  <c:v>21.824495612659685</c:v>
                </c:pt>
                <c:pt idx="210">
                  <c:v>21.899066828170497</c:v>
                </c:pt>
                <c:pt idx="211">
                  <c:v>21.973638043681309</c:v>
                </c:pt>
                <c:pt idx="212">
                  <c:v>22.04820925919212</c:v>
                </c:pt>
                <c:pt idx="213">
                  <c:v>22.122780474702932</c:v>
                </c:pt>
                <c:pt idx="214">
                  <c:v>22.20336065197932</c:v>
                </c:pt>
                <c:pt idx="215">
                  <c:v>22.291003070910083</c:v>
                </c:pt>
                <c:pt idx="216">
                  <c:v>22.387064550256866</c:v>
                </c:pt>
                <c:pt idx="217">
                  <c:v>22.493334475867918</c:v>
                </c:pt>
                <c:pt idx="218">
                  <c:v>22.612240540077192</c:v>
                </c:pt>
                <c:pt idx="219">
                  <c:v>22.747193306608906</c:v>
                </c:pt>
                <c:pt idx="220">
                  <c:v>22.903199546858517</c:v>
                </c:pt>
                <c:pt idx="221">
                  <c:v>23.088042430407501</c:v>
                </c:pt>
                <c:pt idx="222">
                  <c:v>23.314799800022016</c:v>
                </c:pt>
                <c:pt idx="223">
                  <c:v>23.608054931986825</c:v>
                </c:pt>
                <c:pt idx="224">
                  <c:v>23.901310063951634</c:v>
                </c:pt>
                <c:pt idx="225">
                  <c:v>24.194565195916443</c:v>
                </c:pt>
                <c:pt idx="226">
                  <c:v>24.487820327881252</c:v>
                </c:pt>
                <c:pt idx="227">
                  <c:v>24.781075459846061</c:v>
                </c:pt>
                <c:pt idx="228">
                  <c:v>25.07433059181087</c:v>
                </c:pt>
                <c:pt idx="229">
                  <c:v>25.367585723775679</c:v>
                </c:pt>
                <c:pt idx="230">
                  <c:v>25.660840855740489</c:v>
                </c:pt>
                <c:pt idx="231">
                  <c:v>25.954095987705298</c:v>
                </c:pt>
                <c:pt idx="232">
                  <c:v>26.247351119670107</c:v>
                </c:pt>
                <c:pt idx="233">
                  <c:v>26.540606251634916</c:v>
                </c:pt>
                <c:pt idx="234">
                  <c:v>26.833861383599725</c:v>
                </c:pt>
                <c:pt idx="235">
                  <c:v>27.127116515564534</c:v>
                </c:pt>
                <c:pt idx="236">
                  <c:v>27.382870991267858</c:v>
                </c:pt>
                <c:pt idx="237">
                  <c:v>27.609628360882372</c:v>
                </c:pt>
                <c:pt idx="238">
                  <c:v>27.813294348662414</c:v>
                </c:pt>
                <c:pt idx="239">
                  <c:v>27.998137232211398</c:v>
                </c:pt>
                <c:pt idx="240">
                  <c:v>28.167341969944054</c:v>
                </c:pt>
                <c:pt idx="241">
                  <c:v>28.323348210193664</c:v>
                </c:pt>
                <c:pt idx="242">
                  <c:v>28.468066010483099</c:v>
                </c:pt>
                <c:pt idx="243">
                  <c:v>28.603018777014814</c:v>
                </c:pt>
                <c:pt idx="244">
                  <c:v>28.729441027330868</c:v>
                </c:pt>
                <c:pt idx="245">
                  <c:v>28.848347091540141</c:v>
                </c:pt>
                <c:pt idx="246">
                  <c:v>28.960580537106921</c:v>
                </c:pt>
                <c:pt idx="247">
                  <c:v>29.066850462717973</c:v>
                </c:pt>
                <c:pt idx="248">
                  <c:v>29.167758636280031</c:v>
                </c:pt>
                <c:pt idx="249">
                  <c:v>29.263820115626814</c:v>
                </c:pt>
                <c:pt idx="250">
                  <c:v>29.355479144041112</c:v>
                </c:pt>
                <c:pt idx="251">
                  <c:v>29.443121562971875</c:v>
                </c:pt>
                <c:pt idx="252">
                  <c:v>29.523701740248264</c:v>
                </c:pt>
                <c:pt idx="253">
                  <c:v>29.598272955759075</c:v>
                </c:pt>
                <c:pt idx="254">
                  <c:v>29.672844171269887</c:v>
                </c:pt>
                <c:pt idx="255">
                  <c:v>29.747415386780698</c:v>
                </c:pt>
                <c:pt idx="256">
                  <c:v>29.82198660229151</c:v>
                </c:pt>
                <c:pt idx="257">
                  <c:v>29.896557817802321</c:v>
                </c:pt>
                <c:pt idx="258">
                  <c:v>29.971129033313133</c:v>
                </c:pt>
                <c:pt idx="259">
                  <c:v>30.045700248823945</c:v>
                </c:pt>
                <c:pt idx="260">
                  <c:v>30.120271464334756</c:v>
                </c:pt>
                <c:pt idx="261">
                  <c:v>30.194842679845568</c:v>
                </c:pt>
                <c:pt idx="262">
                  <c:v>30.269413895356379</c:v>
                </c:pt>
                <c:pt idx="263">
                  <c:v>30.343985110867191</c:v>
                </c:pt>
                <c:pt idx="264">
                  <c:v>30.418556326378003</c:v>
                </c:pt>
                <c:pt idx="265">
                  <c:v>30.493127541888814</c:v>
                </c:pt>
                <c:pt idx="266">
                  <c:v>30.567698757399626</c:v>
                </c:pt>
                <c:pt idx="267">
                  <c:v>30.647698757399624</c:v>
                </c:pt>
                <c:pt idx="268">
                  <c:v>30.731032090732956</c:v>
                </c:pt>
                <c:pt idx="269">
                  <c:v>30.817988612472085</c:v>
                </c:pt>
                <c:pt idx="270">
                  <c:v>30.908897703381175</c:v>
                </c:pt>
                <c:pt idx="271">
                  <c:v>30.999806794290265</c:v>
                </c:pt>
                <c:pt idx="272">
                  <c:v>31.090715885199355</c:v>
                </c:pt>
                <c:pt idx="273">
                  <c:v>31.181624976108445</c:v>
                </c:pt>
                <c:pt idx="274">
                  <c:v>31.272534067017535</c:v>
                </c:pt>
                <c:pt idx="275">
                  <c:v>31.363443157926625</c:v>
                </c:pt>
                <c:pt idx="276">
                  <c:v>31.454352248835715</c:v>
                </c:pt>
                <c:pt idx="277">
                  <c:v>31.545261339744805</c:v>
                </c:pt>
                <c:pt idx="278">
                  <c:v>31.636170430653895</c:v>
                </c:pt>
                <c:pt idx="279">
                  <c:v>31.727079521562985</c:v>
                </c:pt>
                <c:pt idx="280">
                  <c:v>31.817988612472075</c:v>
                </c:pt>
                <c:pt idx="281">
                  <c:v>31.908897703381164</c:v>
                </c:pt>
                <c:pt idx="282">
                  <c:v>31.999806794290254</c:v>
                </c:pt>
                <c:pt idx="283">
                  <c:v>32.090715885199344</c:v>
                </c:pt>
                <c:pt idx="284">
                  <c:v>32.181624976108438</c:v>
                </c:pt>
                <c:pt idx="285">
                  <c:v>32.264958309441774</c:v>
                </c:pt>
                <c:pt idx="286">
                  <c:v>32.344958309441772</c:v>
                </c:pt>
                <c:pt idx="287">
                  <c:v>32.421881386364852</c:v>
                </c:pt>
                <c:pt idx="288">
                  <c:v>32.496452601875667</c:v>
                </c:pt>
                <c:pt idx="289">
                  <c:v>32.571023817386482</c:v>
                </c:pt>
                <c:pt idx="290">
                  <c:v>32.645595032897297</c:v>
                </c:pt>
                <c:pt idx="291">
                  <c:v>32.720166248408113</c:v>
                </c:pt>
                <c:pt idx="292">
                  <c:v>32.794737463918928</c:v>
                </c:pt>
                <c:pt idx="293">
                  <c:v>32.869308679429743</c:v>
                </c:pt>
                <c:pt idx="294">
                  <c:v>32.943879894940558</c:v>
                </c:pt>
                <c:pt idx="295">
                  <c:v>33.018451110451373</c:v>
                </c:pt>
                <c:pt idx="296">
                  <c:v>33.099031287727762</c:v>
                </c:pt>
                <c:pt idx="297">
                  <c:v>33.186673706658524</c:v>
                </c:pt>
                <c:pt idx="298">
                  <c:v>33.282735186005304</c:v>
                </c:pt>
                <c:pt idx="299">
                  <c:v>33.389005111616356</c:v>
                </c:pt>
                <c:pt idx="300">
                  <c:v>33.507911175825633</c:v>
                </c:pt>
                <c:pt idx="301">
                  <c:v>33.642863942357344</c:v>
                </c:pt>
                <c:pt idx="302">
                  <c:v>33.798870182606954</c:v>
                </c:pt>
                <c:pt idx="303">
                  <c:v>33.983713066155936</c:v>
                </c:pt>
                <c:pt idx="304">
                  <c:v>34.210470435770446</c:v>
                </c:pt>
                <c:pt idx="305">
                  <c:v>34.437227805384957</c:v>
                </c:pt>
                <c:pt idx="306">
                  <c:v>34.663985174999468</c:v>
                </c:pt>
                <c:pt idx="307">
                  <c:v>34.890742544613978</c:v>
                </c:pt>
                <c:pt idx="308">
                  <c:v>35.117499914228489</c:v>
                </c:pt>
                <c:pt idx="309">
                  <c:v>35.344257283843</c:v>
                </c:pt>
                <c:pt idx="310">
                  <c:v>35.57101465345751</c:v>
                </c:pt>
                <c:pt idx="311">
                  <c:v>35.797772023072021</c:v>
                </c:pt>
                <c:pt idx="312">
                  <c:v>36.024529392686532</c:v>
                </c:pt>
                <c:pt idx="313">
                  <c:v>36.228195380466573</c:v>
                </c:pt>
                <c:pt idx="314">
                  <c:v>36.413038264015555</c:v>
                </c:pt>
                <c:pt idx="315">
                  <c:v>36.582243001748211</c:v>
                </c:pt>
                <c:pt idx="316">
                  <c:v>36.738249241997821</c:v>
                </c:pt>
                <c:pt idx="317">
                  <c:v>36.882967042287255</c:v>
                </c:pt>
                <c:pt idx="318">
                  <c:v>37.017919808818966</c:v>
                </c:pt>
                <c:pt idx="319">
                  <c:v>37.14434205913502</c:v>
                </c:pt>
                <c:pt idx="320">
                  <c:v>37.263248123344297</c:v>
                </c:pt>
                <c:pt idx="321">
                  <c:v>37.375481568911077</c:v>
                </c:pt>
                <c:pt idx="322">
                  <c:v>37.481751494522129</c:v>
                </c:pt>
                <c:pt idx="323">
                  <c:v>37.577812973868909</c:v>
                </c:pt>
                <c:pt idx="324">
                  <c:v>37.665455392799672</c:v>
                </c:pt>
                <c:pt idx="325">
                  <c:v>37.74603557007606</c:v>
                </c:pt>
                <c:pt idx="326">
                  <c:v>37.820606785586875</c:v>
                </c:pt>
                <c:pt idx="327">
                  <c:v>37.89517800109769</c:v>
                </c:pt>
                <c:pt idx="328">
                  <c:v>37.975758178374079</c:v>
                </c:pt>
                <c:pt idx="329">
                  <c:v>38.063400597304842</c:v>
                </c:pt>
                <c:pt idx="330">
                  <c:v>38.159462076651621</c:v>
                </c:pt>
                <c:pt idx="331">
                  <c:v>38.265732002262673</c:v>
                </c:pt>
                <c:pt idx="332">
                  <c:v>38.38463806647195</c:v>
                </c:pt>
                <c:pt idx="333">
                  <c:v>38.519590833003662</c:v>
                </c:pt>
                <c:pt idx="334">
                  <c:v>38.675597073253272</c:v>
                </c:pt>
                <c:pt idx="335">
                  <c:v>38.860439956802253</c:v>
                </c:pt>
                <c:pt idx="336">
                  <c:v>39.087197326416764</c:v>
                </c:pt>
                <c:pt idx="337">
                  <c:v>39.380452458381576</c:v>
                </c:pt>
                <c:pt idx="338">
                  <c:v>39.795390217717674</c:v>
                </c:pt>
                <c:pt idx="339">
                  <c:v>40.210327977053772</c:v>
                </c:pt>
                <c:pt idx="340">
                  <c:v>40.625265736389871</c:v>
                </c:pt>
                <c:pt idx="341">
                  <c:v>41.040203495725969</c:v>
                </c:pt>
                <c:pt idx="342">
                  <c:v>41.455141255062067</c:v>
                </c:pt>
                <c:pt idx="343">
                  <c:v>41.798783866745914</c:v>
                </c:pt>
                <c:pt idx="344">
                  <c:v>42.092038998710727</c:v>
                </c:pt>
                <c:pt idx="345">
                  <c:v>42.347793474414054</c:v>
                </c:pt>
                <c:pt idx="346">
                  <c:v>42.574550844028565</c:v>
                </c:pt>
                <c:pt idx="347">
                  <c:v>42.778216831808606</c:v>
                </c:pt>
                <c:pt idx="348">
                  <c:v>42.963059715357588</c:v>
                </c:pt>
                <c:pt idx="349">
                  <c:v>43.132264453090244</c:v>
                </c:pt>
                <c:pt idx="350">
                  <c:v>43.288270693339854</c:v>
                </c:pt>
                <c:pt idx="351">
                  <c:v>43.432988493629288</c:v>
                </c:pt>
                <c:pt idx="352">
                  <c:v>43.567941260161</c:v>
                </c:pt>
                <c:pt idx="353">
                  <c:v>43.694363510477054</c:v>
                </c:pt>
                <c:pt idx="354">
                  <c:v>43.813269574686331</c:v>
                </c:pt>
                <c:pt idx="355">
                  <c:v>43.922439880363186</c:v>
                </c:pt>
                <c:pt idx="356">
                  <c:v>44.023348053925247</c:v>
                </c:pt>
                <c:pt idx="357">
                  <c:v>44.117156684319241</c:v>
                </c:pt>
                <c:pt idx="358">
                  <c:v>44.204799103250004</c:v>
                </c:pt>
                <c:pt idx="359">
                  <c:v>44.285379280526392</c:v>
                </c:pt>
                <c:pt idx="360">
                  <c:v>44.359950496037207</c:v>
                </c:pt>
                <c:pt idx="361">
                  <c:v>44.434521711548022</c:v>
                </c:pt>
                <c:pt idx="362">
                  <c:v>44.509092927058838</c:v>
                </c:pt>
                <c:pt idx="363">
                  <c:v>44.583664142569653</c:v>
                </c:pt>
                <c:pt idx="364">
                  <c:v>44.658235358080468</c:v>
                </c:pt>
                <c:pt idx="365">
                  <c:v>44.732806573591283</c:v>
                </c:pt>
                <c:pt idx="366">
                  <c:v>44.807377789102098</c:v>
                </c:pt>
                <c:pt idx="367">
                  <c:v>44.88636673065028</c:v>
                </c:pt>
                <c:pt idx="368">
                  <c:v>44.970329786905531</c:v>
                </c:pt>
                <c:pt idx="369">
                  <c:v>45.059935521672557</c:v>
                </c:pt>
                <c:pt idx="370">
                  <c:v>45.155997001019337</c:v>
                </c:pt>
                <c:pt idx="371">
                  <c:v>45.259516669756394</c:v>
                </c:pt>
                <c:pt idx="372">
                  <c:v>45.371750115323174</c:v>
                </c:pt>
                <c:pt idx="373">
                  <c:v>45.494299134931019</c:v>
                </c:pt>
                <c:pt idx="374">
                  <c:v>45.62925190146273</c:v>
                </c:pt>
                <c:pt idx="375">
                  <c:v>45.779402051612884</c:v>
                </c:pt>
                <c:pt idx="376">
                  <c:v>45.94860678934554</c:v>
                </c:pt>
                <c:pt idx="377">
                  <c:v>46.142405238957942</c:v>
                </c:pt>
                <c:pt idx="378">
                  <c:v>46.369162608572452</c:v>
                </c:pt>
                <c:pt idx="379">
                  <c:v>46.642386652288302</c:v>
                </c:pt>
                <c:pt idx="380">
                  <c:v>46.986029263972149</c:v>
                </c:pt>
                <c:pt idx="381">
                  <c:v>47.329671875655997</c:v>
                </c:pt>
                <c:pt idx="382">
                  <c:v>47.673314487339844</c:v>
                </c:pt>
                <c:pt idx="383">
                  <c:v>48.016957099023692</c:v>
                </c:pt>
                <c:pt idx="384">
                  <c:v>48.36059971070754</c:v>
                </c:pt>
                <c:pt idx="385">
                  <c:v>48.704242322391387</c:v>
                </c:pt>
                <c:pt idx="386">
                  <c:v>49.047884934075235</c:v>
                </c:pt>
                <c:pt idx="387">
                  <c:v>49.391527545759082</c:v>
                </c:pt>
                <c:pt idx="388">
                  <c:v>49.73517015744293</c:v>
                </c:pt>
                <c:pt idx="389">
                  <c:v>50.078812769126777</c:v>
                </c:pt>
                <c:pt idx="390">
                  <c:v>50.422455380810625</c:v>
                </c:pt>
                <c:pt idx="391">
                  <c:v>50.695679424526475</c:v>
                </c:pt>
                <c:pt idx="392">
                  <c:v>50.922436794140985</c:v>
                </c:pt>
                <c:pt idx="393">
                  <c:v>51.116235243753387</c:v>
                </c:pt>
                <c:pt idx="394">
                  <c:v>51.285439981486043</c:v>
                </c:pt>
                <c:pt idx="395">
                  <c:v>51.435590131636197</c:v>
                </c:pt>
                <c:pt idx="396">
                  <c:v>51.566138434508261</c:v>
                </c:pt>
                <c:pt idx="397">
                  <c:v>51.681611875616809</c:v>
                </c:pt>
                <c:pt idx="398">
                  <c:v>51.785131544353867</c:v>
                </c:pt>
                <c:pt idx="399">
                  <c:v>51.878940174747861</c:v>
                </c:pt>
                <c:pt idx="400">
                  <c:v>51.964703468058325</c:v>
                </c:pt>
                <c:pt idx="401">
                  <c:v>52.043692409606507</c:v>
                </c:pt>
                <c:pt idx="402">
                  <c:v>52.118263625117322</c:v>
                </c:pt>
                <c:pt idx="403">
                  <c:v>52.197252566665505</c:v>
                </c:pt>
                <c:pt idx="404">
                  <c:v>52.281215622920755</c:v>
                </c:pt>
                <c:pt idx="405">
                  <c:v>52.370821357687781</c:v>
                </c:pt>
                <c:pt idx="406">
                  <c:v>52.466882837034561</c:v>
                </c:pt>
                <c:pt idx="407">
                  <c:v>52.570402505771618</c:v>
                </c:pt>
                <c:pt idx="408">
                  <c:v>52.682635951338398</c:v>
                </c:pt>
                <c:pt idx="409">
                  <c:v>52.805184970946243</c:v>
                </c:pt>
                <c:pt idx="410">
                  <c:v>52.940137737477954</c:v>
                </c:pt>
                <c:pt idx="411">
                  <c:v>53.075090504009665</c:v>
                </c:pt>
                <c:pt idx="412">
                  <c:v>53.210043270541377</c:v>
                </c:pt>
                <c:pt idx="413">
                  <c:v>53.344996037073088</c:v>
                </c:pt>
                <c:pt idx="414">
                  <c:v>53.479948803604799</c:v>
                </c:pt>
                <c:pt idx="415">
                  <c:v>53.61490157013651</c:v>
                </c:pt>
                <c:pt idx="416">
                  <c:v>53.749854336668221</c:v>
                </c:pt>
                <c:pt idx="417">
                  <c:v>53.872403356276067</c:v>
                </c:pt>
                <c:pt idx="418">
                  <c:v>53.984636801842846</c:v>
                </c:pt>
                <c:pt idx="419">
                  <c:v>54.088156470579904</c:v>
                </c:pt>
                <c:pt idx="420">
                  <c:v>54.184217949926683</c:v>
                </c:pt>
                <c:pt idx="421">
                  <c:v>54.27382368469371</c:v>
                </c:pt>
                <c:pt idx="422">
                  <c:v>54.35778674094896</c:v>
                </c:pt>
                <c:pt idx="423">
                  <c:v>54.436775682497142</c:v>
                </c:pt>
                <c:pt idx="424">
                  <c:v>54.511346898007957</c:v>
                </c:pt>
                <c:pt idx="425">
                  <c:v>54.585918113518773</c:v>
                </c:pt>
                <c:pt idx="426">
                  <c:v>54.660489329029588</c:v>
                </c:pt>
                <c:pt idx="427">
                  <c:v>54.735060544540403</c:v>
                </c:pt>
                <c:pt idx="428">
                  <c:v>54.809631760051218</c:v>
                </c:pt>
                <c:pt idx="429">
                  <c:v>54.884202975562033</c:v>
                </c:pt>
                <c:pt idx="430">
                  <c:v>54.958774191072848</c:v>
                </c:pt>
                <c:pt idx="431">
                  <c:v>55.033345406583663</c:v>
                </c:pt>
                <c:pt idx="432">
                  <c:v>55.107916622094478</c:v>
                </c:pt>
                <c:pt idx="433">
                  <c:v>55.182487837605294</c:v>
                </c:pt>
                <c:pt idx="434">
                  <c:v>55.257059053116109</c:v>
                </c:pt>
                <c:pt idx="435">
                  <c:v>55.331630268626924</c:v>
                </c:pt>
                <c:pt idx="436">
                  <c:v>55.406201484137739</c:v>
                </c:pt>
                <c:pt idx="437">
                  <c:v>55.480772699648554</c:v>
                </c:pt>
                <c:pt idx="438">
                  <c:v>55.555343915159369</c:v>
                </c:pt>
                <c:pt idx="439">
                  <c:v>55.629915130670184</c:v>
                </c:pt>
                <c:pt idx="440">
                  <c:v>55.704486346181</c:v>
                </c:pt>
                <c:pt idx="441">
                  <c:v>55.779057561691815</c:v>
                </c:pt>
                <c:pt idx="442">
                  <c:v>55.85362877720263</c:v>
                </c:pt>
                <c:pt idx="443">
                  <c:v>55.928199992713445</c:v>
                </c:pt>
                <c:pt idx="444">
                  <c:v>56.00277120822426</c:v>
                </c:pt>
                <c:pt idx="445">
                  <c:v>56.077342423735075</c:v>
                </c:pt>
                <c:pt idx="446">
                  <c:v>56.15191363924589</c:v>
                </c:pt>
                <c:pt idx="447">
                  <c:v>56.226484854756706</c:v>
                </c:pt>
                <c:pt idx="448">
                  <c:v>56.301056070267521</c:v>
                </c:pt>
                <c:pt idx="449">
                  <c:v>56.375627285778336</c:v>
                </c:pt>
                <c:pt idx="450">
                  <c:v>56.450198501289151</c:v>
                </c:pt>
                <c:pt idx="451">
                  <c:v>56.524769716799966</c:v>
                </c:pt>
                <c:pt idx="452">
                  <c:v>56.599340932310781</c:v>
                </c:pt>
                <c:pt idx="453">
                  <c:v>56.673912147821596</c:v>
                </c:pt>
                <c:pt idx="454">
                  <c:v>56.748483363332411</c:v>
                </c:pt>
                <c:pt idx="455">
                  <c:v>56.823054578843227</c:v>
                </c:pt>
                <c:pt idx="456">
                  <c:v>56.897625794354042</c:v>
                </c:pt>
                <c:pt idx="457">
                  <c:v>56.972197009864857</c:v>
                </c:pt>
                <c:pt idx="458">
                  <c:v>57.046768225375672</c:v>
                </c:pt>
                <c:pt idx="459">
                  <c:v>57.121339440886487</c:v>
                </c:pt>
                <c:pt idx="460">
                  <c:v>57.195910656397302</c:v>
                </c:pt>
                <c:pt idx="461">
                  <c:v>57.270481871908117</c:v>
                </c:pt>
                <c:pt idx="462">
                  <c:v>57.345053087418933</c:v>
                </c:pt>
                <c:pt idx="463">
                  <c:v>57.419624302929748</c:v>
                </c:pt>
                <c:pt idx="464">
                  <c:v>57.494195518440563</c:v>
                </c:pt>
                <c:pt idx="465">
                  <c:v>57.568766733951378</c:v>
                </c:pt>
                <c:pt idx="466">
                  <c:v>57.643337949462193</c:v>
                </c:pt>
                <c:pt idx="467">
                  <c:v>57.717909164973008</c:v>
                </c:pt>
                <c:pt idx="468">
                  <c:v>57.792480380483823</c:v>
                </c:pt>
                <c:pt idx="469">
                  <c:v>57.867051595994639</c:v>
                </c:pt>
                <c:pt idx="470">
                  <c:v>57.941622811505454</c:v>
                </c:pt>
                <c:pt idx="471">
                  <c:v>58.016194027016269</c:v>
                </c:pt>
                <c:pt idx="472">
                  <c:v>58.090765242527084</c:v>
                </c:pt>
                <c:pt idx="473">
                  <c:v>58.169754184075266</c:v>
                </c:pt>
                <c:pt idx="474">
                  <c:v>58.253717240330516</c:v>
                </c:pt>
                <c:pt idx="475">
                  <c:v>58.343322975097543</c:v>
                </c:pt>
                <c:pt idx="476">
                  <c:v>58.439384454444323</c:v>
                </c:pt>
                <c:pt idx="477">
                  <c:v>58.54290412318138</c:v>
                </c:pt>
                <c:pt idx="478">
                  <c:v>58.65513756874816</c:v>
                </c:pt>
                <c:pt idx="479">
                  <c:v>58.777686588356005</c:v>
                </c:pt>
                <c:pt idx="480">
                  <c:v>58.912639354887716</c:v>
                </c:pt>
                <c:pt idx="481">
                  <c:v>59.06278950503787</c:v>
                </c:pt>
                <c:pt idx="482">
                  <c:v>59.231994242770526</c:v>
                </c:pt>
                <c:pt idx="483">
                  <c:v>59.425792692382927</c:v>
                </c:pt>
                <c:pt idx="484">
                  <c:v>59.652550061997438</c:v>
                </c:pt>
                <c:pt idx="485">
                  <c:v>59.925774105713288</c:v>
                </c:pt>
                <c:pt idx="486">
                  <c:v>60.198998149429137</c:v>
                </c:pt>
                <c:pt idx="487">
                  <c:v>60.472222193144987</c:v>
                </c:pt>
                <c:pt idx="488">
                  <c:v>60.745446236860836</c:v>
                </c:pt>
                <c:pt idx="489">
                  <c:v>61.018670280576686</c:v>
                </c:pt>
                <c:pt idx="490">
                  <c:v>61.291894324292535</c:v>
                </c:pt>
                <c:pt idx="491">
                  <c:v>61.565118368008385</c:v>
                </c:pt>
                <c:pt idx="492">
                  <c:v>61.838342411724234</c:v>
                </c:pt>
                <c:pt idx="493">
                  <c:v>62.065099781338745</c:v>
                </c:pt>
                <c:pt idx="494">
                  <c:v>62.258898230951147</c:v>
                </c:pt>
                <c:pt idx="495">
                  <c:v>62.428102968683802</c:v>
                </c:pt>
                <c:pt idx="496">
                  <c:v>62.578253118833956</c:v>
                </c:pt>
                <c:pt idx="497">
                  <c:v>62.713205885365667</c:v>
                </c:pt>
                <c:pt idx="498">
                  <c:v>62.835754904973513</c:v>
                </c:pt>
                <c:pt idx="499">
                  <c:v>62.947988350540292</c:v>
                </c:pt>
                <c:pt idx="500">
                  <c:v>63.05150801927735</c:v>
                </c:pt>
                <c:pt idx="501">
                  <c:v>63.147569498624129</c:v>
                </c:pt>
                <c:pt idx="502">
                  <c:v>63.235211917554892</c:v>
                </c:pt>
                <c:pt idx="503">
                  <c:v>63.315792094831281</c:v>
                </c:pt>
                <c:pt idx="504">
                  <c:v>63.390363310342096</c:v>
                </c:pt>
                <c:pt idx="505">
                  <c:v>63.464934525852911</c:v>
                </c:pt>
                <c:pt idx="506">
                  <c:v>63.539505741363726</c:v>
                </c:pt>
                <c:pt idx="507">
                  <c:v>63.614076956874541</c:v>
                </c:pt>
                <c:pt idx="508">
                  <c:v>63.688648172385356</c:v>
                </c:pt>
                <c:pt idx="509">
                  <c:v>63.763219387896171</c:v>
                </c:pt>
                <c:pt idx="510">
                  <c:v>63.837790603406987</c:v>
                </c:pt>
                <c:pt idx="511">
                  <c:v>63.912361818917802</c:v>
                </c:pt>
                <c:pt idx="512">
                  <c:v>63.986933034428617</c:v>
                </c:pt>
                <c:pt idx="513">
                  <c:v>64.061504249939432</c:v>
                </c:pt>
                <c:pt idx="514">
                  <c:v>64.136075465450247</c:v>
                </c:pt>
                <c:pt idx="515">
                  <c:v>64.210646680961062</c:v>
                </c:pt>
                <c:pt idx="516">
                  <c:v>64.285217896471877</c:v>
                </c:pt>
                <c:pt idx="517">
                  <c:v>64.359789111982693</c:v>
                </c:pt>
                <c:pt idx="518">
                  <c:v>64.434360327493508</c:v>
                </c:pt>
                <c:pt idx="519">
                  <c:v>64.508931543004323</c:v>
                </c:pt>
                <c:pt idx="520">
                  <c:v>64.583502758515138</c:v>
                </c:pt>
                <c:pt idx="521">
                  <c:v>64.658073974025953</c:v>
                </c:pt>
                <c:pt idx="522">
                  <c:v>64.732645189536768</c:v>
                </c:pt>
                <c:pt idx="523">
                  <c:v>64.807216405047583</c:v>
                </c:pt>
                <c:pt idx="524">
                  <c:v>64.881787620558399</c:v>
                </c:pt>
                <c:pt idx="525">
                  <c:v>64.956358836069214</c:v>
                </c:pt>
                <c:pt idx="526">
                  <c:v>65.030930051580029</c:v>
                </c:pt>
                <c:pt idx="527">
                  <c:v>65.109918993128218</c:v>
                </c:pt>
                <c:pt idx="528">
                  <c:v>65.193882049383461</c:v>
                </c:pt>
                <c:pt idx="529">
                  <c:v>65.283487784150481</c:v>
                </c:pt>
                <c:pt idx="530">
                  <c:v>65.379549263497267</c:v>
                </c:pt>
                <c:pt idx="531">
                  <c:v>65.483068932234332</c:v>
                </c:pt>
                <c:pt idx="532">
                  <c:v>65.595302377801104</c:v>
                </c:pt>
                <c:pt idx="533">
                  <c:v>65.71785139740895</c:v>
                </c:pt>
                <c:pt idx="534">
                  <c:v>65.852804163940661</c:v>
                </c:pt>
                <c:pt idx="535">
                  <c:v>66.002954314090815</c:v>
                </c:pt>
                <c:pt idx="536">
                  <c:v>66.172159051823471</c:v>
                </c:pt>
                <c:pt idx="537">
                  <c:v>66.341363789556127</c:v>
                </c:pt>
                <c:pt idx="538">
                  <c:v>66.510568527288783</c:v>
                </c:pt>
                <c:pt idx="539">
                  <c:v>66.679773265021439</c:v>
                </c:pt>
                <c:pt idx="540">
                  <c:v>66.848978002754095</c:v>
                </c:pt>
                <c:pt idx="541">
                  <c:v>67.018182740486751</c:v>
                </c:pt>
                <c:pt idx="542">
                  <c:v>67.187387478219406</c:v>
                </c:pt>
                <c:pt idx="543">
                  <c:v>67.356592215952062</c:v>
                </c:pt>
                <c:pt idx="544">
                  <c:v>67.506742366102216</c:v>
                </c:pt>
                <c:pt idx="545">
                  <c:v>67.641695132633927</c:v>
                </c:pt>
                <c:pt idx="546">
                  <c:v>67.764244152241773</c:v>
                </c:pt>
                <c:pt idx="547">
                  <c:v>67.876477597808545</c:v>
                </c:pt>
                <c:pt idx="548">
                  <c:v>67.97999726654561</c:v>
                </c:pt>
                <c:pt idx="549">
                  <c:v>68.076058745892396</c:v>
                </c:pt>
                <c:pt idx="550">
                  <c:v>68.163701164823152</c:v>
                </c:pt>
                <c:pt idx="551">
                  <c:v>68.244281342099541</c:v>
                </c:pt>
                <c:pt idx="552">
                  <c:v>68.318852557610356</c:v>
                </c:pt>
                <c:pt idx="553">
                  <c:v>68.393423773121171</c:v>
                </c:pt>
                <c:pt idx="554">
                  <c:v>68.467994988631986</c:v>
                </c:pt>
                <c:pt idx="555">
                  <c:v>68.542566204142801</c:v>
                </c:pt>
                <c:pt idx="556">
                  <c:v>68.617137419653616</c:v>
                </c:pt>
                <c:pt idx="557">
                  <c:v>68.691708635164431</c:v>
                </c:pt>
                <c:pt idx="558">
                  <c:v>68.766279850675247</c:v>
                </c:pt>
                <c:pt idx="559">
                  <c:v>68.845268792223436</c:v>
                </c:pt>
                <c:pt idx="560">
                  <c:v>68.929231848478679</c:v>
                </c:pt>
                <c:pt idx="561">
                  <c:v>69.018837583245698</c:v>
                </c:pt>
                <c:pt idx="562">
                  <c:v>69.114899062592485</c:v>
                </c:pt>
                <c:pt idx="563">
                  <c:v>69.21841873132955</c:v>
                </c:pt>
                <c:pt idx="564">
                  <c:v>69.330652176896322</c:v>
                </c:pt>
                <c:pt idx="565">
                  <c:v>69.453201196504168</c:v>
                </c:pt>
                <c:pt idx="566">
                  <c:v>69.588153963035879</c:v>
                </c:pt>
                <c:pt idx="567">
                  <c:v>69.738304113186032</c:v>
                </c:pt>
                <c:pt idx="568">
                  <c:v>69.907508850918688</c:v>
                </c:pt>
                <c:pt idx="569">
                  <c:v>70.10130730053109</c:v>
                </c:pt>
                <c:pt idx="570">
                  <c:v>70.328064670145608</c:v>
                </c:pt>
                <c:pt idx="571">
                  <c:v>70.60128871386145</c:v>
                </c:pt>
                <c:pt idx="572">
                  <c:v>70.944931325545298</c:v>
                </c:pt>
                <c:pt idx="573">
                  <c:v>71.288573937229145</c:v>
                </c:pt>
                <c:pt idx="574">
                  <c:v>71.632216548912993</c:v>
                </c:pt>
                <c:pt idx="575">
                  <c:v>71.975859160596841</c:v>
                </c:pt>
                <c:pt idx="576">
                  <c:v>72.319501772280688</c:v>
                </c:pt>
                <c:pt idx="577">
                  <c:v>72.663144383964536</c:v>
                </c:pt>
                <c:pt idx="578">
                  <c:v>73.006786995648383</c:v>
                </c:pt>
                <c:pt idx="579">
                  <c:v>73.350429607332231</c:v>
                </c:pt>
                <c:pt idx="580">
                  <c:v>73.694072219016078</c:v>
                </c:pt>
                <c:pt idx="581">
                  <c:v>74.037714830699926</c:v>
                </c:pt>
                <c:pt idx="582">
                  <c:v>74.381357442383774</c:v>
                </c:pt>
                <c:pt idx="583">
                  <c:v>74.725000054067621</c:v>
                </c:pt>
                <c:pt idx="584">
                  <c:v>75.036526533818403</c:v>
                </c:pt>
                <c:pt idx="585">
                  <c:v>75.321426818718692</c:v>
                </c:pt>
                <c:pt idx="586">
                  <c:v>75.583894010319739</c:v>
                </c:pt>
                <c:pt idx="587">
                  <c:v>75.827203012752832</c:v>
                </c:pt>
                <c:pt idx="588">
                  <c:v>76.05396038236735</c:v>
                </c:pt>
                <c:pt idx="589">
                  <c:v>76.266274607420428</c:v>
                </c:pt>
                <c:pt idx="590">
                  <c:v>76.465875405823624</c:v>
                </c:pt>
                <c:pt idx="591">
                  <c:v>76.654199322961105</c:v>
                </c:pt>
                <c:pt idx="592">
                  <c:v>76.819215824611277</c:v>
                </c:pt>
                <c:pt idx="593">
                  <c:v>76.966058702731686</c:v>
                </c:pt>
                <c:pt idx="594">
                  <c:v>77.098333835006812</c:v>
                </c:pt>
                <c:pt idx="595">
                  <c:v>77.218670778448455</c:v>
                </c:pt>
                <c:pt idx="596">
                  <c:v>77.329046054386652</c:v>
                </c:pt>
                <c:pt idx="597">
                  <c:v>77.430982853571152</c:v>
                </c:pt>
                <c:pt idx="598">
                  <c:v>77.525679823268121</c:v>
                </c:pt>
                <c:pt idx="599">
                  <c:v>77.614097153064762</c:v>
                </c:pt>
                <c:pt idx="600">
                  <c:v>77.697015892699923</c:v>
                </c:pt>
                <c:pt idx="601">
                  <c:v>77.775079905190168</c:v>
                </c:pt>
                <c:pt idx="602">
                  <c:v>77.849651120700983</c:v>
                </c:pt>
                <c:pt idx="603">
                  <c:v>77.924222336211798</c:v>
                </c:pt>
                <c:pt idx="604">
                  <c:v>77.998793551722613</c:v>
                </c:pt>
                <c:pt idx="605">
                  <c:v>78.073364767233429</c:v>
                </c:pt>
                <c:pt idx="606">
                  <c:v>78.147935982744244</c:v>
                </c:pt>
                <c:pt idx="607">
                  <c:v>78.222507198255059</c:v>
                </c:pt>
                <c:pt idx="608">
                  <c:v>78.302507198255057</c:v>
                </c:pt>
                <c:pt idx="609">
                  <c:v>78.385840531588386</c:v>
                </c:pt>
                <c:pt idx="610">
                  <c:v>78.469173864921714</c:v>
                </c:pt>
                <c:pt idx="611">
                  <c:v>78.549173864921713</c:v>
                </c:pt>
                <c:pt idx="612">
                  <c:v>78.626096941844793</c:v>
                </c:pt>
                <c:pt idx="613">
                  <c:v>78.700668157355608</c:v>
                </c:pt>
                <c:pt idx="614">
                  <c:v>78.775239372866423</c:v>
                </c:pt>
                <c:pt idx="615">
                  <c:v>78.849810588377238</c:v>
                </c:pt>
                <c:pt idx="616">
                  <c:v>78.924381803888053</c:v>
                </c:pt>
                <c:pt idx="617">
                  <c:v>78.998953019398868</c:v>
                </c:pt>
                <c:pt idx="618">
                  <c:v>79.073524234909684</c:v>
                </c:pt>
                <c:pt idx="619">
                  <c:v>79.148095450420499</c:v>
                </c:pt>
                <c:pt idx="620">
                  <c:v>79.222666665931314</c:v>
                </c:pt>
                <c:pt idx="621">
                  <c:v>79.297237881442129</c:v>
                </c:pt>
                <c:pt idx="622">
                  <c:v>79.371809096952944</c:v>
                </c:pt>
                <c:pt idx="623">
                  <c:v>79.446380312463759</c:v>
                </c:pt>
                <c:pt idx="624">
                  <c:v>79.520951527974574</c:v>
                </c:pt>
                <c:pt idx="625">
                  <c:v>79.59552274348539</c:v>
                </c:pt>
                <c:pt idx="626">
                  <c:v>79.670093958996205</c:v>
                </c:pt>
                <c:pt idx="627">
                  <c:v>79.74466517450702</c:v>
                </c:pt>
                <c:pt idx="628">
                  <c:v>79.819236390017835</c:v>
                </c:pt>
                <c:pt idx="629">
                  <c:v>79.89380760552865</c:v>
                </c:pt>
                <c:pt idx="630">
                  <c:v>79.968378821039465</c:v>
                </c:pt>
                <c:pt idx="631">
                  <c:v>80.04295003655028</c:v>
                </c:pt>
                <c:pt idx="632">
                  <c:v>80.117521252061096</c:v>
                </c:pt>
                <c:pt idx="633">
                  <c:v>80.192092467571911</c:v>
                </c:pt>
                <c:pt idx="634">
                  <c:v>80.266663683082726</c:v>
                </c:pt>
                <c:pt idx="635">
                  <c:v>80.341234898593541</c:v>
                </c:pt>
                <c:pt idx="636">
                  <c:v>80.415806114104356</c:v>
                </c:pt>
                <c:pt idx="637">
                  <c:v>80.490377329615171</c:v>
                </c:pt>
                <c:pt idx="638">
                  <c:v>80.564948545125986</c:v>
                </c:pt>
                <c:pt idx="639">
                  <c:v>80.639519760636801</c:v>
                </c:pt>
                <c:pt idx="640">
                  <c:v>80.714090976147617</c:v>
                </c:pt>
                <c:pt idx="641">
                  <c:v>80.788662191658432</c:v>
                </c:pt>
                <c:pt idx="642">
                  <c:v>80.863233407169247</c:v>
                </c:pt>
                <c:pt idx="643">
                  <c:v>80.937804622680062</c:v>
                </c:pt>
                <c:pt idx="644">
                  <c:v>81.012375838190877</c:v>
                </c:pt>
                <c:pt idx="645">
                  <c:v>81.086947053701692</c:v>
                </c:pt>
                <c:pt idx="646">
                  <c:v>81.161518269212507</c:v>
                </c:pt>
                <c:pt idx="647">
                  <c:v>81.236089484723323</c:v>
                </c:pt>
                <c:pt idx="648">
                  <c:v>81.310660700234138</c:v>
                </c:pt>
                <c:pt idx="649">
                  <c:v>81.385231915744953</c:v>
                </c:pt>
                <c:pt idx="650">
                  <c:v>81.459803131255768</c:v>
                </c:pt>
                <c:pt idx="651">
                  <c:v>81.534374346766583</c:v>
                </c:pt>
                <c:pt idx="652">
                  <c:v>81.608945562277398</c:v>
                </c:pt>
                <c:pt idx="653">
                  <c:v>81.683516777788213</c:v>
                </c:pt>
                <c:pt idx="654">
                  <c:v>81.758087993299029</c:v>
                </c:pt>
                <c:pt idx="655">
                  <c:v>81.832659208809844</c:v>
                </c:pt>
                <c:pt idx="656">
                  <c:v>81.907230424320659</c:v>
                </c:pt>
                <c:pt idx="657">
                  <c:v>81.981801639831474</c:v>
                </c:pt>
                <c:pt idx="658">
                  <c:v>82.056372855342289</c:v>
                </c:pt>
                <c:pt idx="659">
                  <c:v>82.130944070853104</c:v>
                </c:pt>
                <c:pt idx="660">
                  <c:v>82.205515286363919</c:v>
                </c:pt>
                <c:pt idx="661">
                  <c:v>82.280086501874734</c:v>
                </c:pt>
                <c:pt idx="662">
                  <c:v>82.35465771738555</c:v>
                </c:pt>
                <c:pt idx="663">
                  <c:v>82.429228932896365</c:v>
                </c:pt>
                <c:pt idx="664">
                  <c:v>82.50380014840718</c:v>
                </c:pt>
                <c:pt idx="665">
                  <c:v>82.578371363917995</c:v>
                </c:pt>
                <c:pt idx="666">
                  <c:v>82.65294257942881</c:v>
                </c:pt>
                <c:pt idx="667">
                  <c:v>82.727513794939625</c:v>
                </c:pt>
                <c:pt idx="668">
                  <c:v>82.80208501045044</c:v>
                </c:pt>
                <c:pt idx="669">
                  <c:v>82.876656225961256</c:v>
                </c:pt>
                <c:pt idx="670">
                  <c:v>82.951227441472071</c:v>
                </c:pt>
                <c:pt idx="671">
                  <c:v>83.025798656982886</c:v>
                </c:pt>
                <c:pt idx="672">
                  <c:v>83.100369872493701</c:v>
                </c:pt>
                <c:pt idx="673">
                  <c:v>83.174941088004516</c:v>
                </c:pt>
                <c:pt idx="674">
                  <c:v>83.249512303515331</c:v>
                </c:pt>
                <c:pt idx="675">
                  <c:v>83.324083519026146</c:v>
                </c:pt>
                <c:pt idx="676">
                  <c:v>83.398654734536962</c:v>
                </c:pt>
                <c:pt idx="677">
                  <c:v>83.473225950047777</c:v>
                </c:pt>
                <c:pt idx="678">
                  <c:v>83.547797165558592</c:v>
                </c:pt>
                <c:pt idx="679">
                  <c:v>83.622368381069407</c:v>
                </c:pt>
                <c:pt idx="680">
                  <c:v>83.696939596580222</c:v>
                </c:pt>
                <c:pt idx="681">
                  <c:v>83.771510812091037</c:v>
                </c:pt>
                <c:pt idx="682">
                  <c:v>83.846082027601852</c:v>
                </c:pt>
                <c:pt idx="683">
                  <c:v>83.920653243112667</c:v>
                </c:pt>
                <c:pt idx="684">
                  <c:v>83.995224458623483</c:v>
                </c:pt>
                <c:pt idx="685">
                  <c:v>84.069795674134298</c:v>
                </c:pt>
                <c:pt idx="686">
                  <c:v>84.144366889645113</c:v>
                </c:pt>
                <c:pt idx="687">
                  <c:v>84.218938105155928</c:v>
                </c:pt>
                <c:pt idx="688">
                  <c:v>84.293509320666743</c:v>
                </c:pt>
                <c:pt idx="689">
                  <c:v>84.368080536177558</c:v>
                </c:pt>
                <c:pt idx="690">
                  <c:v>84.445539870027289</c:v>
                </c:pt>
                <c:pt idx="691">
                  <c:v>84.526120047303678</c:v>
                </c:pt>
                <c:pt idx="692">
                  <c:v>84.610083103558921</c:v>
                </c:pt>
                <c:pt idx="693">
                  <c:v>84.697725522489677</c:v>
                </c:pt>
                <c:pt idx="694">
                  <c:v>84.789384550903975</c:v>
                </c:pt>
                <c:pt idx="695">
                  <c:v>84.885446030250762</c:v>
                </c:pt>
                <c:pt idx="696">
                  <c:v>84.986354203812823</c:v>
                </c:pt>
                <c:pt idx="697">
                  <c:v>85.092624129423882</c:v>
                </c:pt>
                <c:pt idx="698">
                  <c:v>85.204857574990655</c:v>
                </c:pt>
                <c:pt idx="699">
                  <c:v>85.323763639199925</c:v>
                </c:pt>
                <c:pt idx="700">
                  <c:v>85.450185889515978</c:v>
                </c:pt>
                <c:pt idx="701">
                  <c:v>85.58513865604769</c:v>
                </c:pt>
                <c:pt idx="702">
                  <c:v>85.729856456337131</c:v>
                </c:pt>
                <c:pt idx="703">
                  <c:v>85.885862696586742</c:v>
                </c:pt>
                <c:pt idx="704">
                  <c:v>86.055067434319398</c:v>
                </c:pt>
                <c:pt idx="705">
                  <c:v>86.239910317868379</c:v>
                </c:pt>
                <c:pt idx="706">
                  <c:v>86.443576305648421</c:v>
                </c:pt>
                <c:pt idx="707">
                  <c:v>86.670333675262938</c:v>
                </c:pt>
                <c:pt idx="708">
                  <c:v>86.926088150966265</c:v>
                </c:pt>
                <c:pt idx="709">
                  <c:v>87.219343282931078</c:v>
                </c:pt>
                <c:pt idx="710">
                  <c:v>87.562985894614926</c:v>
                </c:pt>
                <c:pt idx="711">
                  <c:v>87.977923653951024</c:v>
                </c:pt>
                <c:pt idx="712">
                  <c:v>88.392861413287122</c:v>
                </c:pt>
                <c:pt idx="713">
                  <c:v>88.80779917262322</c:v>
                </c:pt>
                <c:pt idx="714">
                  <c:v>89.222736931959318</c:v>
                </c:pt>
                <c:pt idx="715">
                  <c:v>89.637674691295416</c:v>
                </c:pt>
                <c:pt idx="716">
                  <c:v>90.052612450631514</c:v>
                </c:pt>
                <c:pt idx="717">
                  <c:v>90.467550209967612</c:v>
                </c:pt>
                <c:pt idx="718">
                  <c:v>90.88248796930371</c:v>
                </c:pt>
                <c:pt idx="719">
                  <c:v>91.297425728639809</c:v>
                </c:pt>
                <c:pt idx="720">
                  <c:v>91.712363487975907</c:v>
                </c:pt>
                <c:pt idx="721">
                  <c:v>92.127301247312005</c:v>
                </c:pt>
                <c:pt idx="722">
                  <c:v>92.542239006648103</c:v>
                </c:pt>
                <c:pt idx="723">
                  <c:v>92.911242696685008</c:v>
                </c:pt>
                <c:pt idx="724">
                  <c:v>93.243468610306266</c:v>
                </c:pt>
                <c:pt idx="725">
                  <c:v>93.545583413931638</c:v>
                </c:pt>
                <c:pt idx="726">
                  <c:v>93.822591724180938</c:v>
                </c:pt>
                <c:pt idx="727">
                  <c:v>94.078346199884265</c:v>
                </c:pt>
                <c:pt idx="728">
                  <c:v>94.315875891095672</c:v>
                </c:pt>
                <c:pt idx="729">
                  <c:v>94.537605381117842</c:v>
                </c:pt>
                <c:pt idx="730">
                  <c:v>94.745505589018052</c:v>
                </c:pt>
                <c:pt idx="731">
                  <c:v>94.941200305260708</c:v>
                </c:pt>
                <c:pt idx="732">
                  <c:v>95.126043188809689</c:v>
                </c:pt>
                <c:pt idx="733">
                  <c:v>95.301174537321074</c:v>
                </c:pt>
                <c:pt idx="734">
                  <c:v>95.467563888402609</c:v>
                </c:pt>
                <c:pt idx="735">
                  <c:v>95.615492882485455</c:v>
                </c:pt>
                <c:pt idx="736">
                  <c:v>95.748648674762421</c:v>
                </c:pt>
                <c:pt idx="737">
                  <c:v>95.869714050065085</c:v>
                </c:pt>
                <c:pt idx="738">
                  <c:v>95.980701841408035</c:v>
                </c:pt>
                <c:pt idx="739">
                  <c:v>96.083160857801474</c:v>
                </c:pt>
                <c:pt idx="740">
                  <c:v>96.178308336393286</c:v>
                </c:pt>
                <c:pt idx="741">
                  <c:v>96.267118283107322</c:v>
                </c:pt>
                <c:pt idx="742">
                  <c:v>96.348684351622822</c:v>
                </c:pt>
                <c:pt idx="743">
                  <c:v>96.424099132919963</c:v>
                </c:pt>
                <c:pt idx="744">
                  <c:v>96.498670348430778</c:v>
                </c:pt>
                <c:pt idx="745">
                  <c:v>96.573241563941593</c:v>
                </c:pt>
                <c:pt idx="746">
                  <c:v>96.647812779452408</c:v>
                </c:pt>
                <c:pt idx="747">
                  <c:v>96.722383994963224</c:v>
                </c:pt>
                <c:pt idx="748">
                  <c:v>96.796955210474039</c:v>
                </c:pt>
                <c:pt idx="749">
                  <c:v>96.871526425984854</c:v>
                </c:pt>
                <c:pt idx="750">
                  <c:v>96.946097641495669</c:v>
                </c:pt>
                <c:pt idx="751">
                  <c:v>97.020668857006484</c:v>
                </c:pt>
                <c:pt idx="752">
                  <c:v>97.095240072517299</c:v>
                </c:pt>
                <c:pt idx="753">
                  <c:v>97.169811288028114</c:v>
                </c:pt>
                <c:pt idx="754">
                  <c:v>97.24438250353893</c:v>
                </c:pt>
                <c:pt idx="755">
                  <c:v>97.321841837388661</c:v>
                </c:pt>
                <c:pt idx="756">
                  <c:v>97.402422014665049</c:v>
                </c:pt>
                <c:pt idx="757">
                  <c:v>97.486385070920292</c:v>
                </c:pt>
                <c:pt idx="758">
                  <c:v>97.574027489851048</c:v>
                </c:pt>
                <c:pt idx="759">
                  <c:v>97.665686518265346</c:v>
                </c:pt>
                <c:pt idx="760">
                  <c:v>97.761747997612133</c:v>
                </c:pt>
                <c:pt idx="761">
                  <c:v>97.862656171174194</c:v>
                </c:pt>
                <c:pt idx="762">
                  <c:v>97.968926096785253</c:v>
                </c:pt>
                <c:pt idx="763">
                  <c:v>98.081159542352026</c:v>
                </c:pt>
                <c:pt idx="764">
                  <c:v>98.200065606561296</c:v>
                </c:pt>
                <c:pt idx="765">
                  <c:v>98.32648785687735</c:v>
                </c:pt>
                <c:pt idx="766">
                  <c:v>98.461440623409061</c:v>
                </c:pt>
                <c:pt idx="767">
                  <c:v>98.606158423698503</c:v>
                </c:pt>
                <c:pt idx="768">
                  <c:v>98.762164663948113</c:v>
                </c:pt>
                <c:pt idx="769">
                  <c:v>98.931369401680769</c:v>
                </c:pt>
                <c:pt idx="770">
                  <c:v>99.11621228522975</c:v>
                </c:pt>
                <c:pt idx="771">
                  <c:v>99.319878273009792</c:v>
                </c:pt>
                <c:pt idx="772">
                  <c:v>99.54663564262431</c:v>
                </c:pt>
                <c:pt idx="773">
                  <c:v>99.773393012238827</c:v>
                </c:pt>
                <c:pt idx="774">
                  <c:v>100.00015038185335</c:v>
                </c:pt>
                <c:pt idx="775">
                  <c:v>100.22690775146786</c:v>
                </c:pt>
                <c:pt idx="776">
                  <c:v>100.45366512108238</c:v>
                </c:pt>
                <c:pt idx="777">
                  <c:v>100.6804224906969</c:v>
                </c:pt>
                <c:pt idx="778">
                  <c:v>100.90717986031142</c:v>
                </c:pt>
                <c:pt idx="779">
                  <c:v>101.13393722992593</c:v>
                </c:pt>
                <c:pt idx="780">
                  <c:v>101.36069459954045</c:v>
                </c:pt>
                <c:pt idx="781">
                  <c:v>101.58745196915497</c:v>
                </c:pt>
                <c:pt idx="782">
                  <c:v>101.81420933876949</c:v>
                </c:pt>
                <c:pt idx="783">
                  <c:v>102.02652356382256</c:v>
                </c:pt>
                <c:pt idx="784">
                  <c:v>102.22612436222576</c:v>
                </c:pt>
                <c:pt idx="785">
                  <c:v>102.41444827936324</c:v>
                </c:pt>
                <c:pt idx="786">
                  <c:v>102.59270139879283</c:v>
                </c:pt>
                <c:pt idx="787">
                  <c:v>102.76190613652548</c:v>
                </c:pt>
                <c:pt idx="788">
                  <c:v>102.91093743309776</c:v>
                </c:pt>
                <c:pt idx="789">
                  <c:v>103.04409322537472</c:v>
                </c:pt>
                <c:pt idx="790">
                  <c:v>103.16443016881637</c:v>
                </c:pt>
                <c:pt idx="791">
                  <c:v>103.2741996528998</c:v>
                </c:pt>
                <c:pt idx="792">
                  <c:v>103.37510782646186</c:v>
                </c:pt>
                <c:pt idx="793">
                  <c:v>103.46847850806783</c:v>
                </c:pt>
                <c:pt idx="794">
                  <c:v>103.55535948113473</c:v>
                </c:pt>
                <c:pt idx="795">
                  <c:v>103.63659424961564</c:v>
                </c:pt>
                <c:pt idx="796">
                  <c:v>103.71287190026401</c:v>
                </c:pt>
                <c:pt idx="797">
                  <c:v>103.78744311577482</c:v>
                </c:pt>
                <c:pt idx="798">
                  <c:v>103.86201433128564</c:v>
                </c:pt>
                <c:pt idx="799">
                  <c:v>103.93658554679645</c:v>
                </c:pt>
                <c:pt idx="800">
                  <c:v>104.01115676230727</c:v>
                </c:pt>
                <c:pt idx="801">
                  <c:v>104.08572797781808</c:v>
                </c:pt>
                <c:pt idx="802">
                  <c:v>104.1602991933289</c:v>
                </c:pt>
                <c:pt idx="803">
                  <c:v>104.23487040883971</c:v>
                </c:pt>
                <c:pt idx="804">
                  <c:v>104.30944162435053</c:v>
                </c:pt>
                <c:pt idx="805">
                  <c:v>104.38401283986134</c:v>
                </c:pt>
                <c:pt idx="806">
                  <c:v>104.45858405537216</c:v>
                </c:pt>
                <c:pt idx="807">
                  <c:v>104.53315527088297</c:v>
                </c:pt>
                <c:pt idx="808">
                  <c:v>104.60772648639379</c:v>
                </c:pt>
                <c:pt idx="809">
                  <c:v>104.6822977019046</c:v>
                </c:pt>
                <c:pt idx="810">
                  <c:v>104.75686891741542</c:v>
                </c:pt>
                <c:pt idx="811">
                  <c:v>104.83144013292623</c:v>
                </c:pt>
                <c:pt idx="812">
                  <c:v>104.90601134843705</c:v>
                </c:pt>
                <c:pt idx="813">
                  <c:v>104.98058256394786</c:v>
                </c:pt>
                <c:pt idx="814">
                  <c:v>105.05515377945868</c:v>
                </c:pt>
                <c:pt idx="815">
                  <c:v>105.12972499496949</c:v>
                </c:pt>
                <c:pt idx="816">
                  <c:v>105.20429621048031</c:v>
                </c:pt>
                <c:pt idx="817">
                  <c:v>105.27886742599112</c:v>
                </c:pt>
                <c:pt idx="818">
                  <c:v>105.35343864150194</c:v>
                </c:pt>
                <c:pt idx="819">
                  <c:v>105.42800985701275</c:v>
                </c:pt>
                <c:pt idx="820">
                  <c:v>105.50258107252357</c:v>
                </c:pt>
                <c:pt idx="821">
                  <c:v>105.5800404063733</c:v>
                </c:pt>
                <c:pt idx="822">
                  <c:v>105.66062058364969</c:v>
                </c:pt>
                <c:pt idx="823">
                  <c:v>105.74458363990493</c:v>
                </c:pt>
                <c:pt idx="824">
                  <c:v>105.83222605883569</c:v>
                </c:pt>
                <c:pt idx="825">
                  <c:v>105.92388508724999</c:v>
                </c:pt>
                <c:pt idx="826">
                  <c:v>106.01994656659677</c:v>
                </c:pt>
                <c:pt idx="827">
                  <c:v>106.12085474015883</c:v>
                </c:pt>
                <c:pt idx="828">
                  <c:v>106.22712466576989</c:v>
                </c:pt>
                <c:pt idx="829">
                  <c:v>106.33935811133667</c:v>
                </c:pt>
                <c:pt idx="830">
                  <c:v>106.45826417554593</c:v>
                </c:pt>
                <c:pt idx="831">
                  <c:v>106.58468642586199</c:v>
                </c:pt>
                <c:pt idx="832">
                  <c:v>106.7196391923937</c:v>
                </c:pt>
                <c:pt idx="833">
                  <c:v>106.86435699268314</c:v>
                </c:pt>
                <c:pt idx="834">
                  <c:v>107.02036323293275</c:v>
                </c:pt>
                <c:pt idx="835">
                  <c:v>107.18956797066541</c:v>
                </c:pt>
                <c:pt idx="836">
                  <c:v>107.37441085421439</c:v>
                </c:pt>
                <c:pt idx="837">
                  <c:v>107.55925373776337</c:v>
                </c:pt>
                <c:pt idx="838">
                  <c:v>107.74409662131235</c:v>
                </c:pt>
                <c:pt idx="839">
                  <c:v>107.92893950486133</c:v>
                </c:pt>
                <c:pt idx="840">
                  <c:v>108.11378238841031</c:v>
                </c:pt>
                <c:pt idx="841">
                  <c:v>108.2986252719593</c:v>
                </c:pt>
                <c:pt idx="842">
                  <c:v>108.48346815550828</c:v>
                </c:pt>
                <c:pt idx="843">
                  <c:v>108.66831103905726</c:v>
                </c:pt>
                <c:pt idx="844">
                  <c:v>108.85315392260624</c:v>
                </c:pt>
                <c:pt idx="845">
                  <c:v>109.03799680615522</c:v>
                </c:pt>
                <c:pt idx="846">
                  <c:v>109.2228396897042</c:v>
                </c:pt>
                <c:pt idx="847">
                  <c:v>109.40768257325318</c:v>
                </c:pt>
                <c:pt idx="848">
                  <c:v>109.59252545680216</c:v>
                </c:pt>
                <c:pt idx="849">
                  <c:v>109.77736834035115</c:v>
                </c:pt>
                <c:pt idx="850">
                  <c:v>109.96221122390013</c:v>
                </c:pt>
                <c:pt idx="851">
                  <c:v>110.14705410744911</c:v>
                </c:pt>
                <c:pt idx="852">
                  <c:v>110.33189699099809</c:v>
                </c:pt>
                <c:pt idx="853">
                  <c:v>110.51673987454707</c:v>
                </c:pt>
                <c:pt idx="854">
                  <c:v>110.70158275809605</c:v>
                </c:pt>
                <c:pt idx="855">
                  <c:v>110.88642564164503</c:v>
                </c:pt>
                <c:pt idx="856">
                  <c:v>111.07126852519401</c:v>
                </c:pt>
                <c:pt idx="857">
                  <c:v>111.256111408743</c:v>
                </c:pt>
                <c:pt idx="858">
                  <c:v>111.43124275725438</c:v>
                </c:pt>
                <c:pt idx="859">
                  <c:v>111.59763210833592</c:v>
                </c:pt>
                <c:pt idx="860">
                  <c:v>111.75611071372418</c:v>
                </c:pt>
                <c:pt idx="861">
                  <c:v>111.90739664413266</c:v>
                </c:pt>
                <c:pt idx="862">
                  <c:v>112.0521144444221</c:v>
                </c:pt>
                <c:pt idx="863">
                  <c:v>112.19081069962321</c:v>
                </c:pt>
                <c:pt idx="864">
                  <c:v>112.32396649190018</c:v>
                </c:pt>
                <c:pt idx="865">
                  <c:v>112.45200746501158</c:v>
                </c:pt>
                <c:pt idx="866">
                  <c:v>112.57531202728038</c:v>
                </c:pt>
                <c:pt idx="867">
                  <c:v>112.69421809148965</c:v>
                </c:pt>
                <c:pt idx="868">
                  <c:v>112.80902865406141</c:v>
                </c:pt>
                <c:pt idx="869">
                  <c:v>112.92001644540436</c:v>
                </c:pt>
                <c:pt idx="870">
                  <c:v>113.02742783101124</c:v>
                </c:pt>
                <c:pt idx="871">
                  <c:v>113.13148610364391</c:v>
                </c:pt>
                <c:pt idx="872">
                  <c:v>113.23239427720597</c:v>
                </c:pt>
                <c:pt idx="873">
                  <c:v>113.33033747015406</c:v>
                </c:pt>
                <c:pt idx="874">
                  <c:v>113.42828066310216</c:v>
                </c:pt>
                <c:pt idx="875">
                  <c:v>113.52622385605025</c:v>
                </c:pt>
                <c:pt idx="876">
                  <c:v>113.62416704899834</c:v>
                </c:pt>
                <c:pt idx="877">
                  <c:v>113.72211024194644</c:v>
                </c:pt>
                <c:pt idx="878">
                  <c:v>113.82005343489453</c:v>
                </c:pt>
                <c:pt idx="879">
                  <c:v>113.91799662784263</c:v>
                </c:pt>
                <c:pt idx="880">
                  <c:v>114.01593982079072</c:v>
                </c:pt>
                <c:pt idx="881">
                  <c:v>114.11388301373881</c:v>
                </c:pt>
                <c:pt idx="882">
                  <c:v>114.21182620668691</c:v>
                </c:pt>
                <c:pt idx="883">
                  <c:v>114.309769399635</c:v>
                </c:pt>
                <c:pt idx="884">
                  <c:v>114.4077125925831</c:v>
                </c:pt>
                <c:pt idx="885">
                  <c:v>114.50565578553119</c:v>
                </c:pt>
                <c:pt idx="886">
                  <c:v>114.60359897847928</c:v>
                </c:pt>
                <c:pt idx="887">
                  <c:v>114.70154217142738</c:v>
                </c:pt>
                <c:pt idx="888">
                  <c:v>114.79948536437547</c:v>
                </c:pt>
                <c:pt idx="889">
                  <c:v>114.89742855732356</c:v>
                </c:pt>
                <c:pt idx="890">
                  <c:v>114.99537175027166</c:v>
                </c:pt>
                <c:pt idx="891">
                  <c:v>115.09331494321975</c:v>
                </c:pt>
                <c:pt idx="892">
                  <c:v>115.19125813616785</c:v>
                </c:pt>
                <c:pt idx="893">
                  <c:v>115.28920132911594</c:v>
                </c:pt>
                <c:pt idx="894">
                  <c:v>115.38714452206403</c:v>
                </c:pt>
                <c:pt idx="895">
                  <c:v>115.48508771501213</c:v>
                </c:pt>
                <c:pt idx="896">
                  <c:v>115.58303090796022</c:v>
                </c:pt>
                <c:pt idx="897">
                  <c:v>115.68097410090832</c:v>
                </c:pt>
                <c:pt idx="898">
                  <c:v>115.77891729385641</c:v>
                </c:pt>
                <c:pt idx="899">
                  <c:v>115.8768604868045</c:v>
                </c:pt>
                <c:pt idx="900">
                  <c:v>115.9748036797526</c:v>
                </c:pt>
                <c:pt idx="901">
                  <c:v>116.07274687270069</c:v>
                </c:pt>
                <c:pt idx="902">
                  <c:v>116.17069006564878</c:v>
                </c:pt>
                <c:pt idx="903">
                  <c:v>116.26863325859688</c:v>
                </c:pt>
                <c:pt idx="904">
                  <c:v>116.36657645154497</c:v>
                </c:pt>
                <c:pt idx="905">
                  <c:v>116.46451964449307</c:v>
                </c:pt>
                <c:pt idx="906">
                  <c:v>116.56246283744116</c:v>
                </c:pt>
                <c:pt idx="907">
                  <c:v>116.66040603038925</c:v>
                </c:pt>
                <c:pt idx="908">
                  <c:v>116.75834922333735</c:v>
                </c:pt>
                <c:pt idx="909">
                  <c:v>116.85629241628544</c:v>
                </c:pt>
                <c:pt idx="910">
                  <c:v>116.95423560923354</c:v>
                </c:pt>
                <c:pt idx="911">
                  <c:v>117.05217880218163</c:v>
                </c:pt>
                <c:pt idx="912">
                  <c:v>117.15012199512972</c:v>
                </c:pt>
                <c:pt idx="913">
                  <c:v>117.24806518807782</c:v>
                </c:pt>
                <c:pt idx="914">
                  <c:v>117.34600838102591</c:v>
                </c:pt>
                <c:pt idx="915">
                  <c:v>117.443951573974</c:v>
                </c:pt>
                <c:pt idx="916">
                  <c:v>117.5418947669221</c:v>
                </c:pt>
                <c:pt idx="917">
                  <c:v>117.63983795987019</c:v>
                </c:pt>
                <c:pt idx="918">
                  <c:v>117.73778115281829</c:v>
                </c:pt>
                <c:pt idx="919">
                  <c:v>117.83572434576638</c:v>
                </c:pt>
                <c:pt idx="920">
                  <c:v>117.93366753871447</c:v>
                </c:pt>
                <c:pt idx="921">
                  <c:v>118.03161073166257</c:v>
                </c:pt>
                <c:pt idx="922">
                  <c:v>118.12955392461066</c:v>
                </c:pt>
                <c:pt idx="923">
                  <c:v>118.22749711755876</c:v>
                </c:pt>
                <c:pt idx="924">
                  <c:v>118.32544031050685</c:v>
                </c:pt>
                <c:pt idx="925">
                  <c:v>118.42338350345494</c:v>
                </c:pt>
                <c:pt idx="926">
                  <c:v>118.52132669640304</c:v>
                </c:pt>
                <c:pt idx="927">
                  <c:v>118.61926988935113</c:v>
                </c:pt>
                <c:pt idx="928">
                  <c:v>118.71721308229922</c:v>
                </c:pt>
                <c:pt idx="929">
                  <c:v>118.81515627524732</c:v>
                </c:pt>
                <c:pt idx="930">
                  <c:v>118.91309946819541</c:v>
                </c:pt>
                <c:pt idx="931">
                  <c:v>119.01104266114351</c:v>
                </c:pt>
                <c:pt idx="932">
                  <c:v>119.1089858540916</c:v>
                </c:pt>
                <c:pt idx="933">
                  <c:v>119.20692904703969</c:v>
                </c:pt>
                <c:pt idx="934">
                  <c:v>119.30487223998779</c:v>
                </c:pt>
                <c:pt idx="935">
                  <c:v>119.39824292159376</c:v>
                </c:pt>
                <c:pt idx="936">
                  <c:v>119.48744898760626</c:v>
                </c:pt>
                <c:pt idx="937">
                  <c:v>119.57284608410498</c:v>
                </c:pt>
                <c:pt idx="938">
                  <c:v>119.65474616600507</c:v>
                </c:pt>
                <c:pt idx="939">
                  <c:v>119.73342437214197</c:v>
                </c:pt>
                <c:pt idx="940">
                  <c:v>119.80912459924265</c:v>
                </c:pt>
                <c:pt idx="941">
                  <c:v>119.88369581475347</c:v>
                </c:pt>
                <c:pt idx="942">
                  <c:v>119.95826703026428</c:v>
                </c:pt>
                <c:pt idx="943">
                  <c:v>120.0328382457751</c:v>
                </c:pt>
                <c:pt idx="944">
                  <c:v>120.10740946128591</c:v>
                </c:pt>
                <c:pt idx="945">
                  <c:v>120.18198067679673</c:v>
                </c:pt>
                <c:pt idx="946">
                  <c:v>120.25655189230754</c:v>
                </c:pt>
                <c:pt idx="947">
                  <c:v>120.33112310781836</c:v>
                </c:pt>
                <c:pt idx="948">
                  <c:v>120.40569432332917</c:v>
                </c:pt>
                <c:pt idx="949">
                  <c:v>120.48026553883999</c:v>
                </c:pt>
                <c:pt idx="950">
                  <c:v>120.5548367543508</c:v>
                </c:pt>
                <c:pt idx="951">
                  <c:v>120.62940796986162</c:v>
                </c:pt>
                <c:pt idx="952">
                  <c:v>120.70397918537243</c:v>
                </c:pt>
                <c:pt idx="953">
                  <c:v>120.77855040088325</c:v>
                </c:pt>
                <c:pt idx="954">
                  <c:v>120.85312161639406</c:v>
                </c:pt>
                <c:pt idx="955">
                  <c:v>120.92769283190488</c:v>
                </c:pt>
                <c:pt idx="956">
                  <c:v>121.00226404741569</c:v>
                </c:pt>
                <c:pt idx="957">
                  <c:v>121.07683526292651</c:v>
                </c:pt>
                <c:pt idx="958">
                  <c:v>121.15140647843732</c:v>
                </c:pt>
                <c:pt idx="959">
                  <c:v>121.22597769394814</c:v>
                </c:pt>
                <c:pt idx="960">
                  <c:v>121.30054890945895</c:v>
                </c:pt>
                <c:pt idx="961">
                  <c:v>121.37512012496977</c:v>
                </c:pt>
                <c:pt idx="962">
                  <c:v>121.44969134048058</c:v>
                </c:pt>
                <c:pt idx="963">
                  <c:v>121.5242625559914</c:v>
                </c:pt>
                <c:pt idx="964">
                  <c:v>121.59883377150221</c:v>
                </c:pt>
                <c:pt idx="965">
                  <c:v>121.67340498701303</c:v>
                </c:pt>
                <c:pt idx="966">
                  <c:v>121.74797620252384</c:v>
                </c:pt>
                <c:pt idx="967">
                  <c:v>121.82254741803466</c:v>
                </c:pt>
                <c:pt idx="968">
                  <c:v>121.89711863354547</c:v>
                </c:pt>
                <c:pt idx="969">
                  <c:v>121.97168984905629</c:v>
                </c:pt>
                <c:pt idx="970">
                  <c:v>122.05067879060448</c:v>
                </c:pt>
                <c:pt idx="971">
                  <c:v>122.13464184685972</c:v>
                </c:pt>
                <c:pt idx="972">
                  <c:v>122.22424758162674</c:v>
                </c:pt>
                <c:pt idx="973">
                  <c:v>122.32030906097353</c:v>
                </c:pt>
                <c:pt idx="974">
                  <c:v>122.42382872971059</c:v>
                </c:pt>
                <c:pt idx="975">
                  <c:v>122.53606217527737</c:v>
                </c:pt>
                <c:pt idx="976">
                  <c:v>122.65861119488521</c:v>
                </c:pt>
                <c:pt idx="977">
                  <c:v>122.79356396141692</c:v>
                </c:pt>
                <c:pt idx="978">
                  <c:v>122.94371411156708</c:v>
                </c:pt>
                <c:pt idx="979">
                  <c:v>123.11291884929973</c:v>
                </c:pt>
                <c:pt idx="980">
                  <c:v>123.28212358703239</c:v>
                </c:pt>
                <c:pt idx="981">
                  <c:v>123.45132832476504</c:v>
                </c:pt>
                <c:pt idx="982">
                  <c:v>123.6205330624977</c:v>
                </c:pt>
                <c:pt idx="983">
                  <c:v>123.78973780023036</c:v>
                </c:pt>
                <c:pt idx="984">
                  <c:v>123.95894253796301</c:v>
                </c:pt>
                <c:pt idx="985">
                  <c:v>124.12814727569567</c:v>
                </c:pt>
                <c:pt idx="986">
                  <c:v>124.29735201342832</c:v>
                </c:pt>
                <c:pt idx="987">
                  <c:v>124.46655675116098</c:v>
                </c:pt>
                <c:pt idx="988">
                  <c:v>124.63576148889364</c:v>
                </c:pt>
                <c:pt idx="989">
                  <c:v>124.80496622662629</c:v>
                </c:pt>
                <c:pt idx="990">
                  <c:v>124.97417096435895</c:v>
                </c:pt>
                <c:pt idx="991">
                  <c:v>125.1433757020916</c:v>
                </c:pt>
                <c:pt idx="992">
                  <c:v>125.29352585224176</c:v>
                </c:pt>
                <c:pt idx="993">
                  <c:v>125.42847861877347</c:v>
                </c:pt>
                <c:pt idx="994">
                  <c:v>125.55102763838131</c:v>
                </c:pt>
                <c:pt idx="995">
                  <c:v>125.66326108394809</c:v>
                </c:pt>
                <c:pt idx="996">
                  <c:v>125.76678075268515</c:v>
                </c:pt>
                <c:pt idx="997">
                  <c:v>125.86284223203194</c:v>
                </c:pt>
                <c:pt idx="998">
                  <c:v>125.95244796679896</c:v>
                </c:pt>
                <c:pt idx="999">
                  <c:v>126.0364110230542</c:v>
                </c:pt>
                <c:pt idx="1000">
                  <c:v>126.11539996460239</c:v>
                </c:pt>
                <c:pt idx="1001">
                  <c:v>126.19936302085763</c:v>
                </c:pt>
                <c:pt idx="1002">
                  <c:v>126.28896875562465</c:v>
                </c:pt>
                <c:pt idx="1003">
                  <c:v>126.38503023497144</c:v>
                </c:pt>
                <c:pt idx="1004">
                  <c:v>126.4885499037085</c:v>
                </c:pt>
                <c:pt idx="1005">
                  <c:v>126.60078334927528</c:v>
                </c:pt>
                <c:pt idx="1006">
                  <c:v>126.72333236888312</c:v>
                </c:pt>
                <c:pt idx="1007">
                  <c:v>126.85828513541483</c:v>
                </c:pt>
                <c:pt idx="1008">
                  <c:v>127.00843528556499</c:v>
                </c:pt>
                <c:pt idx="1009">
                  <c:v>127.17764002329764</c:v>
                </c:pt>
                <c:pt idx="1010">
                  <c:v>127.37143847291004</c:v>
                </c:pt>
                <c:pt idx="1011">
                  <c:v>127.59819584252456</c:v>
                </c:pt>
                <c:pt idx="1012">
                  <c:v>127.8714198862404</c:v>
                </c:pt>
                <c:pt idx="1013">
                  <c:v>128.21506249792427</c:v>
                </c:pt>
                <c:pt idx="1014">
                  <c:v>128.55870510960813</c:v>
                </c:pt>
                <c:pt idx="1015">
                  <c:v>128.90234772129199</c:v>
                </c:pt>
                <c:pt idx="1016">
                  <c:v>129.24599033297585</c:v>
                </c:pt>
                <c:pt idx="1017">
                  <c:v>129.58963294465971</c:v>
                </c:pt>
                <c:pt idx="1018">
                  <c:v>129.93327555634357</c:v>
                </c:pt>
                <c:pt idx="1019">
                  <c:v>130.27691816802744</c:v>
                </c:pt>
                <c:pt idx="1020">
                  <c:v>130.55014221174329</c:v>
                </c:pt>
                <c:pt idx="1021">
                  <c:v>130.77689958135781</c:v>
                </c:pt>
                <c:pt idx="1022">
                  <c:v>130.97069803097023</c:v>
                </c:pt>
                <c:pt idx="1023">
                  <c:v>131.13990276870288</c:v>
                </c:pt>
                <c:pt idx="1024">
                  <c:v>131.29005291885304</c:v>
                </c:pt>
                <c:pt idx="1025">
                  <c:v>131.42500568538475</c:v>
                </c:pt>
                <c:pt idx="1026">
                  <c:v>131.54755470499259</c:v>
                </c:pt>
                <c:pt idx="1027">
                  <c:v>131.65978815055936</c:v>
                </c:pt>
                <c:pt idx="1028">
                  <c:v>131.76330781929641</c:v>
                </c:pt>
                <c:pt idx="1029">
                  <c:v>131.8593692986432</c:v>
                </c:pt>
                <c:pt idx="1030">
                  <c:v>131.94897503341022</c:v>
                </c:pt>
                <c:pt idx="1031">
                  <c:v>132.03293808966546</c:v>
                </c:pt>
                <c:pt idx="1032">
                  <c:v>132.11192703121364</c:v>
                </c:pt>
                <c:pt idx="1033">
                  <c:v>132.18649824672445</c:v>
                </c:pt>
                <c:pt idx="1034">
                  <c:v>132.26106946223527</c:v>
                </c:pt>
                <c:pt idx="1035">
                  <c:v>132.33564067774608</c:v>
                </c:pt>
                <c:pt idx="1036">
                  <c:v>132.4102118932569</c:v>
                </c:pt>
                <c:pt idx="1037">
                  <c:v>132.48920083480508</c:v>
                </c:pt>
                <c:pt idx="1038">
                  <c:v>132.57316389106032</c:v>
                </c:pt>
                <c:pt idx="1039">
                  <c:v>132.66276962582734</c:v>
                </c:pt>
                <c:pt idx="1040">
                  <c:v>132.75883110517412</c:v>
                </c:pt>
                <c:pt idx="1041">
                  <c:v>132.86235077391117</c:v>
                </c:pt>
                <c:pt idx="1042">
                  <c:v>132.97458421947795</c:v>
                </c:pt>
                <c:pt idx="1043">
                  <c:v>133.09713323908579</c:v>
                </c:pt>
                <c:pt idx="1044">
                  <c:v>133.2320860056175</c:v>
                </c:pt>
                <c:pt idx="1045">
                  <c:v>133.38223615576766</c:v>
                </c:pt>
                <c:pt idx="1046">
                  <c:v>133.55144089350031</c:v>
                </c:pt>
                <c:pt idx="1047">
                  <c:v>133.74523934311273</c:v>
                </c:pt>
                <c:pt idx="1048">
                  <c:v>133.97199671272725</c:v>
                </c:pt>
                <c:pt idx="1049">
                  <c:v>134.2452207564431</c:v>
                </c:pt>
                <c:pt idx="1050">
                  <c:v>134.58886336812697</c:v>
                </c:pt>
                <c:pt idx="1051">
                  <c:v>134.93250597981083</c:v>
                </c:pt>
                <c:pt idx="1052">
                  <c:v>135.27614859149469</c:v>
                </c:pt>
                <c:pt idx="1053">
                  <c:v>135.61979120317855</c:v>
                </c:pt>
                <c:pt idx="1054">
                  <c:v>135.96343381486241</c:v>
                </c:pt>
                <c:pt idx="1055">
                  <c:v>136.30707642654627</c:v>
                </c:pt>
                <c:pt idx="1056">
                  <c:v>136.65071903823014</c:v>
                </c:pt>
                <c:pt idx="1057">
                  <c:v>136.994361649914</c:v>
                </c:pt>
                <c:pt idx="1058">
                  <c:v>137.33800426159786</c:v>
                </c:pt>
                <c:pt idx="1059">
                  <c:v>137.6075460405736</c:v>
                </c:pt>
                <c:pt idx="1060">
                  <c:v>137.82927553059577</c:v>
                </c:pt>
                <c:pt idx="1061">
                  <c:v>138.01759944773323</c:v>
                </c:pt>
                <c:pt idx="1062">
                  <c:v>138.18126556884616</c:v>
                </c:pt>
                <c:pt idx="1063">
                  <c:v>138.3259833691356</c:v>
                </c:pt>
                <c:pt idx="1064">
                  <c:v>138.45568505525753</c:v>
                </c:pt>
                <c:pt idx="1065">
                  <c:v>138.57319386841851</c:v>
                </c:pt>
                <c:pt idx="1066">
                  <c:v>138.68060525402538</c:v>
                </c:pt>
                <c:pt idx="1067">
                  <c:v>138.77951722237356</c:v>
                </c:pt>
                <c:pt idx="1068">
                  <c:v>138.87117625078787</c:v>
                </c:pt>
                <c:pt idx="1069">
                  <c:v>138.95657334728659</c:v>
                </c:pt>
                <c:pt idx="1070">
                  <c:v>139.03650939844567</c:v>
                </c:pt>
                <c:pt idx="1071">
                  <c:v>139.11164087853584</c:v>
                </c:pt>
                <c:pt idx="1072">
                  <c:v>139.18621209404665</c:v>
                </c:pt>
                <c:pt idx="1073">
                  <c:v>139.26078330955747</c:v>
                </c:pt>
                <c:pt idx="1074">
                  <c:v>139.33535452506828</c:v>
                </c:pt>
                <c:pt idx="1075">
                  <c:v>139.4099257405791</c:v>
                </c:pt>
                <c:pt idx="1076">
                  <c:v>139.48449695608991</c:v>
                </c:pt>
                <c:pt idx="1077">
                  <c:v>139.55906817160073</c:v>
                </c:pt>
                <c:pt idx="1078">
                  <c:v>139.63363938711154</c:v>
                </c:pt>
                <c:pt idx="1079">
                  <c:v>139.70821060262236</c:v>
                </c:pt>
                <c:pt idx="1080">
                  <c:v>139.78278181813317</c:v>
                </c:pt>
                <c:pt idx="1081">
                  <c:v>139.85735303364399</c:v>
                </c:pt>
                <c:pt idx="1082">
                  <c:v>139.9319242491548</c:v>
                </c:pt>
                <c:pt idx="1083">
                  <c:v>140.01091319070298</c:v>
                </c:pt>
                <c:pt idx="1084">
                  <c:v>140.09487624695822</c:v>
                </c:pt>
                <c:pt idx="1085">
                  <c:v>140.18448198172524</c:v>
                </c:pt>
                <c:pt idx="1086">
                  <c:v>140.28054346107203</c:v>
                </c:pt>
                <c:pt idx="1087">
                  <c:v>140.38406312980908</c:v>
                </c:pt>
                <c:pt idx="1088">
                  <c:v>140.49629657537585</c:v>
                </c:pt>
                <c:pt idx="1089">
                  <c:v>140.6188455949837</c:v>
                </c:pt>
                <c:pt idx="1090">
                  <c:v>140.75379836151541</c:v>
                </c:pt>
                <c:pt idx="1091">
                  <c:v>140.90394851166556</c:v>
                </c:pt>
                <c:pt idx="1092">
                  <c:v>141.07315324939822</c:v>
                </c:pt>
                <c:pt idx="1093">
                  <c:v>141.24235798713087</c:v>
                </c:pt>
                <c:pt idx="1094">
                  <c:v>141.41156272486353</c:v>
                </c:pt>
                <c:pt idx="1095">
                  <c:v>141.58076746259619</c:v>
                </c:pt>
                <c:pt idx="1096">
                  <c:v>141.74997220032884</c:v>
                </c:pt>
                <c:pt idx="1097">
                  <c:v>141.9191769380615</c:v>
                </c:pt>
                <c:pt idx="1098">
                  <c:v>142.08838167579415</c:v>
                </c:pt>
                <c:pt idx="1099">
                  <c:v>142.25758641352681</c:v>
                </c:pt>
                <c:pt idx="1100">
                  <c:v>142.42679115125947</c:v>
                </c:pt>
                <c:pt idx="1101">
                  <c:v>142.59599588899212</c:v>
                </c:pt>
                <c:pt idx="1102">
                  <c:v>142.76520062672478</c:v>
                </c:pt>
                <c:pt idx="1103">
                  <c:v>142.93440536445743</c:v>
                </c:pt>
                <c:pt idx="1104">
                  <c:v>143.07912316474687</c:v>
                </c:pt>
                <c:pt idx="1105">
                  <c:v>143.20554541506294</c:v>
                </c:pt>
                <c:pt idx="1106">
                  <c:v>143.31777886062972</c:v>
                </c:pt>
                <c:pt idx="1107">
                  <c:v>143.41868703419178</c:v>
                </c:pt>
                <c:pt idx="1108">
                  <c:v>143.51034606260609</c:v>
                </c:pt>
              </c:numCache>
            </c:numRef>
          </c:xVal>
          <c:yVal>
            <c:numRef>
              <c:f>'Drive Cycle'!$K$3:$K$1111</c:f>
              <c:numCache>
                <c:formatCode>General</c:formatCode>
                <c:ptCount val="1109"/>
                <c:pt idx="0">
                  <c:v>0</c:v>
                </c:pt>
                <c:pt idx="1">
                  <c:v>72.351594900000009</c:v>
                </c:pt>
                <c:pt idx="2">
                  <c:v>72.351594900000009</c:v>
                </c:pt>
                <c:pt idx="3">
                  <c:v>72.351594900000009</c:v>
                </c:pt>
                <c:pt idx="4">
                  <c:v>72.351594900000009</c:v>
                </c:pt>
                <c:pt idx="5">
                  <c:v>72.351594900000009</c:v>
                </c:pt>
                <c:pt idx="6">
                  <c:v>72.351594900000009</c:v>
                </c:pt>
                <c:pt idx="7">
                  <c:v>72.351594900000009</c:v>
                </c:pt>
                <c:pt idx="8">
                  <c:v>72.351594900000009</c:v>
                </c:pt>
                <c:pt idx="9">
                  <c:v>72.351594900000009</c:v>
                </c:pt>
                <c:pt idx="10">
                  <c:v>72.351594900000009</c:v>
                </c:pt>
                <c:pt idx="11">
                  <c:v>72.351594900000009</c:v>
                </c:pt>
                <c:pt idx="12">
                  <c:v>72.351594900000009</c:v>
                </c:pt>
                <c:pt idx="13">
                  <c:v>72.351594900000009</c:v>
                </c:pt>
                <c:pt idx="14">
                  <c:v>72.351594900000009</c:v>
                </c:pt>
                <c:pt idx="15">
                  <c:v>72.351594900000009</c:v>
                </c:pt>
                <c:pt idx="16">
                  <c:v>72.351594900000009</c:v>
                </c:pt>
                <c:pt idx="17">
                  <c:v>72.351594900000009</c:v>
                </c:pt>
                <c:pt idx="18">
                  <c:v>72.351594900000009</c:v>
                </c:pt>
                <c:pt idx="19">
                  <c:v>72.351594900000009</c:v>
                </c:pt>
                <c:pt idx="20">
                  <c:v>72.351594900000009</c:v>
                </c:pt>
                <c:pt idx="21">
                  <c:v>72.351594900000009</c:v>
                </c:pt>
                <c:pt idx="22">
                  <c:v>72.351594900000009</c:v>
                </c:pt>
                <c:pt idx="23">
                  <c:v>72.351594900000009</c:v>
                </c:pt>
                <c:pt idx="24">
                  <c:v>72.351594900000009</c:v>
                </c:pt>
                <c:pt idx="25">
                  <c:v>72.351594900000009</c:v>
                </c:pt>
                <c:pt idx="26">
                  <c:v>72.351594900000009</c:v>
                </c:pt>
                <c:pt idx="27">
                  <c:v>72.351594900000009</c:v>
                </c:pt>
                <c:pt idx="28">
                  <c:v>72.351594900000009</c:v>
                </c:pt>
                <c:pt idx="29">
                  <c:v>72.351594900000009</c:v>
                </c:pt>
                <c:pt idx="30">
                  <c:v>72.351594900000009</c:v>
                </c:pt>
                <c:pt idx="31">
                  <c:v>72.351594900000009</c:v>
                </c:pt>
                <c:pt idx="32">
                  <c:v>72.351594900000009</c:v>
                </c:pt>
                <c:pt idx="33">
                  <c:v>72.351594900000009</c:v>
                </c:pt>
                <c:pt idx="34">
                  <c:v>72.351594900000009</c:v>
                </c:pt>
                <c:pt idx="35">
                  <c:v>72.351594900000009</c:v>
                </c:pt>
                <c:pt idx="36">
                  <c:v>72.351594900000009</c:v>
                </c:pt>
                <c:pt idx="37">
                  <c:v>72.351594900000009</c:v>
                </c:pt>
                <c:pt idx="38">
                  <c:v>72.351594900000009</c:v>
                </c:pt>
                <c:pt idx="39">
                  <c:v>72.351594900000009</c:v>
                </c:pt>
                <c:pt idx="40">
                  <c:v>72.351594900000009</c:v>
                </c:pt>
                <c:pt idx="41">
                  <c:v>72.351594900000009</c:v>
                </c:pt>
                <c:pt idx="42">
                  <c:v>72.351594900000009</c:v>
                </c:pt>
                <c:pt idx="43">
                  <c:v>72.351594900000009</c:v>
                </c:pt>
                <c:pt idx="44">
                  <c:v>72.351594900000009</c:v>
                </c:pt>
                <c:pt idx="45">
                  <c:v>72.351594900000009</c:v>
                </c:pt>
                <c:pt idx="46">
                  <c:v>72.351594900000009</c:v>
                </c:pt>
                <c:pt idx="47">
                  <c:v>72.351594900000009</c:v>
                </c:pt>
                <c:pt idx="48">
                  <c:v>72.351594900000009</c:v>
                </c:pt>
                <c:pt idx="49">
                  <c:v>72.351594900000009</c:v>
                </c:pt>
                <c:pt idx="50">
                  <c:v>72.351594900000009</c:v>
                </c:pt>
                <c:pt idx="51">
                  <c:v>72.351594900000009</c:v>
                </c:pt>
                <c:pt idx="52">
                  <c:v>72.351594900000009</c:v>
                </c:pt>
                <c:pt idx="53">
                  <c:v>72.351594900000009</c:v>
                </c:pt>
                <c:pt idx="54">
                  <c:v>72.351594900000009</c:v>
                </c:pt>
                <c:pt idx="55">
                  <c:v>72.351594900000009</c:v>
                </c:pt>
                <c:pt idx="56">
                  <c:v>72.351594900000009</c:v>
                </c:pt>
                <c:pt idx="57">
                  <c:v>72.351594900000009</c:v>
                </c:pt>
                <c:pt idx="58">
                  <c:v>72.351594900000009</c:v>
                </c:pt>
                <c:pt idx="59">
                  <c:v>72.351594900000009</c:v>
                </c:pt>
                <c:pt idx="60">
                  <c:v>72.351594900000009</c:v>
                </c:pt>
                <c:pt idx="61">
                  <c:v>72.351594900000009</c:v>
                </c:pt>
                <c:pt idx="62">
                  <c:v>72.351594900000009</c:v>
                </c:pt>
                <c:pt idx="63">
                  <c:v>72.351594900000009</c:v>
                </c:pt>
                <c:pt idx="64">
                  <c:v>72.351594900000009</c:v>
                </c:pt>
                <c:pt idx="65">
                  <c:v>72.351594900000009</c:v>
                </c:pt>
                <c:pt idx="66">
                  <c:v>72.351594900000009</c:v>
                </c:pt>
                <c:pt idx="67">
                  <c:v>72.351594900000009</c:v>
                </c:pt>
                <c:pt idx="68">
                  <c:v>72.351594900000009</c:v>
                </c:pt>
                <c:pt idx="69">
                  <c:v>72.351594900000009</c:v>
                </c:pt>
                <c:pt idx="70">
                  <c:v>72.351594900000009</c:v>
                </c:pt>
                <c:pt idx="71">
                  <c:v>72.351594900000009</c:v>
                </c:pt>
                <c:pt idx="72">
                  <c:v>72.351594900000009</c:v>
                </c:pt>
                <c:pt idx="73">
                  <c:v>72.351594900000009</c:v>
                </c:pt>
                <c:pt idx="74">
                  <c:v>72.351594900000009</c:v>
                </c:pt>
                <c:pt idx="75">
                  <c:v>72.351594900000009</c:v>
                </c:pt>
                <c:pt idx="76">
                  <c:v>72.351594900000009</c:v>
                </c:pt>
                <c:pt idx="77">
                  <c:v>72.351594900000009</c:v>
                </c:pt>
                <c:pt idx="78">
                  <c:v>72.351594900000009</c:v>
                </c:pt>
                <c:pt idx="79">
                  <c:v>72.351594900000009</c:v>
                </c:pt>
                <c:pt idx="80">
                  <c:v>72.351594900000009</c:v>
                </c:pt>
                <c:pt idx="81">
                  <c:v>72.351594900000009</c:v>
                </c:pt>
                <c:pt idx="82">
                  <c:v>72.351594900000009</c:v>
                </c:pt>
                <c:pt idx="83">
                  <c:v>72.351594900000009</c:v>
                </c:pt>
                <c:pt idx="84">
                  <c:v>72.351594900000009</c:v>
                </c:pt>
                <c:pt idx="85">
                  <c:v>72.351594900000009</c:v>
                </c:pt>
                <c:pt idx="86">
                  <c:v>72.351594900000009</c:v>
                </c:pt>
                <c:pt idx="87">
                  <c:v>72.351594900000009</c:v>
                </c:pt>
                <c:pt idx="88">
                  <c:v>72.351594900000009</c:v>
                </c:pt>
                <c:pt idx="89">
                  <c:v>72.351594900000009</c:v>
                </c:pt>
                <c:pt idx="90">
                  <c:v>72.351594900000009</c:v>
                </c:pt>
                <c:pt idx="91">
                  <c:v>72.351594900000009</c:v>
                </c:pt>
                <c:pt idx="92">
                  <c:v>72.351594900000009</c:v>
                </c:pt>
                <c:pt idx="93">
                  <c:v>72.351594900000009</c:v>
                </c:pt>
                <c:pt idx="94">
                  <c:v>72.351594900000009</c:v>
                </c:pt>
                <c:pt idx="95">
                  <c:v>72.351594900000009</c:v>
                </c:pt>
                <c:pt idx="96">
                  <c:v>72.351594900000009</c:v>
                </c:pt>
                <c:pt idx="97">
                  <c:v>72.351594900000009</c:v>
                </c:pt>
                <c:pt idx="98">
                  <c:v>72.351594900000009</c:v>
                </c:pt>
                <c:pt idx="99">
                  <c:v>72.351594900000009</c:v>
                </c:pt>
                <c:pt idx="100">
                  <c:v>72.351594900000009</c:v>
                </c:pt>
                <c:pt idx="101">
                  <c:v>72.351594900000009</c:v>
                </c:pt>
                <c:pt idx="102">
                  <c:v>72.351594900000009</c:v>
                </c:pt>
                <c:pt idx="103">
                  <c:v>72.351594900000009</c:v>
                </c:pt>
                <c:pt idx="104">
                  <c:v>72.351594900000009</c:v>
                </c:pt>
                <c:pt idx="105">
                  <c:v>72.351594900000009</c:v>
                </c:pt>
                <c:pt idx="106">
                  <c:v>72.351594900000009</c:v>
                </c:pt>
                <c:pt idx="107">
                  <c:v>72.351594900000009</c:v>
                </c:pt>
                <c:pt idx="108">
                  <c:v>72.351594900000009</c:v>
                </c:pt>
                <c:pt idx="109">
                  <c:v>72.351594900000009</c:v>
                </c:pt>
                <c:pt idx="110">
                  <c:v>72.351594900000009</c:v>
                </c:pt>
                <c:pt idx="111">
                  <c:v>72.351594900000009</c:v>
                </c:pt>
                <c:pt idx="112">
                  <c:v>72.351594900000009</c:v>
                </c:pt>
                <c:pt idx="113">
                  <c:v>72.351594900000009</c:v>
                </c:pt>
                <c:pt idx="114">
                  <c:v>72.351594900000009</c:v>
                </c:pt>
                <c:pt idx="115">
                  <c:v>72.351594900000009</c:v>
                </c:pt>
                <c:pt idx="116">
                  <c:v>72.351594900000009</c:v>
                </c:pt>
                <c:pt idx="117">
                  <c:v>72.351594900000009</c:v>
                </c:pt>
                <c:pt idx="118">
                  <c:v>72.351594900000009</c:v>
                </c:pt>
                <c:pt idx="119">
                  <c:v>72.351594900000009</c:v>
                </c:pt>
                <c:pt idx="120">
                  <c:v>72.351594900000009</c:v>
                </c:pt>
                <c:pt idx="121">
                  <c:v>72.351594900000009</c:v>
                </c:pt>
                <c:pt idx="122">
                  <c:v>72.351594900000009</c:v>
                </c:pt>
                <c:pt idx="123">
                  <c:v>72.351594900000009</c:v>
                </c:pt>
                <c:pt idx="124">
                  <c:v>72.351594900000009</c:v>
                </c:pt>
                <c:pt idx="125">
                  <c:v>72.351594900000009</c:v>
                </c:pt>
                <c:pt idx="126">
                  <c:v>72.351594900000009</c:v>
                </c:pt>
                <c:pt idx="127">
                  <c:v>72.351594900000009</c:v>
                </c:pt>
                <c:pt idx="128">
                  <c:v>72.351594900000009</c:v>
                </c:pt>
                <c:pt idx="129">
                  <c:v>72.351594900000009</c:v>
                </c:pt>
                <c:pt idx="130">
                  <c:v>72.351594900000009</c:v>
                </c:pt>
                <c:pt idx="131">
                  <c:v>72.351594900000009</c:v>
                </c:pt>
                <c:pt idx="132">
                  <c:v>72.351594900000009</c:v>
                </c:pt>
                <c:pt idx="133">
                  <c:v>72.351594900000009</c:v>
                </c:pt>
                <c:pt idx="134">
                  <c:v>72.351594900000009</c:v>
                </c:pt>
                <c:pt idx="135">
                  <c:v>72.351594900000009</c:v>
                </c:pt>
                <c:pt idx="136">
                  <c:v>72.351594900000009</c:v>
                </c:pt>
                <c:pt idx="137">
                  <c:v>72.351594900000009</c:v>
                </c:pt>
                <c:pt idx="138">
                  <c:v>72.351594900000009</c:v>
                </c:pt>
                <c:pt idx="139">
                  <c:v>72.351594900000009</c:v>
                </c:pt>
                <c:pt idx="140">
                  <c:v>72.351594900000009</c:v>
                </c:pt>
                <c:pt idx="141">
                  <c:v>72.351594900000009</c:v>
                </c:pt>
                <c:pt idx="142">
                  <c:v>72.351594900000009</c:v>
                </c:pt>
                <c:pt idx="143">
                  <c:v>72.351594900000009</c:v>
                </c:pt>
                <c:pt idx="144">
                  <c:v>72.351594900000009</c:v>
                </c:pt>
                <c:pt idx="145">
                  <c:v>72.351594900000009</c:v>
                </c:pt>
                <c:pt idx="146">
                  <c:v>72.351594900000009</c:v>
                </c:pt>
                <c:pt idx="147">
                  <c:v>72.351594900000009</c:v>
                </c:pt>
                <c:pt idx="148">
                  <c:v>72.351594900000009</c:v>
                </c:pt>
                <c:pt idx="149">
                  <c:v>72.351594900000009</c:v>
                </c:pt>
                <c:pt idx="150">
                  <c:v>72.351594900000009</c:v>
                </c:pt>
                <c:pt idx="151">
                  <c:v>72.351594900000009</c:v>
                </c:pt>
                <c:pt idx="152">
                  <c:v>72.351594900000009</c:v>
                </c:pt>
                <c:pt idx="153">
                  <c:v>72.351594900000009</c:v>
                </c:pt>
                <c:pt idx="154">
                  <c:v>72.351594900000009</c:v>
                </c:pt>
                <c:pt idx="155">
                  <c:v>72.351594900000009</c:v>
                </c:pt>
                <c:pt idx="156">
                  <c:v>72.351594900000009</c:v>
                </c:pt>
                <c:pt idx="157">
                  <c:v>72.351594900000009</c:v>
                </c:pt>
                <c:pt idx="158">
                  <c:v>72.351594900000009</c:v>
                </c:pt>
                <c:pt idx="159">
                  <c:v>72.351594900000009</c:v>
                </c:pt>
                <c:pt idx="160">
                  <c:v>72.351594900000009</c:v>
                </c:pt>
                <c:pt idx="161">
                  <c:v>72.351594900000009</c:v>
                </c:pt>
                <c:pt idx="162">
                  <c:v>72.351594900000009</c:v>
                </c:pt>
                <c:pt idx="163">
                  <c:v>72.351594900000009</c:v>
                </c:pt>
                <c:pt idx="164">
                  <c:v>72.351594900000009</c:v>
                </c:pt>
                <c:pt idx="165">
                  <c:v>72.351594900000009</c:v>
                </c:pt>
                <c:pt idx="166">
                  <c:v>72.351594900000009</c:v>
                </c:pt>
                <c:pt idx="167">
                  <c:v>72.351594900000009</c:v>
                </c:pt>
                <c:pt idx="168">
                  <c:v>72.351594900000009</c:v>
                </c:pt>
                <c:pt idx="169">
                  <c:v>72.351594900000009</c:v>
                </c:pt>
                <c:pt idx="170">
                  <c:v>72.351594900000009</c:v>
                </c:pt>
                <c:pt idx="171">
                  <c:v>72.351594900000009</c:v>
                </c:pt>
                <c:pt idx="172">
                  <c:v>72.351594900000009</c:v>
                </c:pt>
                <c:pt idx="173">
                  <c:v>72.351594900000009</c:v>
                </c:pt>
                <c:pt idx="174">
                  <c:v>72.351594900000009</c:v>
                </c:pt>
                <c:pt idx="175">
                  <c:v>72.351594900000009</c:v>
                </c:pt>
                <c:pt idx="176">
                  <c:v>72.351594900000009</c:v>
                </c:pt>
                <c:pt idx="177">
                  <c:v>72.351594900000009</c:v>
                </c:pt>
                <c:pt idx="178">
                  <c:v>72.351594900000009</c:v>
                </c:pt>
                <c:pt idx="179">
                  <c:v>72.351594900000009</c:v>
                </c:pt>
                <c:pt idx="180">
                  <c:v>72.351594900000009</c:v>
                </c:pt>
                <c:pt idx="181">
                  <c:v>72.351594900000009</c:v>
                </c:pt>
                <c:pt idx="182">
                  <c:v>72.351594900000009</c:v>
                </c:pt>
                <c:pt idx="183">
                  <c:v>72.351594900000009</c:v>
                </c:pt>
                <c:pt idx="184">
                  <c:v>72.351594900000009</c:v>
                </c:pt>
                <c:pt idx="185">
                  <c:v>72.351594900000009</c:v>
                </c:pt>
                <c:pt idx="186">
                  <c:v>72.351594900000009</c:v>
                </c:pt>
                <c:pt idx="187">
                  <c:v>72.351594900000009</c:v>
                </c:pt>
                <c:pt idx="188">
                  <c:v>72.351594900000009</c:v>
                </c:pt>
                <c:pt idx="189">
                  <c:v>72.351594900000009</c:v>
                </c:pt>
                <c:pt idx="190">
                  <c:v>72.351594900000009</c:v>
                </c:pt>
                <c:pt idx="191">
                  <c:v>72.351594900000009</c:v>
                </c:pt>
                <c:pt idx="192">
                  <c:v>72.351594900000009</c:v>
                </c:pt>
                <c:pt idx="193">
                  <c:v>72.351594900000009</c:v>
                </c:pt>
                <c:pt idx="194">
                  <c:v>72.351594900000009</c:v>
                </c:pt>
                <c:pt idx="195">
                  <c:v>72.351594900000009</c:v>
                </c:pt>
                <c:pt idx="196">
                  <c:v>72.351594900000009</c:v>
                </c:pt>
                <c:pt idx="197">
                  <c:v>72.351594900000009</c:v>
                </c:pt>
                <c:pt idx="198">
                  <c:v>72.351594900000009</c:v>
                </c:pt>
                <c:pt idx="199">
                  <c:v>72.351594900000009</c:v>
                </c:pt>
                <c:pt idx="200">
                  <c:v>72.351594900000009</c:v>
                </c:pt>
                <c:pt idx="201">
                  <c:v>72.351594900000009</c:v>
                </c:pt>
                <c:pt idx="202">
                  <c:v>72.351594900000009</c:v>
                </c:pt>
                <c:pt idx="203">
                  <c:v>72.351594900000009</c:v>
                </c:pt>
                <c:pt idx="204">
                  <c:v>72.351594900000009</c:v>
                </c:pt>
                <c:pt idx="205">
                  <c:v>72.351594900000009</c:v>
                </c:pt>
                <c:pt idx="206">
                  <c:v>72.351594900000009</c:v>
                </c:pt>
                <c:pt idx="207">
                  <c:v>72.351594900000009</c:v>
                </c:pt>
                <c:pt idx="208">
                  <c:v>72.351594900000009</c:v>
                </c:pt>
                <c:pt idx="209">
                  <c:v>72.351594900000009</c:v>
                </c:pt>
                <c:pt idx="210">
                  <c:v>72.351594900000009</c:v>
                </c:pt>
                <c:pt idx="211">
                  <c:v>72.351594900000009</c:v>
                </c:pt>
                <c:pt idx="212">
                  <c:v>72.351594900000009</c:v>
                </c:pt>
                <c:pt idx="213">
                  <c:v>72.351594900000009</c:v>
                </c:pt>
                <c:pt idx="214">
                  <c:v>72.351594900000009</c:v>
                </c:pt>
                <c:pt idx="215">
                  <c:v>72.351594900000009</c:v>
                </c:pt>
                <c:pt idx="216">
                  <c:v>72.351594900000009</c:v>
                </c:pt>
                <c:pt idx="217">
                  <c:v>72.351594900000009</c:v>
                </c:pt>
                <c:pt idx="218">
                  <c:v>72.351594900000009</c:v>
                </c:pt>
                <c:pt idx="219">
                  <c:v>72.351594900000009</c:v>
                </c:pt>
                <c:pt idx="220">
                  <c:v>72.351594900000009</c:v>
                </c:pt>
                <c:pt idx="221">
                  <c:v>72.351594900000009</c:v>
                </c:pt>
                <c:pt idx="222">
                  <c:v>72.351594900000009</c:v>
                </c:pt>
                <c:pt idx="223">
                  <c:v>72.351594900000009</c:v>
                </c:pt>
                <c:pt idx="224">
                  <c:v>72.351594900000009</c:v>
                </c:pt>
                <c:pt idx="225">
                  <c:v>72.351594900000009</c:v>
                </c:pt>
                <c:pt idx="226">
                  <c:v>72.351594900000009</c:v>
                </c:pt>
                <c:pt idx="227">
                  <c:v>72.351594900000009</c:v>
                </c:pt>
                <c:pt idx="228">
                  <c:v>72.351594900000009</c:v>
                </c:pt>
                <c:pt idx="229">
                  <c:v>72.351594900000009</c:v>
                </c:pt>
                <c:pt idx="230">
                  <c:v>72.351594900000009</c:v>
                </c:pt>
                <c:pt idx="231">
                  <c:v>72.351594900000009</c:v>
                </c:pt>
                <c:pt idx="232">
                  <c:v>72.351594900000009</c:v>
                </c:pt>
                <c:pt idx="233">
                  <c:v>72.351594900000009</c:v>
                </c:pt>
                <c:pt idx="234">
                  <c:v>72.351594900000009</c:v>
                </c:pt>
                <c:pt idx="235">
                  <c:v>72.351594900000009</c:v>
                </c:pt>
                <c:pt idx="236">
                  <c:v>72.351594900000009</c:v>
                </c:pt>
                <c:pt idx="237">
                  <c:v>72.351594900000009</c:v>
                </c:pt>
                <c:pt idx="238">
                  <c:v>72.351594900000009</c:v>
                </c:pt>
                <c:pt idx="239">
                  <c:v>72.351594900000009</c:v>
                </c:pt>
                <c:pt idx="240">
                  <c:v>72.351594900000009</c:v>
                </c:pt>
                <c:pt idx="241">
                  <c:v>72.351594900000009</c:v>
                </c:pt>
                <c:pt idx="242">
                  <c:v>72.351594900000009</c:v>
                </c:pt>
                <c:pt idx="243">
                  <c:v>72.351594900000009</c:v>
                </c:pt>
                <c:pt idx="244">
                  <c:v>72.351594900000009</c:v>
                </c:pt>
                <c:pt idx="245">
                  <c:v>72.351594900000009</c:v>
                </c:pt>
                <c:pt idx="246">
                  <c:v>72.351594900000009</c:v>
                </c:pt>
                <c:pt idx="247">
                  <c:v>72.351594900000009</c:v>
                </c:pt>
                <c:pt idx="248">
                  <c:v>72.351594900000009</c:v>
                </c:pt>
                <c:pt idx="249">
                  <c:v>72.351594900000009</c:v>
                </c:pt>
                <c:pt idx="250">
                  <c:v>72.351594900000009</c:v>
                </c:pt>
                <c:pt idx="251">
                  <c:v>72.351594900000009</c:v>
                </c:pt>
                <c:pt idx="252">
                  <c:v>72.351594900000009</c:v>
                </c:pt>
                <c:pt idx="253">
                  <c:v>72.351594900000009</c:v>
                </c:pt>
                <c:pt idx="254">
                  <c:v>72.351594900000009</c:v>
                </c:pt>
                <c:pt idx="255">
                  <c:v>72.351594900000009</c:v>
                </c:pt>
                <c:pt idx="256">
                  <c:v>72.351594900000009</c:v>
                </c:pt>
                <c:pt idx="257">
                  <c:v>72.351594900000009</c:v>
                </c:pt>
                <c:pt idx="258">
                  <c:v>72.351594900000009</c:v>
                </c:pt>
                <c:pt idx="259">
                  <c:v>72.351594900000009</c:v>
                </c:pt>
                <c:pt idx="260">
                  <c:v>72.351594900000009</c:v>
                </c:pt>
                <c:pt idx="261">
                  <c:v>72.351594900000009</c:v>
                </c:pt>
                <c:pt idx="262">
                  <c:v>72.351594900000009</c:v>
                </c:pt>
                <c:pt idx="263">
                  <c:v>72.351594900000009</c:v>
                </c:pt>
                <c:pt idx="264">
                  <c:v>72.351594900000009</c:v>
                </c:pt>
                <c:pt idx="265">
                  <c:v>72.351594900000009</c:v>
                </c:pt>
                <c:pt idx="266">
                  <c:v>72.351594900000009</c:v>
                </c:pt>
                <c:pt idx="267">
                  <c:v>72.351594900000009</c:v>
                </c:pt>
                <c:pt idx="268">
                  <c:v>72.351594900000009</c:v>
                </c:pt>
                <c:pt idx="269">
                  <c:v>72.351594900000009</c:v>
                </c:pt>
                <c:pt idx="270">
                  <c:v>72.351594900000009</c:v>
                </c:pt>
                <c:pt idx="271">
                  <c:v>72.351594900000009</c:v>
                </c:pt>
                <c:pt idx="272">
                  <c:v>72.351594900000009</c:v>
                </c:pt>
                <c:pt idx="273">
                  <c:v>72.351594900000009</c:v>
                </c:pt>
                <c:pt idx="274">
                  <c:v>72.351594900000009</c:v>
                </c:pt>
                <c:pt idx="275">
                  <c:v>72.351594900000009</c:v>
                </c:pt>
                <c:pt idx="276">
                  <c:v>72.351594900000009</c:v>
                </c:pt>
                <c:pt idx="277">
                  <c:v>72.351594900000009</c:v>
                </c:pt>
                <c:pt idx="278">
                  <c:v>72.351594900000009</c:v>
                </c:pt>
                <c:pt idx="279">
                  <c:v>72.351594900000009</c:v>
                </c:pt>
                <c:pt idx="280">
                  <c:v>72.351594900000009</c:v>
                </c:pt>
                <c:pt idx="281">
                  <c:v>72.351594900000009</c:v>
                </c:pt>
                <c:pt idx="282">
                  <c:v>72.351594900000009</c:v>
                </c:pt>
                <c:pt idx="283">
                  <c:v>72.351594900000009</c:v>
                </c:pt>
                <c:pt idx="284">
                  <c:v>72.351594900000009</c:v>
                </c:pt>
                <c:pt idx="285">
                  <c:v>72.351594900000009</c:v>
                </c:pt>
                <c:pt idx="286">
                  <c:v>72.351594900000009</c:v>
                </c:pt>
                <c:pt idx="287">
                  <c:v>72.351594900000009</c:v>
                </c:pt>
                <c:pt idx="288">
                  <c:v>72.351594900000009</c:v>
                </c:pt>
                <c:pt idx="289">
                  <c:v>72.351594900000009</c:v>
                </c:pt>
                <c:pt idx="290">
                  <c:v>72.351594900000009</c:v>
                </c:pt>
                <c:pt idx="291">
                  <c:v>72.351594900000009</c:v>
                </c:pt>
                <c:pt idx="292">
                  <c:v>72.351594900000009</c:v>
                </c:pt>
                <c:pt idx="293">
                  <c:v>72.351594900000009</c:v>
                </c:pt>
                <c:pt idx="294">
                  <c:v>72.351594900000009</c:v>
                </c:pt>
                <c:pt idx="295">
                  <c:v>72.351594900000009</c:v>
                </c:pt>
                <c:pt idx="296">
                  <c:v>72.351594900000009</c:v>
                </c:pt>
                <c:pt idx="297">
                  <c:v>72.351594900000009</c:v>
                </c:pt>
                <c:pt idx="298">
                  <c:v>72.351594900000009</c:v>
                </c:pt>
                <c:pt idx="299">
                  <c:v>72.351594900000009</c:v>
                </c:pt>
                <c:pt idx="300">
                  <c:v>72.351594900000009</c:v>
                </c:pt>
                <c:pt idx="301">
                  <c:v>72.351594900000009</c:v>
                </c:pt>
                <c:pt idx="302">
                  <c:v>72.351594900000009</c:v>
                </c:pt>
                <c:pt idx="303">
                  <c:v>72.351594900000009</c:v>
                </c:pt>
                <c:pt idx="304">
                  <c:v>72.351594900000009</c:v>
                </c:pt>
                <c:pt idx="305">
                  <c:v>72.351594900000009</c:v>
                </c:pt>
                <c:pt idx="306">
                  <c:v>72.351594900000009</c:v>
                </c:pt>
                <c:pt idx="307">
                  <c:v>72.351594900000009</c:v>
                </c:pt>
                <c:pt idx="308">
                  <c:v>72.351594900000009</c:v>
                </c:pt>
                <c:pt idx="309">
                  <c:v>72.351594900000009</c:v>
                </c:pt>
                <c:pt idx="310">
                  <c:v>72.351594900000009</c:v>
                </c:pt>
                <c:pt idx="311">
                  <c:v>72.351594900000009</c:v>
                </c:pt>
                <c:pt idx="312">
                  <c:v>72.351594900000009</c:v>
                </c:pt>
                <c:pt idx="313">
                  <c:v>72.351594900000009</c:v>
                </c:pt>
                <c:pt idx="314">
                  <c:v>72.351594900000009</c:v>
                </c:pt>
                <c:pt idx="315">
                  <c:v>72.351594900000009</c:v>
                </c:pt>
                <c:pt idx="316">
                  <c:v>72.351594900000009</c:v>
                </c:pt>
                <c:pt idx="317">
                  <c:v>72.351594900000009</c:v>
                </c:pt>
                <c:pt idx="318">
                  <c:v>72.351594900000009</c:v>
                </c:pt>
                <c:pt idx="319">
                  <c:v>72.351594900000009</c:v>
                </c:pt>
                <c:pt idx="320">
                  <c:v>72.351594900000009</c:v>
                </c:pt>
                <c:pt idx="321">
                  <c:v>72.351594900000009</c:v>
                </c:pt>
                <c:pt idx="322">
                  <c:v>72.351594900000009</c:v>
                </c:pt>
                <c:pt idx="323">
                  <c:v>72.351594900000009</c:v>
                </c:pt>
                <c:pt idx="324">
                  <c:v>72.351594900000009</c:v>
                </c:pt>
                <c:pt idx="325">
                  <c:v>72.351594900000009</c:v>
                </c:pt>
                <c:pt idx="326">
                  <c:v>72.351594900000009</c:v>
                </c:pt>
                <c:pt idx="327">
                  <c:v>72.351594900000009</c:v>
                </c:pt>
                <c:pt idx="328">
                  <c:v>72.351594900000009</c:v>
                </c:pt>
                <c:pt idx="329">
                  <c:v>72.351594900000009</c:v>
                </c:pt>
                <c:pt idx="330">
                  <c:v>72.351594900000009</c:v>
                </c:pt>
                <c:pt idx="331">
                  <c:v>72.351594900000009</c:v>
                </c:pt>
                <c:pt idx="332">
                  <c:v>72.351594900000009</c:v>
                </c:pt>
                <c:pt idx="333">
                  <c:v>72.351594900000009</c:v>
                </c:pt>
                <c:pt idx="334">
                  <c:v>72.351594900000009</c:v>
                </c:pt>
                <c:pt idx="335">
                  <c:v>278.27536500000002</c:v>
                </c:pt>
                <c:pt idx="336">
                  <c:v>278.27536500000002</c:v>
                </c:pt>
                <c:pt idx="337">
                  <c:v>278.27536500000002</c:v>
                </c:pt>
                <c:pt idx="338">
                  <c:v>278.27536500000002</c:v>
                </c:pt>
                <c:pt idx="339">
                  <c:v>278.27536500000002</c:v>
                </c:pt>
                <c:pt idx="340">
                  <c:v>278.27536500000002</c:v>
                </c:pt>
                <c:pt idx="341">
                  <c:v>278.27536500000002</c:v>
                </c:pt>
                <c:pt idx="342">
                  <c:v>278.27536500000002</c:v>
                </c:pt>
                <c:pt idx="343">
                  <c:v>278.27536500000002</c:v>
                </c:pt>
                <c:pt idx="344">
                  <c:v>278.27536500000002</c:v>
                </c:pt>
                <c:pt idx="345">
                  <c:v>278.27536500000002</c:v>
                </c:pt>
                <c:pt idx="346">
                  <c:v>278.27536500000002</c:v>
                </c:pt>
                <c:pt idx="347">
                  <c:v>278.27536500000002</c:v>
                </c:pt>
                <c:pt idx="348">
                  <c:v>278.27536500000002</c:v>
                </c:pt>
                <c:pt idx="349">
                  <c:v>278.27536500000002</c:v>
                </c:pt>
                <c:pt idx="350">
                  <c:v>278.27536500000002</c:v>
                </c:pt>
                <c:pt idx="351">
                  <c:v>278.27536500000002</c:v>
                </c:pt>
                <c:pt idx="352">
                  <c:v>278.27536500000002</c:v>
                </c:pt>
                <c:pt idx="353">
                  <c:v>278.27536500000002</c:v>
                </c:pt>
                <c:pt idx="354">
                  <c:v>278.27536500000002</c:v>
                </c:pt>
                <c:pt idx="355">
                  <c:v>278.27536500000002</c:v>
                </c:pt>
                <c:pt idx="356">
                  <c:v>278.27536500000002</c:v>
                </c:pt>
                <c:pt idx="357">
                  <c:v>278.27536500000002</c:v>
                </c:pt>
                <c:pt idx="358">
                  <c:v>278.27536500000002</c:v>
                </c:pt>
                <c:pt idx="359">
                  <c:v>278.27536500000002</c:v>
                </c:pt>
                <c:pt idx="360">
                  <c:v>278.27536500000002</c:v>
                </c:pt>
                <c:pt idx="361">
                  <c:v>278.27536500000002</c:v>
                </c:pt>
                <c:pt idx="362">
                  <c:v>278.27536500000002</c:v>
                </c:pt>
                <c:pt idx="363">
                  <c:v>278.27536500000002</c:v>
                </c:pt>
                <c:pt idx="364">
                  <c:v>278.27536500000002</c:v>
                </c:pt>
                <c:pt idx="365">
                  <c:v>278.27536500000002</c:v>
                </c:pt>
                <c:pt idx="366">
                  <c:v>278.27536500000002</c:v>
                </c:pt>
                <c:pt idx="367">
                  <c:v>278.27536500000002</c:v>
                </c:pt>
                <c:pt idx="368">
                  <c:v>278.27536500000002</c:v>
                </c:pt>
                <c:pt idx="369">
                  <c:v>278.27536500000002</c:v>
                </c:pt>
                <c:pt idx="370">
                  <c:v>278.27536500000002</c:v>
                </c:pt>
                <c:pt idx="371">
                  <c:v>278.27536500000002</c:v>
                </c:pt>
                <c:pt idx="372">
                  <c:v>278.27536500000002</c:v>
                </c:pt>
                <c:pt idx="373">
                  <c:v>278.27536500000002</c:v>
                </c:pt>
                <c:pt idx="374">
                  <c:v>278.27536500000002</c:v>
                </c:pt>
                <c:pt idx="375">
                  <c:v>278.27536500000002</c:v>
                </c:pt>
                <c:pt idx="376">
                  <c:v>278.27536500000002</c:v>
                </c:pt>
                <c:pt idx="377">
                  <c:v>278.27536500000002</c:v>
                </c:pt>
                <c:pt idx="378">
                  <c:v>278.27536500000002</c:v>
                </c:pt>
                <c:pt idx="379">
                  <c:v>278.27536500000002</c:v>
                </c:pt>
                <c:pt idx="380">
                  <c:v>278.27536500000002</c:v>
                </c:pt>
                <c:pt idx="381">
                  <c:v>278.27536500000002</c:v>
                </c:pt>
                <c:pt idx="382">
                  <c:v>278.27536500000002</c:v>
                </c:pt>
                <c:pt idx="383">
                  <c:v>278.27536500000002</c:v>
                </c:pt>
                <c:pt idx="384">
                  <c:v>278.27536500000002</c:v>
                </c:pt>
                <c:pt idx="385">
                  <c:v>278.27536500000002</c:v>
                </c:pt>
                <c:pt idx="386">
                  <c:v>278.27536500000002</c:v>
                </c:pt>
                <c:pt idx="387">
                  <c:v>278.27536500000002</c:v>
                </c:pt>
                <c:pt idx="388">
                  <c:v>278.27536500000002</c:v>
                </c:pt>
                <c:pt idx="389">
                  <c:v>278.27536500000002</c:v>
                </c:pt>
                <c:pt idx="390">
                  <c:v>278.27536500000002</c:v>
                </c:pt>
                <c:pt idx="391">
                  <c:v>278.27536500000002</c:v>
                </c:pt>
                <c:pt idx="392">
                  <c:v>278.27536500000002</c:v>
                </c:pt>
                <c:pt idx="393">
                  <c:v>278.27536500000002</c:v>
                </c:pt>
                <c:pt idx="394">
                  <c:v>278.27536500000002</c:v>
                </c:pt>
                <c:pt idx="395">
                  <c:v>278.27536500000002</c:v>
                </c:pt>
                <c:pt idx="396">
                  <c:v>278.27536500000002</c:v>
                </c:pt>
                <c:pt idx="397">
                  <c:v>278.27536500000002</c:v>
                </c:pt>
                <c:pt idx="398">
                  <c:v>278.27536500000002</c:v>
                </c:pt>
                <c:pt idx="399">
                  <c:v>278.27536500000002</c:v>
                </c:pt>
                <c:pt idx="400">
                  <c:v>278.27536500000002</c:v>
                </c:pt>
                <c:pt idx="401">
                  <c:v>278.27536500000002</c:v>
                </c:pt>
                <c:pt idx="402">
                  <c:v>278.27536500000002</c:v>
                </c:pt>
                <c:pt idx="403">
                  <c:v>278.27536500000002</c:v>
                </c:pt>
                <c:pt idx="404">
                  <c:v>278.27536500000002</c:v>
                </c:pt>
                <c:pt idx="405">
                  <c:v>278.27536500000002</c:v>
                </c:pt>
                <c:pt idx="406">
                  <c:v>278.27536500000002</c:v>
                </c:pt>
                <c:pt idx="407">
                  <c:v>278.27536500000002</c:v>
                </c:pt>
                <c:pt idx="408">
                  <c:v>278.27536500000002</c:v>
                </c:pt>
                <c:pt idx="409">
                  <c:v>278.27536500000002</c:v>
                </c:pt>
                <c:pt idx="410">
                  <c:v>278.27536500000002</c:v>
                </c:pt>
                <c:pt idx="411">
                  <c:v>278.27536500000002</c:v>
                </c:pt>
                <c:pt idx="412">
                  <c:v>278.27536500000002</c:v>
                </c:pt>
                <c:pt idx="413">
                  <c:v>278.27536500000002</c:v>
                </c:pt>
                <c:pt idx="414">
                  <c:v>278.27536500000002</c:v>
                </c:pt>
                <c:pt idx="415">
                  <c:v>278.27536500000002</c:v>
                </c:pt>
                <c:pt idx="416">
                  <c:v>278.27536500000002</c:v>
                </c:pt>
                <c:pt idx="417">
                  <c:v>278.27536500000002</c:v>
                </c:pt>
                <c:pt idx="418">
                  <c:v>278.27536500000002</c:v>
                </c:pt>
                <c:pt idx="419">
                  <c:v>278.27536500000002</c:v>
                </c:pt>
                <c:pt idx="420">
                  <c:v>278.27536500000002</c:v>
                </c:pt>
                <c:pt idx="421">
                  <c:v>278.27536500000002</c:v>
                </c:pt>
                <c:pt idx="422">
                  <c:v>278.27536500000002</c:v>
                </c:pt>
                <c:pt idx="423">
                  <c:v>278.27536500000002</c:v>
                </c:pt>
                <c:pt idx="424">
                  <c:v>278.27536500000002</c:v>
                </c:pt>
                <c:pt idx="425">
                  <c:v>278.27536500000002</c:v>
                </c:pt>
                <c:pt idx="426">
                  <c:v>278.27536500000002</c:v>
                </c:pt>
                <c:pt idx="427">
                  <c:v>278.27536500000002</c:v>
                </c:pt>
                <c:pt idx="428">
                  <c:v>278.27536500000002</c:v>
                </c:pt>
                <c:pt idx="429">
                  <c:v>278.27536500000002</c:v>
                </c:pt>
                <c:pt idx="430">
                  <c:v>278.27536500000002</c:v>
                </c:pt>
                <c:pt idx="431">
                  <c:v>278.27536500000002</c:v>
                </c:pt>
                <c:pt idx="432">
                  <c:v>278.27536500000002</c:v>
                </c:pt>
                <c:pt idx="433">
                  <c:v>278.27536500000002</c:v>
                </c:pt>
                <c:pt idx="434">
                  <c:v>278.27536500000002</c:v>
                </c:pt>
                <c:pt idx="435">
                  <c:v>278.27536500000002</c:v>
                </c:pt>
                <c:pt idx="436">
                  <c:v>278.27536500000002</c:v>
                </c:pt>
                <c:pt idx="437">
                  <c:v>278.27536500000002</c:v>
                </c:pt>
                <c:pt idx="438">
                  <c:v>278.27536500000002</c:v>
                </c:pt>
                <c:pt idx="439">
                  <c:v>278.27536500000002</c:v>
                </c:pt>
                <c:pt idx="440">
                  <c:v>278.27536500000002</c:v>
                </c:pt>
                <c:pt idx="441">
                  <c:v>278.27536500000002</c:v>
                </c:pt>
                <c:pt idx="442">
                  <c:v>278.27536500000002</c:v>
                </c:pt>
                <c:pt idx="443">
                  <c:v>278.27536500000002</c:v>
                </c:pt>
                <c:pt idx="444">
                  <c:v>278.27536500000002</c:v>
                </c:pt>
                <c:pt idx="445">
                  <c:v>278.27536500000002</c:v>
                </c:pt>
                <c:pt idx="446">
                  <c:v>278.27536500000002</c:v>
                </c:pt>
                <c:pt idx="447">
                  <c:v>278.27536500000002</c:v>
                </c:pt>
                <c:pt idx="448">
                  <c:v>278.27536500000002</c:v>
                </c:pt>
                <c:pt idx="449">
                  <c:v>278.27536500000002</c:v>
                </c:pt>
                <c:pt idx="450">
                  <c:v>278.27536500000002</c:v>
                </c:pt>
                <c:pt idx="451">
                  <c:v>278.27536500000002</c:v>
                </c:pt>
                <c:pt idx="452">
                  <c:v>278.27536500000002</c:v>
                </c:pt>
                <c:pt idx="453">
                  <c:v>278.27536500000002</c:v>
                </c:pt>
                <c:pt idx="454">
                  <c:v>278.27536500000002</c:v>
                </c:pt>
                <c:pt idx="455">
                  <c:v>278.27536500000002</c:v>
                </c:pt>
                <c:pt idx="456">
                  <c:v>278.27536500000002</c:v>
                </c:pt>
                <c:pt idx="457">
                  <c:v>278.27536500000002</c:v>
                </c:pt>
                <c:pt idx="458">
                  <c:v>278.27536500000002</c:v>
                </c:pt>
                <c:pt idx="459">
                  <c:v>278.27536500000002</c:v>
                </c:pt>
                <c:pt idx="460">
                  <c:v>278.27536500000002</c:v>
                </c:pt>
                <c:pt idx="461">
                  <c:v>278.27536500000002</c:v>
                </c:pt>
                <c:pt idx="462">
                  <c:v>278.27536500000002</c:v>
                </c:pt>
                <c:pt idx="463">
                  <c:v>278.27536500000002</c:v>
                </c:pt>
                <c:pt idx="464">
                  <c:v>278.27536500000002</c:v>
                </c:pt>
                <c:pt idx="465">
                  <c:v>278.27536500000002</c:v>
                </c:pt>
                <c:pt idx="466">
                  <c:v>278.27536500000002</c:v>
                </c:pt>
                <c:pt idx="467">
                  <c:v>278.27536500000002</c:v>
                </c:pt>
                <c:pt idx="468">
                  <c:v>278.27536500000002</c:v>
                </c:pt>
                <c:pt idx="469">
                  <c:v>278.27536500000002</c:v>
                </c:pt>
                <c:pt idx="470">
                  <c:v>278.27536500000002</c:v>
                </c:pt>
                <c:pt idx="471">
                  <c:v>278.27536500000002</c:v>
                </c:pt>
                <c:pt idx="472">
                  <c:v>278.27536500000002</c:v>
                </c:pt>
                <c:pt idx="473">
                  <c:v>278.27536500000002</c:v>
                </c:pt>
                <c:pt idx="474">
                  <c:v>278.27536500000002</c:v>
                </c:pt>
                <c:pt idx="475">
                  <c:v>278.27536500000002</c:v>
                </c:pt>
                <c:pt idx="476">
                  <c:v>278.27536500000002</c:v>
                </c:pt>
                <c:pt idx="477">
                  <c:v>278.27536500000002</c:v>
                </c:pt>
                <c:pt idx="478">
                  <c:v>278.27536500000002</c:v>
                </c:pt>
                <c:pt idx="479">
                  <c:v>278.27536500000002</c:v>
                </c:pt>
                <c:pt idx="480">
                  <c:v>278.27536500000002</c:v>
                </c:pt>
                <c:pt idx="481">
                  <c:v>278.27536500000002</c:v>
                </c:pt>
                <c:pt idx="482">
                  <c:v>278.27536500000002</c:v>
                </c:pt>
                <c:pt idx="483">
                  <c:v>278.27536500000002</c:v>
                </c:pt>
                <c:pt idx="484">
                  <c:v>278.27536500000002</c:v>
                </c:pt>
                <c:pt idx="485">
                  <c:v>278.27536500000002</c:v>
                </c:pt>
                <c:pt idx="486">
                  <c:v>278.27536500000002</c:v>
                </c:pt>
                <c:pt idx="487">
                  <c:v>278.27536500000002</c:v>
                </c:pt>
                <c:pt idx="488">
                  <c:v>278.27536500000002</c:v>
                </c:pt>
                <c:pt idx="489">
                  <c:v>278.27536500000002</c:v>
                </c:pt>
                <c:pt idx="490">
                  <c:v>278.27536500000002</c:v>
                </c:pt>
                <c:pt idx="491">
                  <c:v>278.27536500000002</c:v>
                </c:pt>
                <c:pt idx="492">
                  <c:v>278.27536500000002</c:v>
                </c:pt>
                <c:pt idx="493">
                  <c:v>278.27536500000002</c:v>
                </c:pt>
                <c:pt idx="494">
                  <c:v>278.27536500000002</c:v>
                </c:pt>
                <c:pt idx="495">
                  <c:v>278.27536500000002</c:v>
                </c:pt>
                <c:pt idx="496">
                  <c:v>278.27536500000002</c:v>
                </c:pt>
                <c:pt idx="497">
                  <c:v>278.27536500000002</c:v>
                </c:pt>
                <c:pt idx="498">
                  <c:v>278.27536500000002</c:v>
                </c:pt>
                <c:pt idx="499">
                  <c:v>278.27536500000002</c:v>
                </c:pt>
                <c:pt idx="500">
                  <c:v>278.27536500000002</c:v>
                </c:pt>
                <c:pt idx="501">
                  <c:v>278.27536500000002</c:v>
                </c:pt>
                <c:pt idx="502">
                  <c:v>278.27536500000002</c:v>
                </c:pt>
                <c:pt idx="503">
                  <c:v>278.27536500000002</c:v>
                </c:pt>
                <c:pt idx="504">
                  <c:v>278.27536500000002</c:v>
                </c:pt>
                <c:pt idx="505">
                  <c:v>278.27536500000002</c:v>
                </c:pt>
                <c:pt idx="506">
                  <c:v>278.27536500000002</c:v>
                </c:pt>
                <c:pt idx="507">
                  <c:v>278.27536500000002</c:v>
                </c:pt>
                <c:pt idx="508">
                  <c:v>278.27536500000002</c:v>
                </c:pt>
                <c:pt idx="509">
                  <c:v>278.27536500000002</c:v>
                </c:pt>
                <c:pt idx="510">
                  <c:v>278.27536500000002</c:v>
                </c:pt>
                <c:pt idx="511">
                  <c:v>278.27536500000002</c:v>
                </c:pt>
                <c:pt idx="512">
                  <c:v>278.27536500000002</c:v>
                </c:pt>
                <c:pt idx="513">
                  <c:v>278.27536500000002</c:v>
                </c:pt>
                <c:pt idx="514">
                  <c:v>278.27536500000002</c:v>
                </c:pt>
                <c:pt idx="515">
                  <c:v>278.27536500000002</c:v>
                </c:pt>
                <c:pt idx="516">
                  <c:v>278.27536500000002</c:v>
                </c:pt>
                <c:pt idx="517">
                  <c:v>278.27536500000002</c:v>
                </c:pt>
                <c:pt idx="518">
                  <c:v>278.27536500000002</c:v>
                </c:pt>
                <c:pt idx="519">
                  <c:v>278.27536500000002</c:v>
                </c:pt>
                <c:pt idx="520">
                  <c:v>278.27536500000002</c:v>
                </c:pt>
                <c:pt idx="521">
                  <c:v>278.27536500000002</c:v>
                </c:pt>
                <c:pt idx="522">
                  <c:v>278.27536500000002</c:v>
                </c:pt>
                <c:pt idx="523">
                  <c:v>278.27536500000002</c:v>
                </c:pt>
                <c:pt idx="524">
                  <c:v>278.27536500000002</c:v>
                </c:pt>
                <c:pt idx="525">
                  <c:v>278.27536500000002</c:v>
                </c:pt>
                <c:pt idx="526">
                  <c:v>278.27536500000002</c:v>
                </c:pt>
                <c:pt idx="527">
                  <c:v>278.27536500000002</c:v>
                </c:pt>
                <c:pt idx="528">
                  <c:v>278.27536500000002</c:v>
                </c:pt>
                <c:pt idx="529">
                  <c:v>278.27536500000002</c:v>
                </c:pt>
                <c:pt idx="530">
                  <c:v>278.27536500000002</c:v>
                </c:pt>
                <c:pt idx="531">
                  <c:v>278.27536500000002</c:v>
                </c:pt>
                <c:pt idx="532">
                  <c:v>278.27536500000002</c:v>
                </c:pt>
                <c:pt idx="533">
                  <c:v>278.27536500000002</c:v>
                </c:pt>
                <c:pt idx="534">
                  <c:v>278.27536500000002</c:v>
                </c:pt>
                <c:pt idx="535">
                  <c:v>278.27536500000002</c:v>
                </c:pt>
                <c:pt idx="536">
                  <c:v>278.27536500000002</c:v>
                </c:pt>
                <c:pt idx="537">
                  <c:v>278.27536500000002</c:v>
                </c:pt>
                <c:pt idx="538">
                  <c:v>278.27536500000002</c:v>
                </c:pt>
                <c:pt idx="539">
                  <c:v>278.27536500000002</c:v>
                </c:pt>
                <c:pt idx="540">
                  <c:v>278.27536500000002</c:v>
                </c:pt>
                <c:pt idx="541">
                  <c:v>278.27536500000002</c:v>
                </c:pt>
                <c:pt idx="542">
                  <c:v>278.27536500000002</c:v>
                </c:pt>
                <c:pt idx="543">
                  <c:v>278.27536500000002</c:v>
                </c:pt>
                <c:pt idx="544">
                  <c:v>278.27536500000002</c:v>
                </c:pt>
                <c:pt idx="545">
                  <c:v>278.27536500000002</c:v>
                </c:pt>
                <c:pt idx="546">
                  <c:v>278.27536500000002</c:v>
                </c:pt>
                <c:pt idx="547">
                  <c:v>278.27536500000002</c:v>
                </c:pt>
                <c:pt idx="548">
                  <c:v>278.27536500000002</c:v>
                </c:pt>
                <c:pt idx="549">
                  <c:v>278.27536500000002</c:v>
                </c:pt>
                <c:pt idx="550">
                  <c:v>278.27536500000002</c:v>
                </c:pt>
                <c:pt idx="551">
                  <c:v>278.27536500000002</c:v>
                </c:pt>
                <c:pt idx="552">
                  <c:v>278.27536500000002</c:v>
                </c:pt>
                <c:pt idx="553">
                  <c:v>278.27536500000002</c:v>
                </c:pt>
                <c:pt idx="554">
                  <c:v>278.27536500000002</c:v>
                </c:pt>
                <c:pt idx="555">
                  <c:v>278.27536500000002</c:v>
                </c:pt>
                <c:pt idx="556">
                  <c:v>278.27536500000002</c:v>
                </c:pt>
                <c:pt idx="557">
                  <c:v>278.27536500000002</c:v>
                </c:pt>
                <c:pt idx="558">
                  <c:v>278.27536500000002</c:v>
                </c:pt>
                <c:pt idx="559">
                  <c:v>278.27536500000002</c:v>
                </c:pt>
                <c:pt idx="560">
                  <c:v>278.27536500000002</c:v>
                </c:pt>
                <c:pt idx="561">
                  <c:v>278.27536500000002</c:v>
                </c:pt>
                <c:pt idx="562">
                  <c:v>278.27536500000002</c:v>
                </c:pt>
                <c:pt idx="563">
                  <c:v>278.27536500000002</c:v>
                </c:pt>
                <c:pt idx="564">
                  <c:v>278.27536500000002</c:v>
                </c:pt>
                <c:pt idx="565">
                  <c:v>278.27536500000002</c:v>
                </c:pt>
                <c:pt idx="566">
                  <c:v>278.27536500000002</c:v>
                </c:pt>
                <c:pt idx="567">
                  <c:v>278.27536500000002</c:v>
                </c:pt>
                <c:pt idx="568">
                  <c:v>278.27536500000002</c:v>
                </c:pt>
                <c:pt idx="569">
                  <c:v>278.27536500000002</c:v>
                </c:pt>
                <c:pt idx="570">
                  <c:v>278.27536500000002</c:v>
                </c:pt>
                <c:pt idx="571">
                  <c:v>278.27536500000002</c:v>
                </c:pt>
                <c:pt idx="572">
                  <c:v>278.27536500000002</c:v>
                </c:pt>
                <c:pt idx="573">
                  <c:v>278.27536500000002</c:v>
                </c:pt>
                <c:pt idx="574">
                  <c:v>278.27536500000002</c:v>
                </c:pt>
                <c:pt idx="575">
                  <c:v>278.27536500000002</c:v>
                </c:pt>
                <c:pt idx="576">
                  <c:v>278.27536500000002</c:v>
                </c:pt>
                <c:pt idx="577">
                  <c:v>278.27536500000002</c:v>
                </c:pt>
                <c:pt idx="578">
                  <c:v>278.27536500000002</c:v>
                </c:pt>
                <c:pt idx="579">
                  <c:v>278.27536500000002</c:v>
                </c:pt>
                <c:pt idx="580">
                  <c:v>278.27536500000002</c:v>
                </c:pt>
                <c:pt idx="581">
                  <c:v>278.27536500000002</c:v>
                </c:pt>
                <c:pt idx="582">
                  <c:v>278.27536500000002</c:v>
                </c:pt>
                <c:pt idx="583">
                  <c:v>278.27536500000002</c:v>
                </c:pt>
                <c:pt idx="584">
                  <c:v>278.27536500000002</c:v>
                </c:pt>
                <c:pt idx="585">
                  <c:v>278.27536500000002</c:v>
                </c:pt>
                <c:pt idx="586">
                  <c:v>278.27536500000002</c:v>
                </c:pt>
                <c:pt idx="587">
                  <c:v>278.27536500000002</c:v>
                </c:pt>
                <c:pt idx="588">
                  <c:v>278.27536500000002</c:v>
                </c:pt>
                <c:pt idx="589">
                  <c:v>556.55073000000004</c:v>
                </c:pt>
                <c:pt idx="590">
                  <c:v>556.55073000000004</c:v>
                </c:pt>
                <c:pt idx="591">
                  <c:v>556.55073000000004</c:v>
                </c:pt>
                <c:pt idx="592">
                  <c:v>556.55073000000004</c:v>
                </c:pt>
                <c:pt idx="593">
                  <c:v>556.55073000000004</c:v>
                </c:pt>
                <c:pt idx="594">
                  <c:v>556.55073000000004</c:v>
                </c:pt>
                <c:pt idx="595">
                  <c:v>556.55073000000004</c:v>
                </c:pt>
                <c:pt idx="596">
                  <c:v>556.55073000000004</c:v>
                </c:pt>
                <c:pt idx="597">
                  <c:v>556.55073000000004</c:v>
                </c:pt>
                <c:pt idx="598">
                  <c:v>556.55073000000004</c:v>
                </c:pt>
                <c:pt idx="599">
                  <c:v>556.55073000000004</c:v>
                </c:pt>
                <c:pt idx="600">
                  <c:v>556.55073000000004</c:v>
                </c:pt>
                <c:pt idx="601">
                  <c:v>556.55073000000004</c:v>
                </c:pt>
                <c:pt idx="602">
                  <c:v>556.55073000000004</c:v>
                </c:pt>
                <c:pt idx="603">
                  <c:v>556.55073000000004</c:v>
                </c:pt>
                <c:pt idx="604">
                  <c:v>556.55073000000004</c:v>
                </c:pt>
                <c:pt idx="605">
                  <c:v>556.55073000000004</c:v>
                </c:pt>
                <c:pt idx="606">
                  <c:v>556.55073000000004</c:v>
                </c:pt>
                <c:pt idx="607">
                  <c:v>556.55073000000004</c:v>
                </c:pt>
                <c:pt idx="608">
                  <c:v>556.55073000000004</c:v>
                </c:pt>
                <c:pt idx="609">
                  <c:v>556.55073000000004</c:v>
                </c:pt>
                <c:pt idx="610">
                  <c:v>556.55073000000004</c:v>
                </c:pt>
                <c:pt idx="611">
                  <c:v>556.55073000000004</c:v>
                </c:pt>
                <c:pt idx="612">
                  <c:v>556.55073000000004</c:v>
                </c:pt>
                <c:pt idx="613">
                  <c:v>556.55073000000004</c:v>
                </c:pt>
                <c:pt idx="614">
                  <c:v>556.55073000000004</c:v>
                </c:pt>
                <c:pt idx="615">
                  <c:v>556.55073000000004</c:v>
                </c:pt>
                <c:pt idx="616">
                  <c:v>556.55073000000004</c:v>
                </c:pt>
                <c:pt idx="617">
                  <c:v>556.55073000000004</c:v>
                </c:pt>
                <c:pt idx="618">
                  <c:v>556.55073000000004</c:v>
                </c:pt>
                <c:pt idx="619">
                  <c:v>556.55073000000004</c:v>
                </c:pt>
                <c:pt idx="620">
                  <c:v>556.55073000000004</c:v>
                </c:pt>
                <c:pt idx="621">
                  <c:v>556.55073000000004</c:v>
                </c:pt>
                <c:pt idx="622">
                  <c:v>556.55073000000004</c:v>
                </c:pt>
                <c:pt idx="623">
                  <c:v>556.55073000000004</c:v>
                </c:pt>
                <c:pt idx="624">
                  <c:v>556.55073000000004</c:v>
                </c:pt>
                <c:pt idx="625">
                  <c:v>556.55073000000004</c:v>
                </c:pt>
                <c:pt idx="626">
                  <c:v>556.55073000000004</c:v>
                </c:pt>
                <c:pt idx="627">
                  <c:v>556.55073000000004</c:v>
                </c:pt>
                <c:pt idx="628">
                  <c:v>556.55073000000004</c:v>
                </c:pt>
                <c:pt idx="629">
                  <c:v>556.55073000000004</c:v>
                </c:pt>
                <c:pt idx="630">
                  <c:v>556.55073000000004</c:v>
                </c:pt>
                <c:pt idx="631">
                  <c:v>556.55073000000004</c:v>
                </c:pt>
                <c:pt idx="632">
                  <c:v>556.55073000000004</c:v>
                </c:pt>
                <c:pt idx="633">
                  <c:v>556.55073000000004</c:v>
                </c:pt>
                <c:pt idx="634">
                  <c:v>556.55073000000004</c:v>
                </c:pt>
                <c:pt idx="635">
                  <c:v>556.55073000000004</c:v>
                </c:pt>
                <c:pt idx="636">
                  <c:v>556.55073000000004</c:v>
                </c:pt>
                <c:pt idx="637">
                  <c:v>556.55073000000004</c:v>
                </c:pt>
                <c:pt idx="638">
                  <c:v>556.55073000000004</c:v>
                </c:pt>
                <c:pt idx="639">
                  <c:v>556.55073000000004</c:v>
                </c:pt>
                <c:pt idx="640">
                  <c:v>556.55073000000004</c:v>
                </c:pt>
                <c:pt idx="641">
                  <c:v>556.55073000000004</c:v>
                </c:pt>
                <c:pt idx="642">
                  <c:v>556.55073000000004</c:v>
                </c:pt>
                <c:pt idx="643">
                  <c:v>556.55073000000004</c:v>
                </c:pt>
                <c:pt idx="644">
                  <c:v>556.55073000000004</c:v>
                </c:pt>
                <c:pt idx="645">
                  <c:v>556.55073000000004</c:v>
                </c:pt>
                <c:pt idx="646">
                  <c:v>556.55073000000004</c:v>
                </c:pt>
                <c:pt idx="647">
                  <c:v>556.55073000000004</c:v>
                </c:pt>
                <c:pt idx="648">
                  <c:v>556.55073000000004</c:v>
                </c:pt>
                <c:pt idx="649">
                  <c:v>556.55073000000004</c:v>
                </c:pt>
                <c:pt idx="650">
                  <c:v>556.55073000000004</c:v>
                </c:pt>
                <c:pt idx="651">
                  <c:v>556.55073000000004</c:v>
                </c:pt>
                <c:pt idx="652">
                  <c:v>556.55073000000004</c:v>
                </c:pt>
                <c:pt idx="653">
                  <c:v>556.55073000000004</c:v>
                </c:pt>
                <c:pt idx="654">
                  <c:v>556.55073000000004</c:v>
                </c:pt>
                <c:pt idx="655">
                  <c:v>556.55073000000004</c:v>
                </c:pt>
                <c:pt idx="656">
                  <c:v>556.55073000000004</c:v>
                </c:pt>
                <c:pt idx="657">
                  <c:v>556.55073000000004</c:v>
                </c:pt>
                <c:pt idx="658">
                  <c:v>556.55073000000004</c:v>
                </c:pt>
                <c:pt idx="659">
                  <c:v>556.55073000000004</c:v>
                </c:pt>
                <c:pt idx="660">
                  <c:v>556.55073000000004</c:v>
                </c:pt>
                <c:pt idx="661">
                  <c:v>556.55073000000004</c:v>
                </c:pt>
                <c:pt idx="662">
                  <c:v>556.55073000000004</c:v>
                </c:pt>
                <c:pt idx="663">
                  <c:v>556.55073000000004</c:v>
                </c:pt>
                <c:pt idx="664">
                  <c:v>556.55073000000004</c:v>
                </c:pt>
                <c:pt idx="665">
                  <c:v>556.55073000000004</c:v>
                </c:pt>
                <c:pt idx="666">
                  <c:v>556.55073000000004</c:v>
                </c:pt>
                <c:pt idx="667">
                  <c:v>556.55073000000004</c:v>
                </c:pt>
                <c:pt idx="668">
                  <c:v>556.55073000000004</c:v>
                </c:pt>
                <c:pt idx="669">
                  <c:v>556.55073000000004</c:v>
                </c:pt>
                <c:pt idx="670">
                  <c:v>556.55073000000004</c:v>
                </c:pt>
                <c:pt idx="671">
                  <c:v>556.55073000000004</c:v>
                </c:pt>
                <c:pt idx="672">
                  <c:v>556.55073000000004</c:v>
                </c:pt>
                <c:pt idx="673">
                  <c:v>556.55073000000004</c:v>
                </c:pt>
                <c:pt idx="674">
                  <c:v>556.55073000000004</c:v>
                </c:pt>
                <c:pt idx="675">
                  <c:v>556.55073000000004</c:v>
                </c:pt>
                <c:pt idx="676">
                  <c:v>556.55073000000004</c:v>
                </c:pt>
                <c:pt idx="677">
                  <c:v>556.55073000000004</c:v>
                </c:pt>
                <c:pt idx="678">
                  <c:v>556.55073000000004</c:v>
                </c:pt>
                <c:pt idx="679">
                  <c:v>556.55073000000004</c:v>
                </c:pt>
                <c:pt idx="680">
                  <c:v>556.55073000000004</c:v>
                </c:pt>
                <c:pt idx="681">
                  <c:v>556.55073000000004</c:v>
                </c:pt>
                <c:pt idx="682">
                  <c:v>556.55073000000004</c:v>
                </c:pt>
                <c:pt idx="683">
                  <c:v>556.55073000000004</c:v>
                </c:pt>
                <c:pt idx="684">
                  <c:v>556.55073000000004</c:v>
                </c:pt>
                <c:pt idx="685">
                  <c:v>556.55073000000004</c:v>
                </c:pt>
                <c:pt idx="686">
                  <c:v>556.55073000000004</c:v>
                </c:pt>
                <c:pt idx="687">
                  <c:v>556.55073000000004</c:v>
                </c:pt>
                <c:pt idx="688">
                  <c:v>556.55073000000004</c:v>
                </c:pt>
                <c:pt idx="689">
                  <c:v>556.55073000000004</c:v>
                </c:pt>
                <c:pt idx="690">
                  <c:v>556.55073000000004</c:v>
                </c:pt>
                <c:pt idx="691">
                  <c:v>556.55073000000004</c:v>
                </c:pt>
                <c:pt idx="692">
                  <c:v>556.55073000000004</c:v>
                </c:pt>
                <c:pt idx="693">
                  <c:v>556.55073000000004</c:v>
                </c:pt>
                <c:pt idx="694">
                  <c:v>556.55073000000004</c:v>
                </c:pt>
                <c:pt idx="695">
                  <c:v>556.55073000000004</c:v>
                </c:pt>
                <c:pt idx="696">
                  <c:v>556.55073000000004</c:v>
                </c:pt>
                <c:pt idx="697">
                  <c:v>556.55073000000004</c:v>
                </c:pt>
                <c:pt idx="698">
                  <c:v>556.55073000000004</c:v>
                </c:pt>
                <c:pt idx="699">
                  <c:v>556.55073000000004</c:v>
                </c:pt>
                <c:pt idx="700">
                  <c:v>556.55073000000004</c:v>
                </c:pt>
                <c:pt idx="701">
                  <c:v>556.55073000000004</c:v>
                </c:pt>
                <c:pt idx="702">
                  <c:v>556.55073000000004</c:v>
                </c:pt>
                <c:pt idx="703">
                  <c:v>556.55073000000004</c:v>
                </c:pt>
                <c:pt idx="704">
                  <c:v>556.55073000000004</c:v>
                </c:pt>
                <c:pt idx="705">
                  <c:v>556.55073000000004</c:v>
                </c:pt>
                <c:pt idx="706">
                  <c:v>556.55073000000004</c:v>
                </c:pt>
                <c:pt idx="707">
                  <c:v>556.55073000000004</c:v>
                </c:pt>
                <c:pt idx="708">
                  <c:v>556.55073000000004</c:v>
                </c:pt>
                <c:pt idx="709">
                  <c:v>556.55073000000004</c:v>
                </c:pt>
                <c:pt idx="710">
                  <c:v>556.55073000000004</c:v>
                </c:pt>
                <c:pt idx="711">
                  <c:v>556.55073000000004</c:v>
                </c:pt>
                <c:pt idx="712">
                  <c:v>556.55073000000004</c:v>
                </c:pt>
                <c:pt idx="713">
                  <c:v>556.55073000000004</c:v>
                </c:pt>
                <c:pt idx="714">
                  <c:v>556.55073000000004</c:v>
                </c:pt>
                <c:pt idx="715">
                  <c:v>556.55073000000004</c:v>
                </c:pt>
                <c:pt idx="716">
                  <c:v>556.55073000000004</c:v>
                </c:pt>
                <c:pt idx="717">
                  <c:v>556.55073000000004</c:v>
                </c:pt>
                <c:pt idx="718">
                  <c:v>556.55073000000004</c:v>
                </c:pt>
                <c:pt idx="719">
                  <c:v>556.55073000000004</c:v>
                </c:pt>
                <c:pt idx="720">
                  <c:v>556.55073000000004</c:v>
                </c:pt>
                <c:pt idx="721">
                  <c:v>556.55073000000004</c:v>
                </c:pt>
                <c:pt idx="722">
                  <c:v>556.55073000000004</c:v>
                </c:pt>
                <c:pt idx="723">
                  <c:v>556.55073000000004</c:v>
                </c:pt>
                <c:pt idx="724">
                  <c:v>556.55073000000004</c:v>
                </c:pt>
                <c:pt idx="725">
                  <c:v>556.55073000000004</c:v>
                </c:pt>
                <c:pt idx="726">
                  <c:v>556.55073000000004</c:v>
                </c:pt>
                <c:pt idx="727">
                  <c:v>556.55073000000004</c:v>
                </c:pt>
                <c:pt idx="728">
                  <c:v>556.55073000000004</c:v>
                </c:pt>
                <c:pt idx="729">
                  <c:v>556.55073000000004</c:v>
                </c:pt>
                <c:pt idx="730">
                  <c:v>556.55073000000004</c:v>
                </c:pt>
                <c:pt idx="731">
                  <c:v>556.55073000000004</c:v>
                </c:pt>
                <c:pt idx="732">
                  <c:v>556.55073000000004</c:v>
                </c:pt>
                <c:pt idx="733">
                  <c:v>556.55073000000004</c:v>
                </c:pt>
                <c:pt idx="734">
                  <c:v>556.55073000000004</c:v>
                </c:pt>
                <c:pt idx="735">
                  <c:v>556.55073000000004</c:v>
                </c:pt>
                <c:pt idx="736">
                  <c:v>556.55073000000004</c:v>
                </c:pt>
                <c:pt idx="737">
                  <c:v>556.55073000000004</c:v>
                </c:pt>
                <c:pt idx="738">
                  <c:v>556.55073000000004</c:v>
                </c:pt>
                <c:pt idx="739">
                  <c:v>556.55073000000004</c:v>
                </c:pt>
                <c:pt idx="740">
                  <c:v>556.55073000000004</c:v>
                </c:pt>
                <c:pt idx="741">
                  <c:v>556.55073000000004</c:v>
                </c:pt>
                <c:pt idx="742">
                  <c:v>556.55073000000004</c:v>
                </c:pt>
                <c:pt idx="743">
                  <c:v>556.55073000000004</c:v>
                </c:pt>
                <c:pt idx="744">
                  <c:v>556.55073000000004</c:v>
                </c:pt>
                <c:pt idx="745">
                  <c:v>556.55073000000004</c:v>
                </c:pt>
                <c:pt idx="746">
                  <c:v>556.55073000000004</c:v>
                </c:pt>
                <c:pt idx="747">
                  <c:v>556.55073000000004</c:v>
                </c:pt>
                <c:pt idx="748">
                  <c:v>556.55073000000004</c:v>
                </c:pt>
                <c:pt idx="749">
                  <c:v>556.55073000000004</c:v>
                </c:pt>
                <c:pt idx="750">
                  <c:v>556.55073000000004</c:v>
                </c:pt>
                <c:pt idx="751">
                  <c:v>556.55073000000004</c:v>
                </c:pt>
                <c:pt idx="752">
                  <c:v>556.55073000000004</c:v>
                </c:pt>
                <c:pt idx="753">
                  <c:v>556.55073000000004</c:v>
                </c:pt>
                <c:pt idx="754">
                  <c:v>556.55073000000004</c:v>
                </c:pt>
                <c:pt idx="755">
                  <c:v>556.55073000000004</c:v>
                </c:pt>
                <c:pt idx="756">
                  <c:v>556.55073000000004</c:v>
                </c:pt>
                <c:pt idx="757">
                  <c:v>556.55073000000004</c:v>
                </c:pt>
                <c:pt idx="758">
                  <c:v>556.55073000000004</c:v>
                </c:pt>
                <c:pt idx="759">
                  <c:v>556.55073000000004</c:v>
                </c:pt>
                <c:pt idx="760">
                  <c:v>556.55073000000004</c:v>
                </c:pt>
                <c:pt idx="761">
                  <c:v>556.55073000000004</c:v>
                </c:pt>
                <c:pt idx="762">
                  <c:v>556.55073000000004</c:v>
                </c:pt>
                <c:pt idx="763">
                  <c:v>556.55073000000004</c:v>
                </c:pt>
                <c:pt idx="764">
                  <c:v>556.55073000000004</c:v>
                </c:pt>
                <c:pt idx="765">
                  <c:v>556.55073000000004</c:v>
                </c:pt>
                <c:pt idx="766">
                  <c:v>556.55073000000004</c:v>
                </c:pt>
                <c:pt idx="767">
                  <c:v>556.55073000000004</c:v>
                </c:pt>
                <c:pt idx="768">
                  <c:v>556.55073000000004</c:v>
                </c:pt>
                <c:pt idx="769">
                  <c:v>556.55073000000004</c:v>
                </c:pt>
                <c:pt idx="770">
                  <c:v>556.55073000000004</c:v>
                </c:pt>
                <c:pt idx="771">
                  <c:v>556.55073000000004</c:v>
                </c:pt>
                <c:pt idx="772">
                  <c:v>556.55073000000004</c:v>
                </c:pt>
                <c:pt idx="773">
                  <c:v>556.55073000000004</c:v>
                </c:pt>
                <c:pt idx="774">
                  <c:v>556.55073000000004</c:v>
                </c:pt>
                <c:pt idx="775">
                  <c:v>556.55073000000004</c:v>
                </c:pt>
                <c:pt idx="776">
                  <c:v>556.55073000000004</c:v>
                </c:pt>
                <c:pt idx="777">
                  <c:v>556.55073000000004</c:v>
                </c:pt>
                <c:pt idx="778">
                  <c:v>556.55073000000004</c:v>
                </c:pt>
                <c:pt idx="779">
                  <c:v>556.55073000000004</c:v>
                </c:pt>
                <c:pt idx="780">
                  <c:v>556.55073000000004</c:v>
                </c:pt>
                <c:pt idx="781">
                  <c:v>556.55073000000004</c:v>
                </c:pt>
                <c:pt idx="782">
                  <c:v>556.55073000000004</c:v>
                </c:pt>
                <c:pt idx="783">
                  <c:v>556.55073000000004</c:v>
                </c:pt>
                <c:pt idx="784">
                  <c:v>556.55073000000004</c:v>
                </c:pt>
                <c:pt idx="785">
                  <c:v>556.55073000000004</c:v>
                </c:pt>
                <c:pt idx="786">
                  <c:v>556.55073000000004</c:v>
                </c:pt>
                <c:pt idx="787">
                  <c:v>556.55073000000004</c:v>
                </c:pt>
                <c:pt idx="788">
                  <c:v>556.55073000000004</c:v>
                </c:pt>
                <c:pt idx="789">
                  <c:v>556.55073000000004</c:v>
                </c:pt>
                <c:pt idx="790">
                  <c:v>556.55073000000004</c:v>
                </c:pt>
                <c:pt idx="791">
                  <c:v>556.55073000000004</c:v>
                </c:pt>
                <c:pt idx="792">
                  <c:v>556.55073000000004</c:v>
                </c:pt>
                <c:pt idx="793">
                  <c:v>556.55073000000004</c:v>
                </c:pt>
                <c:pt idx="794">
                  <c:v>556.55073000000004</c:v>
                </c:pt>
                <c:pt idx="795">
                  <c:v>556.55073000000004</c:v>
                </c:pt>
                <c:pt idx="796">
                  <c:v>556.55073000000004</c:v>
                </c:pt>
                <c:pt idx="797">
                  <c:v>556.55073000000004</c:v>
                </c:pt>
                <c:pt idx="798">
                  <c:v>556.55073000000004</c:v>
                </c:pt>
                <c:pt idx="799">
                  <c:v>556.55073000000004</c:v>
                </c:pt>
                <c:pt idx="800">
                  <c:v>556.55073000000004</c:v>
                </c:pt>
                <c:pt idx="801">
                  <c:v>556.55073000000004</c:v>
                </c:pt>
                <c:pt idx="802">
                  <c:v>556.55073000000004</c:v>
                </c:pt>
                <c:pt idx="803">
                  <c:v>556.55073000000004</c:v>
                </c:pt>
                <c:pt idx="804">
                  <c:v>556.55073000000004</c:v>
                </c:pt>
                <c:pt idx="805">
                  <c:v>556.55073000000004</c:v>
                </c:pt>
                <c:pt idx="806">
                  <c:v>556.55073000000004</c:v>
                </c:pt>
                <c:pt idx="807">
                  <c:v>556.55073000000004</c:v>
                </c:pt>
                <c:pt idx="808">
                  <c:v>556.55073000000004</c:v>
                </c:pt>
                <c:pt idx="809">
                  <c:v>556.55073000000004</c:v>
                </c:pt>
                <c:pt idx="810">
                  <c:v>556.55073000000004</c:v>
                </c:pt>
                <c:pt idx="811">
                  <c:v>556.55073000000004</c:v>
                </c:pt>
                <c:pt idx="812">
                  <c:v>556.55073000000004</c:v>
                </c:pt>
                <c:pt idx="813">
                  <c:v>556.55073000000004</c:v>
                </c:pt>
                <c:pt idx="814">
                  <c:v>556.55073000000004</c:v>
                </c:pt>
                <c:pt idx="815">
                  <c:v>556.55073000000004</c:v>
                </c:pt>
                <c:pt idx="816">
                  <c:v>556.55073000000004</c:v>
                </c:pt>
                <c:pt idx="817">
                  <c:v>556.55073000000004</c:v>
                </c:pt>
                <c:pt idx="818">
                  <c:v>556.55073000000004</c:v>
                </c:pt>
                <c:pt idx="819">
                  <c:v>556.55073000000004</c:v>
                </c:pt>
                <c:pt idx="820">
                  <c:v>556.55073000000004</c:v>
                </c:pt>
                <c:pt idx="821">
                  <c:v>556.55073000000004</c:v>
                </c:pt>
                <c:pt idx="822">
                  <c:v>556.55073000000004</c:v>
                </c:pt>
                <c:pt idx="823">
                  <c:v>556.55073000000004</c:v>
                </c:pt>
                <c:pt idx="824">
                  <c:v>556.55073000000004</c:v>
                </c:pt>
                <c:pt idx="825">
                  <c:v>556.55073000000004</c:v>
                </c:pt>
                <c:pt idx="826">
                  <c:v>556.55073000000004</c:v>
                </c:pt>
                <c:pt idx="827">
                  <c:v>556.55073000000004</c:v>
                </c:pt>
                <c:pt idx="828">
                  <c:v>556.55073000000004</c:v>
                </c:pt>
                <c:pt idx="829">
                  <c:v>556.55073000000004</c:v>
                </c:pt>
                <c:pt idx="830">
                  <c:v>556.55073000000004</c:v>
                </c:pt>
                <c:pt idx="831">
                  <c:v>556.55073000000004</c:v>
                </c:pt>
                <c:pt idx="832">
                  <c:v>556.55073000000004</c:v>
                </c:pt>
                <c:pt idx="833">
                  <c:v>556.55073000000004</c:v>
                </c:pt>
                <c:pt idx="834">
                  <c:v>556.55073000000004</c:v>
                </c:pt>
                <c:pt idx="835">
                  <c:v>556.55073000000004</c:v>
                </c:pt>
                <c:pt idx="836">
                  <c:v>556.55073000000004</c:v>
                </c:pt>
                <c:pt idx="837">
                  <c:v>111.31014600000002</c:v>
                </c:pt>
                <c:pt idx="838">
                  <c:v>111.31014600000002</c:v>
                </c:pt>
                <c:pt idx="839">
                  <c:v>111.31014600000002</c:v>
                </c:pt>
                <c:pt idx="840">
                  <c:v>111.31014600000002</c:v>
                </c:pt>
                <c:pt idx="841">
                  <c:v>111.31014600000002</c:v>
                </c:pt>
                <c:pt idx="842">
                  <c:v>111.31014600000002</c:v>
                </c:pt>
                <c:pt idx="843">
                  <c:v>111.31014600000002</c:v>
                </c:pt>
                <c:pt idx="844">
                  <c:v>111.31014600000002</c:v>
                </c:pt>
                <c:pt idx="845">
                  <c:v>111.31014600000002</c:v>
                </c:pt>
                <c:pt idx="846">
                  <c:v>111.31014600000002</c:v>
                </c:pt>
                <c:pt idx="847">
                  <c:v>111.31014600000002</c:v>
                </c:pt>
                <c:pt idx="848">
                  <c:v>111.31014600000002</c:v>
                </c:pt>
                <c:pt idx="849">
                  <c:v>111.31014600000002</c:v>
                </c:pt>
                <c:pt idx="850">
                  <c:v>111.31014600000002</c:v>
                </c:pt>
                <c:pt idx="851">
                  <c:v>111.31014600000002</c:v>
                </c:pt>
                <c:pt idx="852">
                  <c:v>111.31014600000002</c:v>
                </c:pt>
                <c:pt idx="853">
                  <c:v>111.31014600000002</c:v>
                </c:pt>
                <c:pt idx="854">
                  <c:v>111.31014600000002</c:v>
                </c:pt>
                <c:pt idx="855">
                  <c:v>111.31014600000002</c:v>
                </c:pt>
                <c:pt idx="856">
                  <c:v>111.31014600000002</c:v>
                </c:pt>
                <c:pt idx="857">
                  <c:v>111.31014600000002</c:v>
                </c:pt>
                <c:pt idx="858">
                  <c:v>111.31014600000002</c:v>
                </c:pt>
                <c:pt idx="859">
                  <c:v>111.31014600000002</c:v>
                </c:pt>
                <c:pt idx="860">
                  <c:v>111.31014600000002</c:v>
                </c:pt>
                <c:pt idx="861">
                  <c:v>111.31014600000002</c:v>
                </c:pt>
                <c:pt idx="862">
                  <c:v>111.31014600000002</c:v>
                </c:pt>
                <c:pt idx="863">
                  <c:v>111.31014600000002</c:v>
                </c:pt>
                <c:pt idx="864">
                  <c:v>111.31014600000002</c:v>
                </c:pt>
                <c:pt idx="865">
                  <c:v>111.31014600000002</c:v>
                </c:pt>
                <c:pt idx="866">
                  <c:v>111.31014600000002</c:v>
                </c:pt>
                <c:pt idx="867">
                  <c:v>111.31014600000002</c:v>
                </c:pt>
                <c:pt idx="868">
                  <c:v>111.31014600000002</c:v>
                </c:pt>
                <c:pt idx="869">
                  <c:v>111.31014600000002</c:v>
                </c:pt>
                <c:pt idx="870">
                  <c:v>111.31014600000002</c:v>
                </c:pt>
                <c:pt idx="871">
                  <c:v>111.31014600000002</c:v>
                </c:pt>
                <c:pt idx="872">
                  <c:v>111.31014600000002</c:v>
                </c:pt>
                <c:pt idx="873">
                  <c:v>111.31014600000002</c:v>
                </c:pt>
                <c:pt idx="874">
                  <c:v>111.31014600000002</c:v>
                </c:pt>
                <c:pt idx="875">
                  <c:v>111.31014600000002</c:v>
                </c:pt>
                <c:pt idx="876">
                  <c:v>111.31014600000002</c:v>
                </c:pt>
                <c:pt idx="877">
                  <c:v>111.31014600000002</c:v>
                </c:pt>
                <c:pt idx="878">
                  <c:v>111.31014600000002</c:v>
                </c:pt>
                <c:pt idx="879">
                  <c:v>111.31014600000002</c:v>
                </c:pt>
                <c:pt idx="880">
                  <c:v>111.31014600000002</c:v>
                </c:pt>
                <c:pt idx="881">
                  <c:v>111.31014600000002</c:v>
                </c:pt>
                <c:pt idx="882">
                  <c:v>111.31014600000002</c:v>
                </c:pt>
                <c:pt idx="883">
                  <c:v>111.31014600000002</c:v>
                </c:pt>
                <c:pt idx="884">
                  <c:v>111.31014600000002</c:v>
                </c:pt>
                <c:pt idx="885">
                  <c:v>111.31014600000002</c:v>
                </c:pt>
                <c:pt idx="886">
                  <c:v>111.31014600000002</c:v>
                </c:pt>
                <c:pt idx="887">
                  <c:v>111.31014600000002</c:v>
                </c:pt>
                <c:pt idx="888">
                  <c:v>111.31014600000002</c:v>
                </c:pt>
                <c:pt idx="889">
                  <c:v>111.31014600000002</c:v>
                </c:pt>
                <c:pt idx="890">
                  <c:v>111.31014600000002</c:v>
                </c:pt>
                <c:pt idx="891">
                  <c:v>111.31014600000002</c:v>
                </c:pt>
                <c:pt idx="892">
                  <c:v>111.31014600000002</c:v>
                </c:pt>
                <c:pt idx="893">
                  <c:v>111.31014600000002</c:v>
                </c:pt>
                <c:pt idx="894">
                  <c:v>111.31014600000002</c:v>
                </c:pt>
                <c:pt idx="895">
                  <c:v>111.31014600000002</c:v>
                </c:pt>
                <c:pt idx="896">
                  <c:v>111.31014600000002</c:v>
                </c:pt>
                <c:pt idx="897">
                  <c:v>111.31014600000002</c:v>
                </c:pt>
                <c:pt idx="898">
                  <c:v>111.31014600000002</c:v>
                </c:pt>
                <c:pt idx="899">
                  <c:v>111.31014600000002</c:v>
                </c:pt>
                <c:pt idx="900">
                  <c:v>111.31014600000002</c:v>
                </c:pt>
                <c:pt idx="901">
                  <c:v>111.31014600000002</c:v>
                </c:pt>
                <c:pt idx="902">
                  <c:v>111.31014600000002</c:v>
                </c:pt>
                <c:pt idx="903">
                  <c:v>111.31014600000002</c:v>
                </c:pt>
                <c:pt idx="904">
                  <c:v>111.31014600000002</c:v>
                </c:pt>
                <c:pt idx="905">
                  <c:v>111.31014600000002</c:v>
                </c:pt>
                <c:pt idx="906">
                  <c:v>111.31014600000002</c:v>
                </c:pt>
                <c:pt idx="907">
                  <c:v>111.31014600000002</c:v>
                </c:pt>
                <c:pt idx="908">
                  <c:v>111.31014600000002</c:v>
                </c:pt>
                <c:pt idx="909">
                  <c:v>111.31014600000002</c:v>
                </c:pt>
                <c:pt idx="910">
                  <c:v>111.31014600000002</c:v>
                </c:pt>
                <c:pt idx="911">
                  <c:v>111.31014600000002</c:v>
                </c:pt>
                <c:pt idx="912">
                  <c:v>111.31014600000002</c:v>
                </c:pt>
                <c:pt idx="913">
                  <c:v>111.31014600000002</c:v>
                </c:pt>
                <c:pt idx="914">
                  <c:v>111.31014600000002</c:v>
                </c:pt>
                <c:pt idx="915">
                  <c:v>111.31014600000002</c:v>
                </c:pt>
                <c:pt idx="916">
                  <c:v>111.31014600000002</c:v>
                </c:pt>
                <c:pt idx="917">
                  <c:v>111.31014600000002</c:v>
                </c:pt>
                <c:pt idx="918">
                  <c:v>111.31014600000002</c:v>
                </c:pt>
                <c:pt idx="919">
                  <c:v>111.31014600000002</c:v>
                </c:pt>
                <c:pt idx="920">
                  <c:v>111.31014600000002</c:v>
                </c:pt>
                <c:pt idx="921">
                  <c:v>111.31014600000002</c:v>
                </c:pt>
                <c:pt idx="922">
                  <c:v>111.31014600000002</c:v>
                </c:pt>
                <c:pt idx="923">
                  <c:v>111.31014600000002</c:v>
                </c:pt>
                <c:pt idx="924">
                  <c:v>111.31014600000002</c:v>
                </c:pt>
                <c:pt idx="925">
                  <c:v>111.31014600000002</c:v>
                </c:pt>
                <c:pt idx="926">
                  <c:v>111.31014600000002</c:v>
                </c:pt>
                <c:pt idx="927">
                  <c:v>111.31014600000002</c:v>
                </c:pt>
                <c:pt idx="928">
                  <c:v>111.31014600000002</c:v>
                </c:pt>
                <c:pt idx="929">
                  <c:v>111.31014600000002</c:v>
                </c:pt>
                <c:pt idx="930">
                  <c:v>111.31014600000002</c:v>
                </c:pt>
                <c:pt idx="931">
                  <c:v>111.31014600000002</c:v>
                </c:pt>
                <c:pt idx="932">
                  <c:v>111.31014600000002</c:v>
                </c:pt>
                <c:pt idx="933">
                  <c:v>111.31014600000002</c:v>
                </c:pt>
                <c:pt idx="934">
                  <c:v>111.31014600000002</c:v>
                </c:pt>
                <c:pt idx="935">
                  <c:v>111.31014600000002</c:v>
                </c:pt>
                <c:pt idx="936">
                  <c:v>111.31014600000002</c:v>
                </c:pt>
                <c:pt idx="937">
                  <c:v>111.31014600000002</c:v>
                </c:pt>
                <c:pt idx="938">
                  <c:v>111.31014600000002</c:v>
                </c:pt>
                <c:pt idx="939">
                  <c:v>111.31014600000002</c:v>
                </c:pt>
                <c:pt idx="940">
                  <c:v>111.31014600000002</c:v>
                </c:pt>
                <c:pt idx="941">
                  <c:v>111.31014600000002</c:v>
                </c:pt>
                <c:pt idx="942">
                  <c:v>111.31014600000002</c:v>
                </c:pt>
                <c:pt idx="943">
                  <c:v>111.31014600000002</c:v>
                </c:pt>
                <c:pt idx="944">
                  <c:v>111.31014600000002</c:v>
                </c:pt>
                <c:pt idx="945">
                  <c:v>111.31014600000002</c:v>
                </c:pt>
                <c:pt idx="946">
                  <c:v>111.31014600000002</c:v>
                </c:pt>
                <c:pt idx="947">
                  <c:v>111.31014600000002</c:v>
                </c:pt>
                <c:pt idx="948">
                  <c:v>111.31014600000002</c:v>
                </c:pt>
                <c:pt idx="949">
                  <c:v>111.31014600000002</c:v>
                </c:pt>
                <c:pt idx="950">
                  <c:v>111.31014600000002</c:v>
                </c:pt>
                <c:pt idx="951">
                  <c:v>111.31014600000002</c:v>
                </c:pt>
                <c:pt idx="952">
                  <c:v>111.31014600000002</c:v>
                </c:pt>
                <c:pt idx="953">
                  <c:v>111.31014600000002</c:v>
                </c:pt>
                <c:pt idx="954">
                  <c:v>111.31014600000002</c:v>
                </c:pt>
                <c:pt idx="955">
                  <c:v>111.31014600000002</c:v>
                </c:pt>
                <c:pt idx="956">
                  <c:v>111.31014600000002</c:v>
                </c:pt>
                <c:pt idx="957">
                  <c:v>111.31014600000002</c:v>
                </c:pt>
                <c:pt idx="958">
                  <c:v>111.31014600000002</c:v>
                </c:pt>
                <c:pt idx="959">
                  <c:v>111.31014600000002</c:v>
                </c:pt>
                <c:pt idx="960">
                  <c:v>111.31014600000002</c:v>
                </c:pt>
                <c:pt idx="961">
                  <c:v>111.31014600000002</c:v>
                </c:pt>
                <c:pt idx="962">
                  <c:v>111.31014600000002</c:v>
                </c:pt>
                <c:pt idx="963">
                  <c:v>111.31014600000002</c:v>
                </c:pt>
                <c:pt idx="964">
                  <c:v>111.31014600000002</c:v>
                </c:pt>
                <c:pt idx="965">
                  <c:v>111.31014600000002</c:v>
                </c:pt>
                <c:pt idx="966">
                  <c:v>111.31014600000002</c:v>
                </c:pt>
                <c:pt idx="967">
                  <c:v>111.31014600000002</c:v>
                </c:pt>
                <c:pt idx="968">
                  <c:v>111.31014600000002</c:v>
                </c:pt>
                <c:pt idx="969">
                  <c:v>111.31014600000002</c:v>
                </c:pt>
                <c:pt idx="970">
                  <c:v>111.31014600000002</c:v>
                </c:pt>
                <c:pt idx="971">
                  <c:v>111.31014600000002</c:v>
                </c:pt>
                <c:pt idx="972">
                  <c:v>111.31014600000002</c:v>
                </c:pt>
                <c:pt idx="973">
                  <c:v>111.31014600000002</c:v>
                </c:pt>
                <c:pt idx="974">
                  <c:v>111.31014600000002</c:v>
                </c:pt>
                <c:pt idx="975">
                  <c:v>111.31014600000002</c:v>
                </c:pt>
                <c:pt idx="976">
                  <c:v>111.31014600000002</c:v>
                </c:pt>
                <c:pt idx="977">
                  <c:v>111.31014600000002</c:v>
                </c:pt>
                <c:pt idx="978">
                  <c:v>111.31014600000002</c:v>
                </c:pt>
                <c:pt idx="979">
                  <c:v>111.31014600000002</c:v>
                </c:pt>
                <c:pt idx="980">
                  <c:v>111.31014600000002</c:v>
                </c:pt>
                <c:pt idx="981">
                  <c:v>111.31014600000002</c:v>
                </c:pt>
                <c:pt idx="982">
                  <c:v>111.31014600000002</c:v>
                </c:pt>
                <c:pt idx="983">
                  <c:v>111.31014600000002</c:v>
                </c:pt>
                <c:pt idx="984">
                  <c:v>111.31014600000002</c:v>
                </c:pt>
                <c:pt idx="985">
                  <c:v>111.31014600000002</c:v>
                </c:pt>
                <c:pt idx="986">
                  <c:v>111.31014600000002</c:v>
                </c:pt>
                <c:pt idx="987">
                  <c:v>111.31014600000002</c:v>
                </c:pt>
                <c:pt idx="988">
                  <c:v>111.31014600000002</c:v>
                </c:pt>
                <c:pt idx="989">
                  <c:v>111.31014600000002</c:v>
                </c:pt>
                <c:pt idx="990">
                  <c:v>111.31014600000002</c:v>
                </c:pt>
                <c:pt idx="991">
                  <c:v>111.31014600000002</c:v>
                </c:pt>
                <c:pt idx="992">
                  <c:v>111.31014600000002</c:v>
                </c:pt>
                <c:pt idx="993">
                  <c:v>111.31014600000002</c:v>
                </c:pt>
                <c:pt idx="994">
                  <c:v>111.31014600000002</c:v>
                </c:pt>
                <c:pt idx="995">
                  <c:v>111.31014600000002</c:v>
                </c:pt>
                <c:pt idx="996">
                  <c:v>111.31014600000002</c:v>
                </c:pt>
                <c:pt idx="997">
                  <c:v>111.31014600000002</c:v>
                </c:pt>
                <c:pt idx="998">
                  <c:v>111.31014600000002</c:v>
                </c:pt>
                <c:pt idx="999">
                  <c:v>111.31014600000002</c:v>
                </c:pt>
                <c:pt idx="1000">
                  <c:v>111.31014600000002</c:v>
                </c:pt>
                <c:pt idx="1001">
                  <c:v>111.31014600000002</c:v>
                </c:pt>
                <c:pt idx="1002">
                  <c:v>111.31014600000002</c:v>
                </c:pt>
                <c:pt idx="1003">
                  <c:v>111.31014600000002</c:v>
                </c:pt>
                <c:pt idx="1004">
                  <c:v>111.31014600000002</c:v>
                </c:pt>
                <c:pt idx="1005">
                  <c:v>111.31014600000002</c:v>
                </c:pt>
                <c:pt idx="1006">
                  <c:v>111.31014600000002</c:v>
                </c:pt>
                <c:pt idx="1007">
                  <c:v>111.31014600000002</c:v>
                </c:pt>
                <c:pt idx="1008">
                  <c:v>111.31014600000002</c:v>
                </c:pt>
                <c:pt idx="1009">
                  <c:v>111.31014600000002</c:v>
                </c:pt>
                <c:pt idx="1010">
                  <c:v>111.31014600000002</c:v>
                </c:pt>
                <c:pt idx="1011">
                  <c:v>111.31014600000002</c:v>
                </c:pt>
                <c:pt idx="1012">
                  <c:v>111.31014600000002</c:v>
                </c:pt>
                <c:pt idx="1013">
                  <c:v>111.31014600000002</c:v>
                </c:pt>
                <c:pt idx="1014">
                  <c:v>111.31014600000002</c:v>
                </c:pt>
                <c:pt idx="1015">
                  <c:v>111.31014600000002</c:v>
                </c:pt>
                <c:pt idx="1016">
                  <c:v>111.31014600000002</c:v>
                </c:pt>
                <c:pt idx="1017">
                  <c:v>111.31014600000002</c:v>
                </c:pt>
                <c:pt idx="1018">
                  <c:v>111.31014600000002</c:v>
                </c:pt>
                <c:pt idx="1019">
                  <c:v>111.31014600000002</c:v>
                </c:pt>
                <c:pt idx="1020">
                  <c:v>111.31014600000002</c:v>
                </c:pt>
                <c:pt idx="1021">
                  <c:v>111.31014600000002</c:v>
                </c:pt>
                <c:pt idx="1022">
                  <c:v>111.31014600000002</c:v>
                </c:pt>
                <c:pt idx="1023">
                  <c:v>111.31014600000002</c:v>
                </c:pt>
                <c:pt idx="1024">
                  <c:v>111.31014600000002</c:v>
                </c:pt>
                <c:pt idx="1025">
                  <c:v>111.31014600000002</c:v>
                </c:pt>
                <c:pt idx="1026">
                  <c:v>111.31014600000002</c:v>
                </c:pt>
                <c:pt idx="1027">
                  <c:v>111.31014600000002</c:v>
                </c:pt>
                <c:pt idx="1028">
                  <c:v>111.31014600000002</c:v>
                </c:pt>
                <c:pt idx="1029">
                  <c:v>111.31014600000002</c:v>
                </c:pt>
                <c:pt idx="1030">
                  <c:v>111.31014600000002</c:v>
                </c:pt>
                <c:pt idx="1031">
                  <c:v>111.31014600000002</c:v>
                </c:pt>
                <c:pt idx="1032">
                  <c:v>111.31014600000002</c:v>
                </c:pt>
                <c:pt idx="1033">
                  <c:v>111.31014600000002</c:v>
                </c:pt>
                <c:pt idx="1034">
                  <c:v>111.31014600000002</c:v>
                </c:pt>
                <c:pt idx="1035">
                  <c:v>111.31014600000002</c:v>
                </c:pt>
                <c:pt idx="1036">
                  <c:v>111.31014600000002</c:v>
                </c:pt>
                <c:pt idx="1037">
                  <c:v>111.31014600000002</c:v>
                </c:pt>
                <c:pt idx="1038">
                  <c:v>111.31014600000002</c:v>
                </c:pt>
                <c:pt idx="1039">
                  <c:v>111.31014600000002</c:v>
                </c:pt>
                <c:pt idx="1040">
                  <c:v>111.31014600000002</c:v>
                </c:pt>
                <c:pt idx="1041">
                  <c:v>111.31014600000002</c:v>
                </c:pt>
                <c:pt idx="1042">
                  <c:v>111.31014600000002</c:v>
                </c:pt>
                <c:pt idx="1043">
                  <c:v>111.31014600000002</c:v>
                </c:pt>
                <c:pt idx="1044">
                  <c:v>111.31014600000002</c:v>
                </c:pt>
                <c:pt idx="1045">
                  <c:v>111.31014600000002</c:v>
                </c:pt>
                <c:pt idx="1046">
                  <c:v>111.31014600000002</c:v>
                </c:pt>
                <c:pt idx="1047">
                  <c:v>111.31014600000002</c:v>
                </c:pt>
                <c:pt idx="1048">
                  <c:v>111.31014600000002</c:v>
                </c:pt>
                <c:pt idx="1049">
                  <c:v>111.31014600000002</c:v>
                </c:pt>
                <c:pt idx="1050">
                  <c:v>111.31014600000002</c:v>
                </c:pt>
                <c:pt idx="1051">
                  <c:v>111.31014600000002</c:v>
                </c:pt>
                <c:pt idx="1052">
                  <c:v>111.31014600000002</c:v>
                </c:pt>
                <c:pt idx="1053">
                  <c:v>111.31014600000002</c:v>
                </c:pt>
                <c:pt idx="1054">
                  <c:v>111.31014600000002</c:v>
                </c:pt>
                <c:pt idx="1055">
                  <c:v>111.31014600000002</c:v>
                </c:pt>
                <c:pt idx="1056">
                  <c:v>111.31014600000002</c:v>
                </c:pt>
                <c:pt idx="1057">
                  <c:v>111.31014600000002</c:v>
                </c:pt>
                <c:pt idx="1058">
                  <c:v>111.31014600000002</c:v>
                </c:pt>
                <c:pt idx="1059">
                  <c:v>111.31014600000002</c:v>
                </c:pt>
                <c:pt idx="1060">
                  <c:v>111.31014600000002</c:v>
                </c:pt>
                <c:pt idx="1061">
                  <c:v>111.31014600000002</c:v>
                </c:pt>
                <c:pt idx="1062">
                  <c:v>111.31014600000002</c:v>
                </c:pt>
                <c:pt idx="1063">
                  <c:v>111.31014600000002</c:v>
                </c:pt>
                <c:pt idx="1064">
                  <c:v>111.31014600000002</c:v>
                </c:pt>
                <c:pt idx="1065">
                  <c:v>111.31014600000002</c:v>
                </c:pt>
                <c:pt idx="1066">
                  <c:v>111.31014600000002</c:v>
                </c:pt>
                <c:pt idx="1067">
                  <c:v>111.31014600000002</c:v>
                </c:pt>
                <c:pt idx="1068">
                  <c:v>111.31014600000002</c:v>
                </c:pt>
                <c:pt idx="1069">
                  <c:v>111.31014600000002</c:v>
                </c:pt>
                <c:pt idx="1070">
                  <c:v>111.31014600000002</c:v>
                </c:pt>
                <c:pt idx="1071">
                  <c:v>111.31014600000002</c:v>
                </c:pt>
                <c:pt idx="1072">
                  <c:v>111.31014600000002</c:v>
                </c:pt>
                <c:pt idx="1073">
                  <c:v>111.31014600000002</c:v>
                </c:pt>
                <c:pt idx="1074">
                  <c:v>111.31014600000002</c:v>
                </c:pt>
                <c:pt idx="1075">
                  <c:v>111.31014600000002</c:v>
                </c:pt>
                <c:pt idx="1076">
                  <c:v>111.31014600000002</c:v>
                </c:pt>
                <c:pt idx="1077">
                  <c:v>111.31014600000002</c:v>
                </c:pt>
                <c:pt idx="1078">
                  <c:v>111.31014600000002</c:v>
                </c:pt>
                <c:pt idx="1079">
                  <c:v>111.31014600000002</c:v>
                </c:pt>
                <c:pt idx="1080">
                  <c:v>111.31014600000002</c:v>
                </c:pt>
                <c:pt idx="1081">
                  <c:v>111.31014600000002</c:v>
                </c:pt>
                <c:pt idx="1082">
                  <c:v>111.31014600000002</c:v>
                </c:pt>
                <c:pt idx="1083">
                  <c:v>111.31014600000002</c:v>
                </c:pt>
                <c:pt idx="1084">
                  <c:v>111.31014600000002</c:v>
                </c:pt>
                <c:pt idx="1085">
                  <c:v>111.31014600000002</c:v>
                </c:pt>
                <c:pt idx="1086">
                  <c:v>111.31014600000002</c:v>
                </c:pt>
                <c:pt idx="1087">
                  <c:v>111.31014600000002</c:v>
                </c:pt>
                <c:pt idx="1088">
                  <c:v>111.31014600000002</c:v>
                </c:pt>
                <c:pt idx="1089">
                  <c:v>111.31014600000002</c:v>
                </c:pt>
                <c:pt idx="1090">
                  <c:v>111.31014600000002</c:v>
                </c:pt>
                <c:pt idx="1091">
                  <c:v>111.31014600000002</c:v>
                </c:pt>
                <c:pt idx="1092">
                  <c:v>111.31014600000002</c:v>
                </c:pt>
                <c:pt idx="1093">
                  <c:v>72.351594900000009</c:v>
                </c:pt>
                <c:pt idx="1094">
                  <c:v>72.351594900000009</c:v>
                </c:pt>
                <c:pt idx="1095">
                  <c:v>72.351594900000009</c:v>
                </c:pt>
                <c:pt idx="1096">
                  <c:v>72.351594900000009</c:v>
                </c:pt>
                <c:pt idx="1097">
                  <c:v>72.351594900000009</c:v>
                </c:pt>
                <c:pt idx="1098">
                  <c:v>72.351594900000009</c:v>
                </c:pt>
                <c:pt idx="1099">
                  <c:v>72.351594900000009</c:v>
                </c:pt>
                <c:pt idx="1100">
                  <c:v>72.351594900000009</c:v>
                </c:pt>
                <c:pt idx="1101">
                  <c:v>72.351594900000009</c:v>
                </c:pt>
                <c:pt idx="1102">
                  <c:v>72.351594900000009</c:v>
                </c:pt>
                <c:pt idx="1103">
                  <c:v>72.351594900000009</c:v>
                </c:pt>
                <c:pt idx="1104">
                  <c:v>72.351594900000009</c:v>
                </c:pt>
                <c:pt idx="1105">
                  <c:v>72.351594900000009</c:v>
                </c:pt>
                <c:pt idx="1106">
                  <c:v>72.351594900000009</c:v>
                </c:pt>
                <c:pt idx="1107">
                  <c:v>72.351594900000009</c:v>
                </c:pt>
                <c:pt idx="1108">
                  <c:v>72.351594900000009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BDE-49CD-A967-7090E1A4F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1884928"/>
        <c:axId val="1461885256"/>
      </c:scatterChart>
      <c:valAx>
        <c:axId val="146188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85256"/>
        <c:crosses val="autoZero"/>
        <c:crossBetween val="midCat"/>
      </c:valAx>
      <c:valAx>
        <c:axId val="146188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Resistive</a:t>
                </a:r>
                <a:r>
                  <a:rPr lang="en-GB" baseline="0"/>
                  <a:t> Forces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1884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'Tractive Effort'!$B$3</c:f>
              <c:strCache>
                <c:ptCount val="1"/>
                <c:pt idx="0">
                  <c:v>Grass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Effort'!$D$3</c:f>
              <c:numCache>
                <c:formatCode>0.00</c:formatCode>
                <c:ptCount val="1"/>
                <c:pt idx="0">
                  <c:v>1530.5145075000005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68-467D-B86B-4DDDEBD44EDD}"/>
            </c:ext>
          </c:extLst>
        </c:ser>
        <c:ser>
          <c:idx val="1"/>
          <c:order val="1"/>
          <c:tx>
            <c:strRef>
              <c:f>'Tractive Effort'!$B$4</c:f>
              <c:strCache>
                <c:ptCount val="1"/>
                <c:pt idx="0">
                  <c:v>Gravel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Effort'!$D$4</c:f>
              <c:numCache>
                <c:formatCode>0.00</c:formatCode>
                <c:ptCount val="1"/>
                <c:pt idx="0">
                  <c:v>1669.6521900000002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68-467D-B86B-4DDDEBD44EDD}"/>
            </c:ext>
          </c:extLst>
        </c:ser>
        <c:ser>
          <c:idx val="2"/>
          <c:order val="2"/>
          <c:tx>
            <c:strRef>
              <c:f>'Tractive Effort'!$B$5</c:f>
              <c:strCache>
                <c:ptCount val="1"/>
                <c:pt idx="0">
                  <c:v>Dirt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Effort'!$D$5</c:f>
              <c:numCache>
                <c:formatCode>0.00</c:formatCode>
                <c:ptCount val="1"/>
                <c:pt idx="0">
                  <c:v>1892.2724820000005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68-467D-B86B-4DDDEBD44EDD}"/>
            </c:ext>
          </c:extLst>
        </c:ser>
        <c:ser>
          <c:idx val="3"/>
          <c:order val="3"/>
          <c:tx>
            <c:strRef>
              <c:f>'Tractive Effort'!$B$6</c:f>
              <c:strCache>
                <c:ptCount val="1"/>
                <c:pt idx="0">
                  <c:v>Ashphalt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'Tractive Effort'!$D$6</c:f>
              <c:numCache>
                <c:formatCode>0.00</c:formatCode>
                <c:ptCount val="1"/>
                <c:pt idx="0">
                  <c:v>2365.3406025000004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68-467D-B86B-4DDDEBD44E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419085760"/>
        <c:axId val="1419093960"/>
      </c:barChart>
      <c:catAx>
        <c:axId val="1419085760"/>
        <c:scaling>
          <c:orientation val="minMax"/>
        </c:scaling>
        <c:delete val="1"/>
        <c:axPos val="b"/>
        <c:majorTickMark val="none"/>
        <c:minorTickMark val="none"/>
        <c:tickLblPos val="nextTo"/>
        <c:crossAx val="1419093960"/>
        <c:crosses val="autoZero"/>
        <c:auto val="1"/>
        <c:lblAlgn val="ctr"/>
        <c:lblOffset val="100"/>
        <c:noMultiLvlLbl val="0"/>
      </c:catAx>
      <c:valAx>
        <c:axId val="1419093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08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690879265091864"/>
          <c:y val="0.89409667541557303"/>
          <c:w val="0.7206268591426071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569322</xdr:colOff>
      <xdr:row>0</xdr:row>
      <xdr:rowOff>141515</xdr:rowOff>
    </xdr:from>
    <xdr:to>
      <xdr:col>27</xdr:col>
      <xdr:colOff>506929</xdr:colOff>
      <xdr:row>33</xdr:row>
      <xdr:rowOff>130629</xdr:rowOff>
    </xdr:to>
    <xdr:pic>
      <xdr:nvPicPr>
        <xdr:cNvPr id="3" name="Picture 2" descr="Logo&#10;&#10;Description automatically generated">
          <a:extLst>
            <a:ext uri="{FF2B5EF4-FFF2-40B4-BE49-F238E27FC236}">
              <a16:creationId xmlns:a16="http://schemas.microsoft.com/office/drawing/2014/main" id="{FB924448-F508-4E79-B2B4-607FD27A4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0465" y="141515"/>
          <a:ext cx="15112293" cy="64552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</xdr:colOff>
      <xdr:row>0</xdr:row>
      <xdr:rowOff>34290</xdr:rowOff>
    </xdr:from>
    <xdr:to>
      <xdr:col>6</xdr:col>
      <xdr:colOff>598170</xdr:colOff>
      <xdr:row>14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08D0A4-84ED-4819-9AD5-5775E7B659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</xdr:colOff>
      <xdr:row>0</xdr:row>
      <xdr:rowOff>26670</xdr:rowOff>
    </xdr:from>
    <xdr:to>
      <xdr:col>13</xdr:col>
      <xdr:colOff>552450</xdr:colOff>
      <xdr:row>13</xdr:row>
      <xdr:rowOff>194310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A0AE021-5ED2-4307-836F-AD0A26D119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666750</xdr:colOff>
      <xdr:row>0</xdr:row>
      <xdr:rowOff>34290</xdr:rowOff>
    </xdr:from>
    <xdr:to>
      <xdr:col>20</xdr:col>
      <xdr:colOff>544830</xdr:colOff>
      <xdr:row>14</xdr:row>
      <xdr:rowOff>3810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BAC7D3-1FE6-4625-A3C4-B2E8210FCC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14</xdr:row>
      <xdr:rowOff>64770</xdr:rowOff>
    </xdr:from>
    <xdr:to>
      <xdr:col>6</xdr:col>
      <xdr:colOff>605790</xdr:colOff>
      <xdr:row>28</xdr:row>
      <xdr:rowOff>34290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F5A85A1-7E98-46D2-97FE-35A62966A1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3810</xdr:colOff>
      <xdr:row>14</xdr:row>
      <xdr:rowOff>64770</xdr:rowOff>
    </xdr:from>
    <xdr:to>
      <xdr:col>13</xdr:col>
      <xdr:colOff>552450</xdr:colOff>
      <xdr:row>28</xdr:row>
      <xdr:rowOff>34290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0DB8F75-2AD4-482D-96EC-328F019124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659130</xdr:colOff>
      <xdr:row>14</xdr:row>
      <xdr:rowOff>64770</xdr:rowOff>
    </xdr:from>
    <xdr:to>
      <xdr:col>20</xdr:col>
      <xdr:colOff>537210</xdr:colOff>
      <xdr:row>28</xdr:row>
      <xdr:rowOff>34290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85DF933-CD57-4EE5-98E5-3DC5250C4A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80010</xdr:colOff>
      <xdr:row>28</xdr:row>
      <xdr:rowOff>194310</xdr:rowOff>
    </xdr:from>
    <xdr:to>
      <xdr:col>6</xdr:col>
      <xdr:colOff>628650</xdr:colOff>
      <xdr:row>42</xdr:row>
      <xdr:rowOff>163830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784EC05-8AF6-4F0B-93B0-E0506C6C4B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76200</xdr:colOff>
      <xdr:row>14</xdr:row>
      <xdr:rowOff>80010</xdr:rowOff>
    </xdr:from>
    <xdr:to>
      <xdr:col>27</xdr:col>
      <xdr:colOff>624840</xdr:colOff>
      <xdr:row>28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5AB5D6A-250A-425D-8EC1-B71D8E028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102870</xdr:colOff>
      <xdr:row>0</xdr:row>
      <xdr:rowOff>3810</xdr:rowOff>
    </xdr:from>
    <xdr:to>
      <xdr:col>27</xdr:col>
      <xdr:colOff>651510</xdr:colOff>
      <xdr:row>13</xdr:row>
      <xdr:rowOff>163830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2CBB8FB-4D78-4A87-B744-5E9FC82896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45720</xdr:colOff>
      <xdr:row>29</xdr:row>
      <xdr:rowOff>15240</xdr:rowOff>
    </xdr:from>
    <xdr:to>
      <xdr:col>27</xdr:col>
      <xdr:colOff>594360</xdr:colOff>
      <xdr:row>42</xdr:row>
      <xdr:rowOff>175260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8AC5D83-71D2-4477-ABB7-DE579AEB76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26670</xdr:colOff>
      <xdr:row>29</xdr:row>
      <xdr:rowOff>19050</xdr:rowOff>
    </xdr:from>
    <xdr:to>
      <xdr:col>20</xdr:col>
      <xdr:colOff>575310</xdr:colOff>
      <xdr:row>42</xdr:row>
      <xdr:rowOff>179070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EFCD75-20A0-4775-8646-89D0C826E3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57150</xdr:colOff>
      <xdr:row>28</xdr:row>
      <xdr:rowOff>186690</xdr:rowOff>
    </xdr:from>
    <xdr:to>
      <xdr:col>13</xdr:col>
      <xdr:colOff>605790</xdr:colOff>
      <xdr:row>42</xdr:row>
      <xdr:rowOff>156210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F72E1B9-CA28-40B0-81B1-C37FC2B6A5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</xdr:colOff>
      <xdr:row>44</xdr:row>
      <xdr:rowOff>0</xdr:rowOff>
    </xdr:from>
    <xdr:to>
      <xdr:col>6</xdr:col>
      <xdr:colOff>571500</xdr:colOff>
      <xdr:row>57</xdr:row>
      <xdr:rowOff>160020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D00C087-31DD-46A8-B015-A2AB23EFAD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179070</xdr:colOff>
      <xdr:row>43</xdr:row>
      <xdr:rowOff>152400</xdr:rowOff>
    </xdr:from>
    <xdr:to>
      <xdr:col>14</xdr:col>
      <xdr:colOff>60960</xdr:colOff>
      <xdr:row>57</xdr:row>
      <xdr:rowOff>121920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CDF56B43-333E-4F80-A520-031912D626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198120</xdr:colOff>
      <xdr:row>43</xdr:row>
      <xdr:rowOff>133350</xdr:rowOff>
    </xdr:from>
    <xdr:to>
      <xdr:col>21</xdr:col>
      <xdr:colOff>80010</xdr:colOff>
      <xdr:row>57</xdr:row>
      <xdr:rowOff>102870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3844D9D4-1B2E-4335-9A6D-D909227D87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28</xdr:col>
      <xdr:colOff>133350</xdr:colOff>
      <xdr:row>29</xdr:row>
      <xdr:rowOff>3810</xdr:rowOff>
    </xdr:from>
    <xdr:to>
      <xdr:col>35</xdr:col>
      <xdr:colOff>11430</xdr:colOff>
      <xdr:row>42</xdr:row>
      <xdr:rowOff>171450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8A57E536-A3A8-42E0-9563-ED48E7AA4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28</xdr:col>
      <xdr:colOff>220980</xdr:colOff>
      <xdr:row>0</xdr:row>
      <xdr:rowOff>68580</xdr:rowOff>
    </xdr:from>
    <xdr:to>
      <xdr:col>35</xdr:col>
      <xdr:colOff>102870</xdr:colOff>
      <xdr:row>14</xdr:row>
      <xdr:rowOff>45720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302945EF-D654-4247-ABB7-35B11FFD40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21</xdr:col>
      <xdr:colOff>125730</xdr:colOff>
      <xdr:row>43</xdr:row>
      <xdr:rowOff>137160</xdr:rowOff>
    </xdr:from>
    <xdr:to>
      <xdr:col>28</xdr:col>
      <xdr:colOff>7620</xdr:colOff>
      <xdr:row>57</xdr:row>
      <xdr:rowOff>114300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52A8F87F-BFDE-4B62-8F1B-0ED0A35E1E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28</xdr:col>
      <xdr:colOff>217170</xdr:colOff>
      <xdr:row>43</xdr:row>
      <xdr:rowOff>156210</xdr:rowOff>
    </xdr:from>
    <xdr:to>
      <xdr:col>35</xdr:col>
      <xdr:colOff>99060</xdr:colOff>
      <xdr:row>57</xdr:row>
      <xdr:rowOff>125730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50412530-FA62-4B0E-AAFD-18A09FC777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28</xdr:col>
      <xdr:colOff>87630</xdr:colOff>
      <xdr:row>14</xdr:row>
      <xdr:rowOff>137160</xdr:rowOff>
    </xdr:from>
    <xdr:to>
      <xdr:col>34</xdr:col>
      <xdr:colOff>636270</xdr:colOff>
      <xdr:row>28</xdr:row>
      <xdr:rowOff>106680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4B69ABBE-8CDA-4EBA-8EE4-5D847790F3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0</xdr:row>
      <xdr:rowOff>194310</xdr:rowOff>
    </xdr:from>
    <xdr:to>
      <xdr:col>11</xdr:col>
      <xdr:colOff>285750</xdr:colOff>
      <xdr:row>14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17E692-10E0-4FC6-A2BF-FE608B9777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E3CD1-59E7-3B45-AAD1-3FBC92781927}">
  <dimension ref="B2:CK82"/>
  <sheetViews>
    <sheetView tabSelected="1" zoomScale="60" zoomScaleNormal="60" workbookViewId="0">
      <selection activeCell="G37" sqref="G37"/>
    </sheetView>
  </sheetViews>
  <sheetFormatPr defaultColWidth="10.69921875" defaultRowHeight="15.6" x14ac:dyDescent="0.3"/>
  <cols>
    <col min="1" max="1" width="10.69921875" style="1"/>
    <col min="2" max="2" width="43" style="1" bestFit="1" customWidth="1"/>
    <col min="3" max="3" width="16.5" style="1" bestFit="1" customWidth="1"/>
    <col min="4" max="4" width="20.5" style="1" bestFit="1" customWidth="1"/>
    <col min="5" max="5" width="10.69921875" style="1"/>
    <col min="6" max="6" width="12.19921875" style="1" bestFit="1" customWidth="1"/>
    <col min="7" max="12" width="10.69921875" style="1"/>
    <col min="13" max="13" width="12.19921875" style="1" bestFit="1" customWidth="1"/>
    <col min="14" max="14" width="14.19921875" style="1" bestFit="1" customWidth="1"/>
    <col min="15" max="15" width="23.19921875" style="1" bestFit="1" customWidth="1"/>
    <col min="16" max="16" width="26.3984375" style="1" bestFit="1" customWidth="1"/>
    <col min="17" max="17" width="23.796875" style="1" bestFit="1" customWidth="1"/>
    <col min="18" max="18" width="25.5" style="1" bestFit="1" customWidth="1"/>
    <col min="19" max="19" width="28.796875" style="1" bestFit="1" customWidth="1"/>
    <col min="20" max="20" width="19.8984375" style="1" bestFit="1" customWidth="1"/>
    <col min="21" max="21" width="29.59765625" style="1" bestFit="1" customWidth="1"/>
    <col min="22" max="22" width="25.8984375" style="1" bestFit="1" customWidth="1"/>
    <col min="23" max="23" width="28.69921875" style="1" bestFit="1" customWidth="1"/>
    <col min="24" max="24" width="22.59765625" style="1" bestFit="1" customWidth="1"/>
    <col min="25" max="25" width="20.19921875" style="1" bestFit="1" customWidth="1"/>
    <col min="26" max="26" width="21.69921875" style="1" bestFit="1" customWidth="1"/>
    <col min="27" max="27" width="24.69921875" style="1" bestFit="1" customWidth="1"/>
    <col min="28" max="28" width="26" style="1" bestFit="1" customWidth="1"/>
    <col min="29" max="29" width="33" style="1" bestFit="1" customWidth="1"/>
    <col min="30" max="30" width="30.69921875" style="1" bestFit="1" customWidth="1"/>
    <col min="31" max="31" width="32.19921875" style="1" bestFit="1" customWidth="1"/>
    <col min="32" max="32" width="35.19921875" style="1" bestFit="1" customWidth="1"/>
    <col min="33" max="33" width="32.5" style="1" bestFit="1" customWidth="1"/>
    <col min="34" max="34" width="30.19921875" style="1" bestFit="1" customWidth="1"/>
    <col min="35" max="35" width="31.8984375" style="1" bestFit="1" customWidth="1"/>
    <col min="36" max="36" width="34.5" style="1" bestFit="1" customWidth="1"/>
    <col min="37" max="37" width="35.3984375" style="1" bestFit="1" customWidth="1"/>
    <col min="38" max="38" width="10.69921875" style="1"/>
    <col min="39" max="39" width="13.69921875" style="1" bestFit="1" customWidth="1"/>
    <col min="40" max="40" width="14.19921875" style="1" bestFit="1" customWidth="1"/>
    <col min="41" max="41" width="23.19921875" style="1" bestFit="1" customWidth="1"/>
    <col min="42" max="42" width="20.8984375" style="1" bestFit="1" customWidth="1"/>
    <col min="43" max="43" width="22.5" style="1" bestFit="1" customWidth="1"/>
    <col min="44" max="44" width="25.5" style="1" bestFit="1" customWidth="1"/>
    <col min="45" max="45" width="17.69921875" style="1" bestFit="1" customWidth="1"/>
    <col min="46" max="46" width="26.69921875" style="1" bestFit="1" customWidth="1"/>
    <col min="47" max="47" width="24.19921875" style="1" bestFit="1" customWidth="1"/>
    <col min="48" max="48" width="25.8984375" style="1" bestFit="1" customWidth="1"/>
    <col min="49" max="49" width="28.69921875" style="1" bestFit="1" customWidth="1"/>
    <col min="50" max="50" width="22.59765625" style="1" bestFit="1" customWidth="1"/>
    <col min="51" max="51" width="20.19921875" style="1" bestFit="1" customWidth="1"/>
    <col min="52" max="52" width="21.69921875" style="1" bestFit="1" customWidth="1"/>
    <col min="53" max="53" width="24.69921875" style="1" bestFit="1" customWidth="1"/>
    <col min="54" max="54" width="26" style="1" bestFit="1" customWidth="1"/>
    <col min="55" max="55" width="33" style="1" bestFit="1" customWidth="1"/>
    <col min="56" max="56" width="30.69921875" style="1" bestFit="1" customWidth="1"/>
    <col min="57" max="57" width="32.19921875" style="1" bestFit="1" customWidth="1"/>
    <col min="58" max="58" width="35.19921875" style="1" bestFit="1" customWidth="1"/>
    <col min="59" max="62" width="35.19921875" style="1" customWidth="1"/>
    <col min="63" max="64" width="10.69921875" style="1"/>
    <col min="65" max="65" width="13.69921875" style="1" bestFit="1" customWidth="1"/>
    <col min="66" max="66" width="14.19921875" style="1" bestFit="1" customWidth="1"/>
    <col min="67" max="67" width="23.19921875" style="1" bestFit="1" customWidth="1"/>
    <col min="68" max="68" width="20.8984375" style="1" bestFit="1" customWidth="1"/>
    <col min="69" max="69" width="22.5" style="1" bestFit="1" customWidth="1"/>
    <col min="70" max="70" width="25.5" style="1" bestFit="1" customWidth="1"/>
    <col min="71" max="71" width="17.69921875" style="1" bestFit="1" customWidth="1"/>
    <col min="72" max="72" width="26.69921875" style="1" bestFit="1" customWidth="1"/>
    <col min="73" max="73" width="24.19921875" style="1" bestFit="1" customWidth="1"/>
    <col min="74" max="74" width="25.8984375" style="1" bestFit="1" customWidth="1"/>
    <col min="75" max="75" width="28.69921875" style="1" bestFit="1" customWidth="1"/>
    <col min="76" max="76" width="22.59765625" style="1" bestFit="1" customWidth="1"/>
    <col min="77" max="77" width="20.19921875" style="1" bestFit="1" customWidth="1"/>
    <col min="78" max="78" width="21.69921875" style="1" bestFit="1" customWidth="1"/>
    <col min="79" max="79" width="24.69921875" style="1" bestFit="1" customWidth="1"/>
    <col min="80" max="80" width="26" style="1" bestFit="1" customWidth="1"/>
    <col min="81" max="81" width="33" style="1" bestFit="1" customWidth="1"/>
    <col min="82" max="82" width="30.69921875" style="1" bestFit="1" customWidth="1"/>
    <col min="83" max="83" width="32.19921875" style="1" bestFit="1" customWidth="1"/>
    <col min="84" max="84" width="35.19921875" style="1" bestFit="1" customWidth="1"/>
    <col min="85" max="88" width="35.19921875" style="1" customWidth="1"/>
    <col min="89" max="16384" width="10.69921875" style="1"/>
  </cols>
  <sheetData>
    <row r="2" spans="2:89" x14ac:dyDescent="0.3">
      <c r="B2" s="70" t="s">
        <v>0</v>
      </c>
      <c r="C2" s="71"/>
      <c r="D2" s="72"/>
      <c r="H2" s="16" t="s">
        <v>62</v>
      </c>
      <c r="I2" s="16" t="s">
        <v>13</v>
      </c>
      <c r="J2" s="16" t="s">
        <v>13</v>
      </c>
      <c r="K2" s="16" t="s">
        <v>14</v>
      </c>
      <c r="L2" s="38" t="s">
        <v>54</v>
      </c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40"/>
    </row>
    <row r="3" spans="2:89" x14ac:dyDescent="0.3">
      <c r="B3" s="68" t="s">
        <v>1</v>
      </c>
      <c r="C3" s="43" t="s">
        <v>6</v>
      </c>
      <c r="D3" s="44"/>
      <c r="H3" s="41"/>
      <c r="I3" s="41" t="s">
        <v>73</v>
      </c>
      <c r="J3" s="41" t="s">
        <v>74</v>
      </c>
      <c r="K3" s="41" t="s">
        <v>17</v>
      </c>
      <c r="L3" s="4" t="s">
        <v>72</v>
      </c>
      <c r="M3" s="2" t="s">
        <v>72</v>
      </c>
      <c r="N3" s="2" t="s">
        <v>75</v>
      </c>
      <c r="O3" s="2" t="s">
        <v>78</v>
      </c>
      <c r="P3" s="2" t="s">
        <v>82</v>
      </c>
      <c r="Q3" s="2" t="s">
        <v>83</v>
      </c>
      <c r="R3" s="2" t="s">
        <v>84</v>
      </c>
      <c r="S3" s="2" t="s">
        <v>85</v>
      </c>
      <c r="T3" s="2" t="s">
        <v>80</v>
      </c>
      <c r="U3" s="2" t="s">
        <v>86</v>
      </c>
      <c r="V3" s="2" t="s">
        <v>87</v>
      </c>
      <c r="W3" s="2" t="s">
        <v>88</v>
      </c>
      <c r="X3" s="2" t="s">
        <v>89</v>
      </c>
      <c r="Y3" s="2" t="s">
        <v>90</v>
      </c>
      <c r="Z3" s="2" t="s">
        <v>91</v>
      </c>
      <c r="AA3" s="2" t="s">
        <v>92</v>
      </c>
      <c r="AB3" s="2" t="s">
        <v>93</v>
      </c>
      <c r="AC3" s="2" t="s">
        <v>94</v>
      </c>
      <c r="AD3" s="2" t="s">
        <v>95</v>
      </c>
      <c r="AE3" s="2" t="s">
        <v>96</v>
      </c>
      <c r="AF3" s="2" t="s">
        <v>97</v>
      </c>
      <c r="AG3" s="2" t="s">
        <v>98</v>
      </c>
      <c r="AH3" s="2" t="s">
        <v>142</v>
      </c>
      <c r="AI3" s="2" t="s">
        <v>143</v>
      </c>
      <c r="AJ3" s="2" t="s">
        <v>144</v>
      </c>
      <c r="AK3" s="2" t="s">
        <v>145</v>
      </c>
    </row>
    <row r="4" spans="2:89" x14ac:dyDescent="0.3">
      <c r="B4" s="69" t="s">
        <v>2</v>
      </c>
      <c r="C4" s="43" t="s">
        <v>7</v>
      </c>
      <c r="D4" s="44"/>
      <c r="H4" s="42"/>
      <c r="I4" s="42"/>
      <c r="J4" s="42"/>
      <c r="K4" s="42"/>
      <c r="L4" s="9" t="s">
        <v>32</v>
      </c>
      <c r="M4" s="2" t="s">
        <v>31</v>
      </c>
      <c r="N4" s="2" t="s">
        <v>77</v>
      </c>
      <c r="O4" s="2" t="s">
        <v>77</v>
      </c>
      <c r="P4" s="2" t="s">
        <v>77</v>
      </c>
      <c r="Q4" s="2" t="s">
        <v>77</v>
      </c>
      <c r="R4" s="2" t="s">
        <v>77</v>
      </c>
      <c r="S4" s="2" t="s">
        <v>77</v>
      </c>
      <c r="T4" s="2" t="s">
        <v>77</v>
      </c>
      <c r="U4" s="2" t="s">
        <v>77</v>
      </c>
      <c r="V4" s="2" t="s">
        <v>77</v>
      </c>
      <c r="W4" s="2" t="s">
        <v>77</v>
      </c>
      <c r="X4" s="2" t="s">
        <v>77</v>
      </c>
      <c r="Y4" s="2" t="s">
        <v>77</v>
      </c>
      <c r="Z4" s="2" t="s">
        <v>77</v>
      </c>
      <c r="AA4" s="2" t="s">
        <v>77</v>
      </c>
      <c r="AB4" s="2" t="s">
        <v>77</v>
      </c>
      <c r="AC4" s="2" t="s">
        <v>76</v>
      </c>
      <c r="AD4" s="17" t="s">
        <v>76</v>
      </c>
      <c r="AE4" s="17" t="s">
        <v>76</v>
      </c>
      <c r="AF4" s="17" t="s">
        <v>76</v>
      </c>
      <c r="AG4" s="17" t="s">
        <v>76</v>
      </c>
      <c r="AH4" s="17" t="s">
        <v>76</v>
      </c>
      <c r="AI4" s="17" t="s">
        <v>76</v>
      </c>
      <c r="AJ4" s="17" t="s">
        <v>76</v>
      </c>
      <c r="AK4" s="17" t="s">
        <v>76</v>
      </c>
    </row>
    <row r="5" spans="2:89" x14ac:dyDescent="0.3">
      <c r="B5" s="69" t="s">
        <v>3</v>
      </c>
      <c r="C5" s="43" t="s">
        <v>8</v>
      </c>
      <c r="D5" s="44"/>
      <c r="H5" s="16">
        <v>750</v>
      </c>
      <c r="I5" s="3">
        <f t="shared" ref="I5:I26" si="0">I6-0.75</f>
        <v>0.75</v>
      </c>
      <c r="J5" s="3">
        <f>I5*0.7457*1000</f>
        <v>559.27499999999998</v>
      </c>
      <c r="K5" s="3">
        <f>J5/((2*PI()*H5)/60)</f>
        <v>7.1209104638175811</v>
      </c>
      <c r="L5" s="3">
        <f>((($H5/$F$52)*($C$58))/(60))*2.24*0.44704</f>
        <v>1.1541558746495111</v>
      </c>
      <c r="M5" s="3">
        <f>L5*2.237</f>
        <v>2.5818466915909566</v>
      </c>
      <c r="N5" s="3">
        <f>(J5)/L5</f>
        <v>484.57492812211188</v>
      </c>
      <c r="O5" s="3">
        <f>(0.5*$C$71*$C$28*$C$27*L5^2)</f>
        <v>1.1850200780568152</v>
      </c>
      <c r="P5" s="3">
        <f>0.02*9.81*($C$41+$C$42+$C$43+$C$44+$C$45+$C$46)</f>
        <v>111.31014600000002</v>
      </c>
      <c r="Q5" s="3">
        <f>0.05*9.81*($C$41+$C$42+$C$43+$C$44+$C$45+$C$46)</f>
        <v>278.27536500000002</v>
      </c>
      <c r="R5" s="3">
        <f>0.1*9.81*($C$41+$C$42+$C$43+$C$44+$C$45+$C$46)</f>
        <v>556.55073000000004</v>
      </c>
      <c r="S5" s="3">
        <f>0.013*9.81*$C$47</f>
        <v>72.351594900000009</v>
      </c>
      <c r="T5" s="3">
        <f>9.81*SIN(RADIANS(0))*($C$47)</f>
        <v>0</v>
      </c>
      <c r="U5" s="3">
        <f>O5+P5+T5</f>
        <v>112.49516607805683</v>
      </c>
      <c r="V5" s="3">
        <f>O5+Q5+T5</f>
        <v>279.46038507805685</v>
      </c>
      <c r="W5" s="3">
        <f>O5+R5+T5</f>
        <v>557.73575007805687</v>
      </c>
      <c r="X5" s="3">
        <f>O5+S5+T5</f>
        <v>73.536614978056818</v>
      </c>
      <c r="Y5" s="3">
        <f>N5-U5</f>
        <v>372.07976204405509</v>
      </c>
      <c r="Z5" s="3">
        <f>N5-V5</f>
        <v>205.11454304405504</v>
      </c>
      <c r="AA5" s="3">
        <f>IF(N5-W5&lt;0,0,N5-W5)</f>
        <v>0</v>
      </c>
      <c r="AB5" s="3">
        <f>N5-X5</f>
        <v>411.03831314405505</v>
      </c>
      <c r="AC5" s="3">
        <f>N5/$C$68</f>
        <v>0.82169771030573202</v>
      </c>
      <c r="AD5" s="3">
        <f>((((0.6)*($C$47)*(9.81)*(COS(0))*(($D$21)-(0.02)*(($C$21)-($C$37))))/($C$16))/(((1)-((0.6)*($C$21)))/($C$16)))*(10^-3)</f>
        <v>2.0334490612763663</v>
      </c>
      <c r="AE5" s="3">
        <f>((((0.68)*($C$47)*(9.81)*(COS(0))*(($D$21)-(0.05)*(($C$21)-($C$37))))/($C$16))/(((1)-((0.68)*($C$21)))/($C$16)))*(10^-3)</f>
        <v>2.3693106315311026</v>
      </c>
      <c r="AF5" s="3">
        <f>((((0.55)*($C$47)*(9.81)*(COS(0))*(($D$21)-(0.1)*(($C$21)-($C$37))))/($C$16))/(((1)-((0.55)*($C$21)))/($C$16)))*(10^-3)</f>
        <v>1.820744142072267</v>
      </c>
      <c r="AG5" s="3">
        <f>((((0.85)*($C$47)*(9.81)*(COS(0))*(($D$21)-(0.013)*(($C$21)-($C$37))))/($C$16))/(((1)-((0.85)*($C$21)))/($C$16)))*(10^-3)</f>
        <v>3.1722049748014709</v>
      </c>
      <c r="AH5" s="3">
        <f>0.6*9.81</f>
        <v>5.8860000000000001</v>
      </c>
      <c r="AI5" s="3">
        <f>0.68*9.81</f>
        <v>6.6708000000000007</v>
      </c>
      <c r="AJ5" s="3">
        <f>0.55*9.81</f>
        <v>5.3955000000000011</v>
      </c>
      <c r="AK5" s="3">
        <f>0.85*9.81</f>
        <v>8.3384999999999998</v>
      </c>
      <c r="CK5" s="5"/>
    </row>
    <row r="6" spans="2:89" x14ac:dyDescent="0.3">
      <c r="B6" s="69" t="s">
        <v>4</v>
      </c>
      <c r="C6" s="43" t="s">
        <v>9</v>
      </c>
      <c r="D6" s="44"/>
      <c r="H6" s="16">
        <v>1000</v>
      </c>
      <c r="I6" s="3">
        <f t="shared" si="0"/>
        <v>1.5</v>
      </c>
      <c r="J6" s="3">
        <f>I6*0.7457*1000</f>
        <v>1118.55</v>
      </c>
      <c r="K6" s="3">
        <f>J6/((2*PI()*H6)/60)</f>
        <v>10.681365695726372</v>
      </c>
      <c r="L6" s="3">
        <f>((($H6/$F$52)*($C$58))/(60))*2.24*0.44704</f>
        <v>1.5388744995326813</v>
      </c>
      <c r="M6" s="3">
        <f>L6*2.237</f>
        <v>3.442462255454608</v>
      </c>
      <c r="N6" s="3">
        <f t="shared" ref="N6:N28" si="1">(J6)/L6</f>
        <v>726.86239218316791</v>
      </c>
      <c r="O6" s="3">
        <f t="shared" ref="O6:O28" si="2">(0.5*$C$71*$C$28*$C$27*L6^2)</f>
        <v>2.1067023609898934</v>
      </c>
      <c r="P6" s="3">
        <f t="shared" ref="P6:P28" si="3">0.02*9.81*($C$41+$C$42+$C$43+$C$44+$C$45+$C$46)</f>
        <v>111.31014600000002</v>
      </c>
      <c r="Q6" s="3">
        <f t="shared" ref="Q6:Q28" si="4">0.05*9.81*($C$41+$C$42+$C$43+$C$44+$C$45+$C$46)</f>
        <v>278.27536500000002</v>
      </c>
      <c r="R6" s="3">
        <f t="shared" ref="R6:R28" si="5">0.1*9.81*($C$41+$C$42+$C$43+$C$44+$C$45+$C$46)</f>
        <v>556.55073000000004</v>
      </c>
      <c r="S6" s="3">
        <f t="shared" ref="S6:S28" si="6">0.013*9.81*$C$47</f>
        <v>72.351594900000009</v>
      </c>
      <c r="T6" s="3">
        <f t="shared" ref="T6:T28" si="7">9.81*SIN(RADIANS(0))*($C$47)</f>
        <v>0</v>
      </c>
      <c r="U6" s="3">
        <f t="shared" ref="U6:U28" si="8">O6+P6+T6</f>
        <v>113.41684836098992</v>
      </c>
      <c r="V6" s="3">
        <f t="shared" ref="V6:V28" si="9">O6+Q6+T6</f>
        <v>280.38206736098994</v>
      </c>
      <c r="W6" s="3">
        <f t="shared" ref="W6:W28" si="10">O6+R6+T6</f>
        <v>558.6574323609899</v>
      </c>
      <c r="X6" s="3">
        <f t="shared" ref="X6:X28" si="11">O6+S6+T6</f>
        <v>74.458297260989909</v>
      </c>
      <c r="Y6" s="3">
        <f t="shared" ref="Y6:Y28" si="12">N6-U6</f>
        <v>613.44554382217802</v>
      </c>
      <c r="Z6" s="3">
        <f t="shared" ref="Z6:Z28" si="13">N6-V6</f>
        <v>446.48032482217798</v>
      </c>
      <c r="AA6" s="3">
        <f t="shared" ref="AA6:AA28" si="14">IF(N6-W6&lt;0,0,N6-W6)</f>
        <v>168.20495982217801</v>
      </c>
      <c r="AB6" s="3">
        <f t="shared" ref="AB6:AB28" si="15">N6-X6</f>
        <v>652.40409492217805</v>
      </c>
      <c r="AC6" s="3">
        <f t="shared" ref="AC6:AC28" si="16">N6/$C$68</f>
        <v>1.2325465654585983</v>
      </c>
      <c r="AD6" s="3">
        <f t="shared" ref="AD6:AD28" si="17">((((0.6)*($C$47)*(9.81)*(COS(0))*(($D$21)-(0.02)*(($C$21)-($C$37))))/($C$16))/(((1)-((0.6)*($C$21)))/($C$16)))*(10^-3)</f>
        <v>2.0334490612763663</v>
      </c>
      <c r="AE6" s="3">
        <f t="shared" ref="AE6:AE28" si="18">((((0.68)*($C$47)*(9.81)*(COS(0))*(($D$21)-(0.05)*(($C$21)-($C$37))))/($C$16))/(((1)-((0.68)*($C$21)))/($C$16)))*(10^-3)</f>
        <v>2.3693106315311026</v>
      </c>
      <c r="AF6" s="3">
        <f t="shared" ref="AF6:AF28" si="19">((((0.55)*($C$47)*(9.81)*(COS(0))*(($D$21)-(0.1)*(($C$21)-($C$37))))/($C$16))/(((1)-((0.55)*($C$21)))/($C$16)))*(10^-3)</f>
        <v>1.820744142072267</v>
      </c>
      <c r="AG6" s="3">
        <f t="shared" ref="AG6:AG28" si="20">((((0.85)*($C$47)*(9.81)*(COS(0))*(($D$21)-(0.013)*(($C$21)-($C$37))))/($C$16))/(((1)-((0.85)*($C$21)))/($C$16)))*(10^-3)</f>
        <v>3.1722049748014709</v>
      </c>
      <c r="AH6" s="3">
        <f t="shared" ref="AH6:AH28" si="21">0.6*9.81</f>
        <v>5.8860000000000001</v>
      </c>
      <c r="AI6" s="3">
        <f t="shared" ref="AI6:AI28" si="22">0.68*9.81</f>
        <v>6.6708000000000007</v>
      </c>
      <c r="AJ6" s="3">
        <f t="shared" ref="AJ6:AJ28" si="23">0.55*9.81</f>
        <v>5.3955000000000011</v>
      </c>
      <c r="AK6" s="3">
        <f>0.85*9.81</f>
        <v>8.3384999999999998</v>
      </c>
    </row>
    <row r="7" spans="2:89" x14ac:dyDescent="0.3">
      <c r="B7" s="69" t="s">
        <v>5</v>
      </c>
      <c r="C7" s="43" t="s">
        <v>10</v>
      </c>
      <c r="D7" s="44"/>
      <c r="H7" s="16">
        <v>1250</v>
      </c>
      <c r="I7" s="3">
        <f t="shared" si="0"/>
        <v>2.25</v>
      </c>
      <c r="J7" s="3">
        <f t="shared" ref="J7:J28" si="24">I7*0.7457*1000</f>
        <v>1677.825</v>
      </c>
      <c r="K7" s="3">
        <f t="shared" ref="K7:K28" si="25">J7/((2*PI()*H7)/60)</f>
        <v>12.817638834871646</v>
      </c>
      <c r="L7" s="3">
        <f>((($H7/$F$52)*($C$58))/(60))*2.24*0.44704</f>
        <v>1.9235931244158517</v>
      </c>
      <c r="M7" s="3">
        <f t="shared" ref="M7:M28" si="26">L7*2.237</f>
        <v>4.3030778193182604</v>
      </c>
      <c r="N7" s="3">
        <f t="shared" si="1"/>
        <v>872.23487061980143</v>
      </c>
      <c r="O7" s="3">
        <f t="shared" si="2"/>
        <v>3.2917224390467088</v>
      </c>
      <c r="P7" s="3">
        <f t="shared" si="3"/>
        <v>111.31014600000002</v>
      </c>
      <c r="Q7" s="3">
        <f t="shared" si="4"/>
        <v>278.27536500000002</v>
      </c>
      <c r="R7" s="3">
        <f t="shared" si="5"/>
        <v>556.55073000000004</v>
      </c>
      <c r="S7" s="3">
        <f t="shared" si="6"/>
        <v>72.351594900000009</v>
      </c>
      <c r="T7" s="3">
        <f t="shared" si="7"/>
        <v>0</v>
      </c>
      <c r="U7" s="3">
        <f t="shared" si="8"/>
        <v>114.60186843904673</v>
      </c>
      <c r="V7" s="3">
        <f t="shared" si="9"/>
        <v>281.56708743904676</v>
      </c>
      <c r="W7" s="3">
        <f t="shared" si="10"/>
        <v>559.84245243904672</v>
      </c>
      <c r="X7" s="3">
        <f t="shared" si="11"/>
        <v>75.643317339046718</v>
      </c>
      <c r="Y7" s="3">
        <f t="shared" si="12"/>
        <v>757.63300218075472</v>
      </c>
      <c r="Z7" s="3">
        <f t="shared" si="13"/>
        <v>590.66778318075467</v>
      </c>
      <c r="AA7" s="3">
        <f t="shared" si="14"/>
        <v>312.3924181807547</v>
      </c>
      <c r="AB7" s="3">
        <f t="shared" si="15"/>
        <v>796.59155328075474</v>
      </c>
      <c r="AC7" s="3">
        <f t="shared" si="16"/>
        <v>1.4790558785503178</v>
      </c>
      <c r="AD7" s="3">
        <f t="shared" si="17"/>
        <v>2.0334490612763663</v>
      </c>
      <c r="AE7" s="3">
        <f t="shared" si="18"/>
        <v>2.3693106315311026</v>
      </c>
      <c r="AF7" s="3">
        <f t="shared" si="19"/>
        <v>1.820744142072267</v>
      </c>
      <c r="AG7" s="3">
        <f t="shared" si="20"/>
        <v>3.1722049748014709</v>
      </c>
      <c r="AH7" s="3">
        <f t="shared" si="21"/>
        <v>5.8860000000000001</v>
      </c>
      <c r="AI7" s="3">
        <f t="shared" si="22"/>
        <v>6.6708000000000007</v>
      </c>
      <c r="AJ7" s="3">
        <f t="shared" si="23"/>
        <v>5.3955000000000011</v>
      </c>
      <c r="AK7" s="3">
        <f t="shared" ref="AK7:AK28" si="27">0.85*9.81</f>
        <v>8.3384999999999998</v>
      </c>
    </row>
    <row r="8" spans="2:89" x14ac:dyDescent="0.3">
      <c r="H8" s="16">
        <v>1500</v>
      </c>
      <c r="I8" s="3">
        <f t="shared" si="0"/>
        <v>3</v>
      </c>
      <c r="J8" s="3">
        <f t="shared" si="24"/>
        <v>2237.1</v>
      </c>
      <c r="K8" s="3">
        <f t="shared" si="25"/>
        <v>14.241820927635162</v>
      </c>
      <c r="L8" s="3">
        <f>((($H8/$F$52)*($C$58))/(60))*2.24*0.44704</f>
        <v>2.3083117492990222</v>
      </c>
      <c r="M8" s="3">
        <f t="shared" si="26"/>
        <v>5.1636933831819132</v>
      </c>
      <c r="N8" s="3">
        <f t="shared" si="1"/>
        <v>969.14985624422377</v>
      </c>
      <c r="O8" s="3">
        <f t="shared" si="2"/>
        <v>4.7400803122272608</v>
      </c>
      <c r="P8" s="3">
        <f t="shared" si="3"/>
        <v>111.31014600000002</v>
      </c>
      <c r="Q8" s="3">
        <f t="shared" si="4"/>
        <v>278.27536500000002</v>
      </c>
      <c r="R8" s="3">
        <f t="shared" si="5"/>
        <v>556.55073000000004</v>
      </c>
      <c r="S8" s="3">
        <f t="shared" si="6"/>
        <v>72.351594900000009</v>
      </c>
      <c r="T8" s="3">
        <f t="shared" si="7"/>
        <v>0</v>
      </c>
      <c r="U8" s="3">
        <f t="shared" si="8"/>
        <v>116.05022631222728</v>
      </c>
      <c r="V8" s="3">
        <f t="shared" si="9"/>
        <v>283.01544531222726</v>
      </c>
      <c r="W8" s="3">
        <f t="shared" si="10"/>
        <v>561.29081031222734</v>
      </c>
      <c r="X8" s="3">
        <f t="shared" si="11"/>
        <v>77.091675212227273</v>
      </c>
      <c r="Y8" s="3">
        <f t="shared" si="12"/>
        <v>853.09962993199645</v>
      </c>
      <c r="Z8" s="3">
        <f t="shared" si="13"/>
        <v>686.13441093199651</v>
      </c>
      <c r="AA8" s="3">
        <f t="shared" si="14"/>
        <v>407.85904593199643</v>
      </c>
      <c r="AB8" s="3">
        <f t="shared" si="15"/>
        <v>892.05818103199647</v>
      </c>
      <c r="AC8" s="3">
        <f t="shared" si="16"/>
        <v>1.643395420611464</v>
      </c>
      <c r="AD8" s="3">
        <f t="shared" si="17"/>
        <v>2.0334490612763663</v>
      </c>
      <c r="AE8" s="3">
        <f t="shared" si="18"/>
        <v>2.3693106315311026</v>
      </c>
      <c r="AF8" s="3">
        <f t="shared" si="19"/>
        <v>1.820744142072267</v>
      </c>
      <c r="AG8" s="3">
        <f t="shared" si="20"/>
        <v>3.1722049748014709</v>
      </c>
      <c r="AH8" s="3">
        <f t="shared" si="21"/>
        <v>5.8860000000000001</v>
      </c>
      <c r="AI8" s="3">
        <f t="shared" si="22"/>
        <v>6.6708000000000007</v>
      </c>
      <c r="AJ8" s="3">
        <f t="shared" si="23"/>
        <v>5.3955000000000011</v>
      </c>
      <c r="AK8" s="3">
        <f t="shared" si="27"/>
        <v>8.3384999999999998</v>
      </c>
    </row>
    <row r="9" spans="2:89" x14ac:dyDescent="0.3">
      <c r="B9" s="70" t="s">
        <v>11</v>
      </c>
      <c r="C9" s="71"/>
      <c r="D9" s="72"/>
      <c r="H9" s="16">
        <v>1750</v>
      </c>
      <c r="I9" s="3">
        <f t="shared" si="0"/>
        <v>3.75</v>
      </c>
      <c r="J9" s="3">
        <f t="shared" si="24"/>
        <v>2796.3750000000005</v>
      </c>
      <c r="K9" s="3">
        <f t="shared" si="25"/>
        <v>15.259093851037678</v>
      </c>
      <c r="L9" s="3">
        <f>((($H9/$F$52)*($C$58))/(60))*2.24*0.44704</f>
        <v>2.6930303741821922</v>
      </c>
      <c r="M9" s="3">
        <f t="shared" si="26"/>
        <v>6.0243089470455642</v>
      </c>
      <c r="N9" s="3">
        <f t="shared" si="1"/>
        <v>1038.3748459759543</v>
      </c>
      <c r="O9" s="3">
        <f t="shared" si="2"/>
        <v>6.4517759805315489</v>
      </c>
      <c r="P9" s="3">
        <f t="shared" si="3"/>
        <v>111.31014600000002</v>
      </c>
      <c r="Q9" s="3">
        <f t="shared" si="4"/>
        <v>278.27536500000002</v>
      </c>
      <c r="R9" s="3">
        <f t="shared" si="5"/>
        <v>556.55073000000004</v>
      </c>
      <c r="S9" s="3">
        <f t="shared" si="6"/>
        <v>72.351594900000009</v>
      </c>
      <c r="T9" s="3">
        <f t="shared" si="7"/>
        <v>0</v>
      </c>
      <c r="U9" s="3">
        <f t="shared" si="8"/>
        <v>117.76192198053157</v>
      </c>
      <c r="V9" s="3">
        <f t="shared" si="9"/>
        <v>284.72714098053154</v>
      </c>
      <c r="W9" s="3">
        <f t="shared" si="10"/>
        <v>563.00250598053162</v>
      </c>
      <c r="X9" s="3">
        <f t="shared" si="11"/>
        <v>78.80337088053156</v>
      </c>
      <c r="Y9" s="3">
        <f t="shared" si="12"/>
        <v>920.61292399542265</v>
      </c>
      <c r="Z9" s="3">
        <f t="shared" si="13"/>
        <v>753.64770499542271</v>
      </c>
      <c r="AA9" s="3">
        <f t="shared" si="14"/>
        <v>475.37233999542264</v>
      </c>
      <c r="AB9" s="3">
        <f t="shared" si="15"/>
        <v>959.57147509542267</v>
      </c>
      <c r="AC9" s="3">
        <f t="shared" si="16"/>
        <v>1.7607808077979976</v>
      </c>
      <c r="AD9" s="3">
        <f t="shared" si="17"/>
        <v>2.0334490612763663</v>
      </c>
      <c r="AE9" s="3">
        <f t="shared" si="18"/>
        <v>2.3693106315311026</v>
      </c>
      <c r="AF9" s="3">
        <f t="shared" si="19"/>
        <v>1.820744142072267</v>
      </c>
      <c r="AG9" s="3">
        <f t="shared" si="20"/>
        <v>3.1722049748014709</v>
      </c>
      <c r="AH9" s="3">
        <f t="shared" si="21"/>
        <v>5.8860000000000001</v>
      </c>
      <c r="AI9" s="3">
        <f t="shared" si="22"/>
        <v>6.6708000000000007</v>
      </c>
      <c r="AJ9" s="3">
        <f t="shared" si="23"/>
        <v>5.3955000000000011</v>
      </c>
      <c r="AK9" s="3">
        <f t="shared" si="27"/>
        <v>8.3384999999999998</v>
      </c>
    </row>
    <row r="10" spans="2:89" x14ac:dyDescent="0.3">
      <c r="B10" s="69" t="s">
        <v>12</v>
      </c>
      <c r="C10" s="3">
        <v>278</v>
      </c>
      <c r="D10" s="3" t="s">
        <v>15</v>
      </c>
      <c r="H10" s="16">
        <v>2000</v>
      </c>
      <c r="I10" s="3">
        <f t="shared" si="0"/>
        <v>4.5</v>
      </c>
      <c r="J10" s="3">
        <f t="shared" si="24"/>
        <v>3355.65</v>
      </c>
      <c r="K10" s="3">
        <f t="shared" si="25"/>
        <v>16.022048543589559</v>
      </c>
      <c r="L10" s="3">
        <f>((($H10/$F$52)*($C$58))/(60))*2.24*0.44704</f>
        <v>3.0777489990653626</v>
      </c>
      <c r="M10" s="3">
        <f t="shared" si="26"/>
        <v>6.8849245109092161</v>
      </c>
      <c r="N10" s="3">
        <f t="shared" si="1"/>
        <v>1090.2935882747518</v>
      </c>
      <c r="O10" s="3">
        <f t="shared" si="2"/>
        <v>8.4268094439595735</v>
      </c>
      <c r="P10" s="3">
        <f t="shared" si="3"/>
        <v>111.31014600000002</v>
      </c>
      <c r="Q10" s="3">
        <f t="shared" si="4"/>
        <v>278.27536500000002</v>
      </c>
      <c r="R10" s="3">
        <f t="shared" si="5"/>
        <v>556.55073000000004</v>
      </c>
      <c r="S10" s="3">
        <f t="shared" si="6"/>
        <v>72.351594900000009</v>
      </c>
      <c r="T10" s="3">
        <f t="shared" si="7"/>
        <v>0</v>
      </c>
      <c r="U10" s="3">
        <f t="shared" si="8"/>
        <v>119.73695544395959</v>
      </c>
      <c r="V10" s="3">
        <f t="shared" si="9"/>
        <v>286.70217444395962</v>
      </c>
      <c r="W10" s="3">
        <f t="shared" si="10"/>
        <v>564.97753944395959</v>
      </c>
      <c r="X10" s="3">
        <f t="shared" si="11"/>
        <v>80.778404343959579</v>
      </c>
      <c r="Y10" s="3">
        <f t="shared" si="12"/>
        <v>970.55663283079218</v>
      </c>
      <c r="Z10" s="3">
        <f t="shared" si="13"/>
        <v>803.59141383079213</v>
      </c>
      <c r="AA10" s="3">
        <f t="shared" si="14"/>
        <v>525.31604883079217</v>
      </c>
      <c r="AB10" s="3">
        <f t="shared" si="15"/>
        <v>1009.5151839307922</v>
      </c>
      <c r="AC10" s="3">
        <f t="shared" si="16"/>
        <v>1.8488198481878972</v>
      </c>
      <c r="AD10" s="3">
        <f t="shared" si="17"/>
        <v>2.0334490612763663</v>
      </c>
      <c r="AE10" s="3">
        <f t="shared" si="18"/>
        <v>2.3693106315311026</v>
      </c>
      <c r="AF10" s="3">
        <f t="shared" si="19"/>
        <v>1.820744142072267</v>
      </c>
      <c r="AG10" s="3">
        <f t="shared" si="20"/>
        <v>3.1722049748014709</v>
      </c>
      <c r="AH10" s="3">
        <f t="shared" si="21"/>
        <v>5.8860000000000001</v>
      </c>
      <c r="AI10" s="3">
        <f t="shared" si="22"/>
        <v>6.6708000000000007</v>
      </c>
      <c r="AJ10" s="3">
        <f t="shared" si="23"/>
        <v>5.3955000000000011</v>
      </c>
      <c r="AK10" s="3">
        <f t="shared" si="27"/>
        <v>8.3384999999999998</v>
      </c>
    </row>
    <row r="11" spans="2:89" x14ac:dyDescent="0.3">
      <c r="B11" s="69" t="s">
        <v>13</v>
      </c>
      <c r="C11" s="3">
        <v>18</v>
      </c>
      <c r="D11" s="3" t="s">
        <v>16</v>
      </c>
      <c r="H11" s="16">
        <v>2250</v>
      </c>
      <c r="I11" s="3">
        <f t="shared" si="0"/>
        <v>5.25</v>
      </c>
      <c r="J11" s="3">
        <f t="shared" si="24"/>
        <v>3914.9250000000002</v>
      </c>
      <c r="K11" s="3">
        <f t="shared" si="25"/>
        <v>16.615457748907691</v>
      </c>
      <c r="L11" s="3">
        <f>((($H11/$F$52)*($C$58))/(60))*2.24*0.44704</f>
        <v>3.4624676239485326</v>
      </c>
      <c r="M11" s="3">
        <f t="shared" si="26"/>
        <v>7.745540074772868</v>
      </c>
      <c r="N11" s="3">
        <f t="shared" si="1"/>
        <v>1130.674832284928</v>
      </c>
      <c r="O11" s="3">
        <f t="shared" si="2"/>
        <v>10.665180702511332</v>
      </c>
      <c r="P11" s="3">
        <f t="shared" si="3"/>
        <v>111.31014600000002</v>
      </c>
      <c r="Q11" s="3">
        <f t="shared" si="4"/>
        <v>278.27536500000002</v>
      </c>
      <c r="R11" s="3">
        <f t="shared" si="5"/>
        <v>556.55073000000004</v>
      </c>
      <c r="S11" s="3">
        <f t="shared" si="6"/>
        <v>72.351594900000009</v>
      </c>
      <c r="T11" s="3">
        <f t="shared" si="7"/>
        <v>0</v>
      </c>
      <c r="U11" s="3">
        <f t="shared" si="8"/>
        <v>121.97532670251135</v>
      </c>
      <c r="V11" s="3">
        <f t="shared" si="9"/>
        <v>288.94054570251137</v>
      </c>
      <c r="W11" s="3">
        <f t="shared" si="10"/>
        <v>567.21591070251134</v>
      </c>
      <c r="X11" s="3">
        <f t="shared" si="11"/>
        <v>83.016775602511345</v>
      </c>
      <c r="Y11" s="3">
        <f t="shared" si="12"/>
        <v>1008.6995055824167</v>
      </c>
      <c r="Z11" s="3">
        <f t="shared" si="13"/>
        <v>841.73428658241664</v>
      </c>
      <c r="AA11" s="3">
        <f t="shared" si="14"/>
        <v>563.45892158241668</v>
      </c>
      <c r="AB11" s="3">
        <f t="shared" si="15"/>
        <v>1047.6580566824166</v>
      </c>
      <c r="AC11" s="3">
        <f t="shared" si="16"/>
        <v>1.917294657380042</v>
      </c>
      <c r="AD11" s="3">
        <f t="shared" si="17"/>
        <v>2.0334490612763663</v>
      </c>
      <c r="AE11" s="3">
        <f t="shared" si="18"/>
        <v>2.3693106315311026</v>
      </c>
      <c r="AF11" s="3">
        <f t="shared" si="19"/>
        <v>1.820744142072267</v>
      </c>
      <c r="AG11" s="3">
        <f t="shared" si="20"/>
        <v>3.1722049748014709</v>
      </c>
      <c r="AH11" s="3">
        <f t="shared" si="21"/>
        <v>5.8860000000000001</v>
      </c>
      <c r="AI11" s="3">
        <f t="shared" si="22"/>
        <v>6.6708000000000007</v>
      </c>
      <c r="AJ11" s="3">
        <f t="shared" si="23"/>
        <v>5.3955000000000011</v>
      </c>
      <c r="AK11" s="3">
        <f t="shared" si="27"/>
        <v>8.3384999999999998</v>
      </c>
    </row>
    <row r="12" spans="2:89" x14ac:dyDescent="0.3">
      <c r="B12" s="69" t="s">
        <v>13</v>
      </c>
      <c r="C12" s="3">
        <f>C11/1.341</f>
        <v>13.422818791946309</v>
      </c>
      <c r="D12" s="3" t="s">
        <v>18</v>
      </c>
      <c r="H12" s="16">
        <v>2500</v>
      </c>
      <c r="I12" s="3">
        <f t="shared" si="0"/>
        <v>6</v>
      </c>
      <c r="J12" s="3">
        <f t="shared" si="24"/>
        <v>4474.2</v>
      </c>
      <c r="K12" s="3">
        <f t="shared" si="25"/>
        <v>17.090185113162196</v>
      </c>
      <c r="L12" s="3">
        <f>((($H12/$F$52)*($C$58))/(60))*2.24*0.44704</f>
        <v>3.8471862488317035</v>
      </c>
      <c r="M12" s="3">
        <f t="shared" si="26"/>
        <v>8.6061556386365208</v>
      </c>
      <c r="N12" s="3">
        <f t="shared" si="1"/>
        <v>1162.9798274930686</v>
      </c>
      <c r="O12" s="3">
        <f t="shared" si="2"/>
        <v>13.166889756186835</v>
      </c>
      <c r="P12" s="3">
        <f t="shared" si="3"/>
        <v>111.31014600000002</v>
      </c>
      <c r="Q12" s="3">
        <f t="shared" si="4"/>
        <v>278.27536500000002</v>
      </c>
      <c r="R12" s="3">
        <f t="shared" si="5"/>
        <v>556.55073000000004</v>
      </c>
      <c r="S12" s="3">
        <f t="shared" si="6"/>
        <v>72.351594900000009</v>
      </c>
      <c r="T12" s="3">
        <f t="shared" si="7"/>
        <v>0</v>
      </c>
      <c r="U12" s="3">
        <f t="shared" si="8"/>
        <v>124.47703575618685</v>
      </c>
      <c r="V12" s="3">
        <f t="shared" si="9"/>
        <v>291.44225475618686</v>
      </c>
      <c r="W12" s="3">
        <f t="shared" si="10"/>
        <v>569.71761975618688</v>
      </c>
      <c r="X12" s="3">
        <f t="shared" si="11"/>
        <v>85.518484656186843</v>
      </c>
      <c r="Y12" s="3">
        <f t="shared" si="12"/>
        <v>1038.5027917368818</v>
      </c>
      <c r="Z12" s="3">
        <f t="shared" si="13"/>
        <v>871.53757273688166</v>
      </c>
      <c r="AA12" s="3">
        <f t="shared" si="14"/>
        <v>593.26220773688169</v>
      </c>
      <c r="AB12" s="3">
        <f t="shared" si="15"/>
        <v>1077.4613428368816</v>
      </c>
      <c r="AC12" s="3">
        <f t="shared" si="16"/>
        <v>1.9720745047337571</v>
      </c>
      <c r="AD12" s="3">
        <f t="shared" si="17"/>
        <v>2.0334490612763663</v>
      </c>
      <c r="AE12" s="3">
        <f t="shared" si="18"/>
        <v>2.3693106315311026</v>
      </c>
      <c r="AF12" s="3">
        <f t="shared" si="19"/>
        <v>1.820744142072267</v>
      </c>
      <c r="AG12" s="3">
        <f t="shared" si="20"/>
        <v>3.1722049748014709</v>
      </c>
      <c r="AH12" s="3">
        <f t="shared" si="21"/>
        <v>5.8860000000000001</v>
      </c>
      <c r="AI12" s="3">
        <f t="shared" si="22"/>
        <v>6.6708000000000007</v>
      </c>
      <c r="AJ12" s="3">
        <f t="shared" si="23"/>
        <v>5.3955000000000011</v>
      </c>
      <c r="AK12" s="3">
        <f t="shared" si="27"/>
        <v>8.3384999999999998</v>
      </c>
    </row>
    <row r="13" spans="2:89" x14ac:dyDescent="0.3">
      <c r="B13" s="69" t="s">
        <v>14</v>
      </c>
      <c r="C13" s="3">
        <v>22</v>
      </c>
      <c r="D13" s="3" t="s">
        <v>17</v>
      </c>
      <c r="H13" s="16">
        <v>2750</v>
      </c>
      <c r="I13" s="3">
        <f t="shared" si="0"/>
        <v>6.75</v>
      </c>
      <c r="J13" s="3">
        <f t="shared" si="24"/>
        <v>5033.4750000000004</v>
      </c>
      <c r="K13" s="3">
        <f t="shared" si="25"/>
        <v>17.478598411188614</v>
      </c>
      <c r="L13" s="3">
        <f>((($H13/$F$52)*($C$58))/(60))*2.24*0.44704</f>
        <v>4.2319048737148739</v>
      </c>
      <c r="M13" s="3">
        <f t="shared" si="26"/>
        <v>9.4667712025001727</v>
      </c>
      <c r="N13" s="3">
        <f t="shared" si="1"/>
        <v>1189.4111872088201</v>
      </c>
      <c r="O13" s="3">
        <f t="shared" si="2"/>
        <v>15.931936604986072</v>
      </c>
      <c r="P13" s="3">
        <f t="shared" si="3"/>
        <v>111.31014600000002</v>
      </c>
      <c r="Q13" s="3">
        <f t="shared" si="4"/>
        <v>278.27536500000002</v>
      </c>
      <c r="R13" s="3">
        <f t="shared" si="5"/>
        <v>556.55073000000004</v>
      </c>
      <c r="S13" s="3">
        <f t="shared" si="6"/>
        <v>72.351594900000009</v>
      </c>
      <c r="T13" s="3">
        <f t="shared" si="7"/>
        <v>0</v>
      </c>
      <c r="U13" s="3">
        <f t="shared" si="8"/>
        <v>127.24208260498609</v>
      </c>
      <c r="V13" s="3">
        <f t="shared" si="9"/>
        <v>294.20730160498607</v>
      </c>
      <c r="W13" s="3">
        <f t="shared" si="10"/>
        <v>572.48266660498609</v>
      </c>
      <c r="X13" s="3">
        <f t="shared" si="11"/>
        <v>88.283531504986087</v>
      </c>
      <c r="Y13" s="3">
        <f t="shared" si="12"/>
        <v>1062.1691046038341</v>
      </c>
      <c r="Z13" s="3">
        <f t="shared" si="13"/>
        <v>895.20388560383412</v>
      </c>
      <c r="AA13" s="3">
        <f t="shared" si="14"/>
        <v>616.92852060383404</v>
      </c>
      <c r="AB13" s="3">
        <f t="shared" si="15"/>
        <v>1101.1276557038341</v>
      </c>
      <c r="AC13" s="3">
        <f t="shared" si="16"/>
        <v>2.0168943798413426</v>
      </c>
      <c r="AD13" s="3">
        <f t="shared" si="17"/>
        <v>2.0334490612763663</v>
      </c>
      <c r="AE13" s="3">
        <f t="shared" si="18"/>
        <v>2.3693106315311026</v>
      </c>
      <c r="AF13" s="3">
        <f t="shared" si="19"/>
        <v>1.820744142072267</v>
      </c>
      <c r="AG13" s="3">
        <f t="shared" si="20"/>
        <v>3.1722049748014709</v>
      </c>
      <c r="AH13" s="3">
        <f t="shared" si="21"/>
        <v>5.8860000000000001</v>
      </c>
      <c r="AI13" s="3">
        <f t="shared" si="22"/>
        <v>6.6708000000000007</v>
      </c>
      <c r="AJ13" s="3">
        <f t="shared" si="23"/>
        <v>5.3955000000000011</v>
      </c>
      <c r="AK13" s="3">
        <f t="shared" si="27"/>
        <v>8.3384999999999998</v>
      </c>
    </row>
    <row r="14" spans="2:89" x14ac:dyDescent="0.3">
      <c r="H14" s="16">
        <v>3000</v>
      </c>
      <c r="I14" s="3">
        <f t="shared" si="0"/>
        <v>7.5</v>
      </c>
      <c r="J14" s="3">
        <f t="shared" si="24"/>
        <v>5592.7500000000009</v>
      </c>
      <c r="K14" s="3">
        <f t="shared" si="25"/>
        <v>17.802276159543954</v>
      </c>
      <c r="L14" s="3">
        <f>((($H14/$F$52)*($C$58))/(60))*2.24*0.44704</f>
        <v>4.6166234985980443</v>
      </c>
      <c r="M14" s="3">
        <f t="shared" si="26"/>
        <v>10.327386766363826</v>
      </c>
      <c r="N14" s="3">
        <f t="shared" si="1"/>
        <v>1211.4373203052799</v>
      </c>
      <c r="O14" s="3">
        <f t="shared" si="2"/>
        <v>18.960321248909043</v>
      </c>
      <c r="P14" s="3">
        <f t="shared" si="3"/>
        <v>111.31014600000002</v>
      </c>
      <c r="Q14" s="3">
        <f t="shared" si="4"/>
        <v>278.27536500000002</v>
      </c>
      <c r="R14" s="3">
        <f t="shared" si="5"/>
        <v>556.55073000000004</v>
      </c>
      <c r="S14" s="3">
        <f t="shared" si="6"/>
        <v>72.351594900000009</v>
      </c>
      <c r="T14" s="3">
        <f t="shared" si="7"/>
        <v>0</v>
      </c>
      <c r="U14" s="3">
        <f t="shared" si="8"/>
        <v>130.27046724890906</v>
      </c>
      <c r="V14" s="3">
        <f t="shared" si="9"/>
        <v>297.23568624890908</v>
      </c>
      <c r="W14" s="3">
        <f t="shared" si="10"/>
        <v>575.5110512489091</v>
      </c>
      <c r="X14" s="3">
        <f t="shared" si="11"/>
        <v>91.311916148909049</v>
      </c>
      <c r="Y14" s="3">
        <f t="shared" si="12"/>
        <v>1081.1668530563709</v>
      </c>
      <c r="Z14" s="3">
        <f t="shared" si="13"/>
        <v>914.20163405637072</v>
      </c>
      <c r="AA14" s="3">
        <f t="shared" si="14"/>
        <v>635.92626905637076</v>
      </c>
      <c r="AB14" s="3">
        <f t="shared" si="15"/>
        <v>1120.1254041563709</v>
      </c>
      <c r="AC14" s="3">
        <f t="shared" si="16"/>
        <v>2.0542442757643302</v>
      </c>
      <c r="AD14" s="3">
        <f t="shared" si="17"/>
        <v>2.0334490612763663</v>
      </c>
      <c r="AE14" s="3">
        <f t="shared" si="18"/>
        <v>2.3693106315311026</v>
      </c>
      <c r="AF14" s="3">
        <f t="shared" si="19"/>
        <v>1.820744142072267</v>
      </c>
      <c r="AG14" s="3">
        <f t="shared" si="20"/>
        <v>3.1722049748014709</v>
      </c>
      <c r="AH14" s="3">
        <f t="shared" si="21"/>
        <v>5.8860000000000001</v>
      </c>
      <c r="AI14" s="3">
        <f t="shared" si="22"/>
        <v>6.6708000000000007</v>
      </c>
      <c r="AJ14" s="3">
        <f t="shared" si="23"/>
        <v>5.3955000000000011</v>
      </c>
      <c r="AK14" s="3">
        <f t="shared" si="27"/>
        <v>8.3384999999999998</v>
      </c>
    </row>
    <row r="15" spans="2:89" x14ac:dyDescent="0.3">
      <c r="B15" s="70" t="s">
        <v>19</v>
      </c>
      <c r="C15" s="71"/>
      <c r="D15" s="72"/>
      <c r="H15" s="16">
        <v>3250</v>
      </c>
      <c r="I15" s="3">
        <f t="shared" si="0"/>
        <v>8.25</v>
      </c>
      <c r="J15" s="3">
        <f t="shared" si="24"/>
        <v>6152.0249999999996</v>
      </c>
      <c r="K15" s="3">
        <f t="shared" si="25"/>
        <v>18.076157331229243</v>
      </c>
      <c r="L15" s="3">
        <f>((($H15/$F$52)*($C$58))/(60))*2.24*0.44704</f>
        <v>5.0013421234812148</v>
      </c>
      <c r="M15" s="3">
        <f t="shared" si="26"/>
        <v>11.188002330227478</v>
      </c>
      <c r="N15" s="3">
        <f t="shared" si="1"/>
        <v>1230.0748175407455</v>
      </c>
      <c r="O15" s="3">
        <f t="shared" si="2"/>
        <v>22.252043687955755</v>
      </c>
      <c r="P15" s="3">
        <f t="shared" si="3"/>
        <v>111.31014600000002</v>
      </c>
      <c r="Q15" s="3">
        <f t="shared" si="4"/>
        <v>278.27536500000002</v>
      </c>
      <c r="R15" s="3">
        <f t="shared" si="5"/>
        <v>556.55073000000004</v>
      </c>
      <c r="S15" s="3">
        <f t="shared" si="6"/>
        <v>72.351594900000009</v>
      </c>
      <c r="T15" s="3">
        <f t="shared" si="7"/>
        <v>0</v>
      </c>
      <c r="U15" s="3">
        <f t="shared" si="8"/>
        <v>133.56218968795577</v>
      </c>
      <c r="V15" s="3">
        <f t="shared" si="9"/>
        <v>300.52740868795576</v>
      </c>
      <c r="W15" s="3">
        <f t="shared" si="10"/>
        <v>578.80277368795578</v>
      </c>
      <c r="X15" s="3">
        <f t="shared" si="11"/>
        <v>94.603638587955771</v>
      </c>
      <c r="Y15" s="3">
        <f t="shared" si="12"/>
        <v>1096.5126278527896</v>
      </c>
      <c r="Z15" s="3">
        <f t="shared" si="13"/>
        <v>929.54740885278966</v>
      </c>
      <c r="AA15" s="3">
        <f t="shared" si="14"/>
        <v>651.27204385278969</v>
      </c>
      <c r="AB15" s="3">
        <f t="shared" si="15"/>
        <v>1135.4711789527896</v>
      </c>
      <c r="AC15" s="3">
        <f t="shared" si="16"/>
        <v>2.0858480338530119</v>
      </c>
      <c r="AD15" s="3">
        <f t="shared" si="17"/>
        <v>2.0334490612763663</v>
      </c>
      <c r="AE15" s="3">
        <f t="shared" si="18"/>
        <v>2.3693106315311026</v>
      </c>
      <c r="AF15" s="3">
        <f t="shared" si="19"/>
        <v>1.820744142072267</v>
      </c>
      <c r="AG15" s="3">
        <f t="shared" si="20"/>
        <v>3.1722049748014709</v>
      </c>
      <c r="AH15" s="3">
        <f t="shared" si="21"/>
        <v>5.8860000000000001</v>
      </c>
      <c r="AI15" s="3">
        <f t="shared" si="22"/>
        <v>6.6708000000000007</v>
      </c>
      <c r="AJ15" s="3">
        <f t="shared" si="23"/>
        <v>5.3955000000000011</v>
      </c>
      <c r="AK15" s="3">
        <f t="shared" si="27"/>
        <v>8.3384999999999998</v>
      </c>
    </row>
    <row r="16" spans="2:89" x14ac:dyDescent="0.3">
      <c r="B16" s="69" t="s">
        <v>20</v>
      </c>
      <c r="C16" s="3">
        <v>2.62</v>
      </c>
      <c r="D16" s="3" t="s">
        <v>25</v>
      </c>
      <c r="H16" s="16">
        <v>3500</v>
      </c>
      <c r="I16" s="3">
        <f t="shared" si="0"/>
        <v>9</v>
      </c>
      <c r="J16" s="3">
        <f t="shared" si="24"/>
        <v>6711.3</v>
      </c>
      <c r="K16" s="3">
        <f t="shared" si="25"/>
        <v>18.310912621245212</v>
      </c>
      <c r="L16" s="3">
        <f>((($H16/$F$52)*($C$58))/(60))*2.24*0.44704</f>
        <v>5.3860607483643843</v>
      </c>
      <c r="M16" s="3">
        <f t="shared" si="26"/>
        <v>12.048617894091128</v>
      </c>
      <c r="N16" s="3">
        <f t="shared" si="1"/>
        <v>1246.0498151711449</v>
      </c>
      <c r="O16" s="3">
        <f t="shared" si="2"/>
        <v>25.807103922126196</v>
      </c>
      <c r="P16" s="3">
        <f t="shared" si="3"/>
        <v>111.31014600000002</v>
      </c>
      <c r="Q16" s="3">
        <f t="shared" si="4"/>
        <v>278.27536500000002</v>
      </c>
      <c r="R16" s="3">
        <f t="shared" si="5"/>
        <v>556.55073000000004</v>
      </c>
      <c r="S16" s="3">
        <f t="shared" si="6"/>
        <v>72.351594900000009</v>
      </c>
      <c r="T16" s="3">
        <f t="shared" si="7"/>
        <v>0</v>
      </c>
      <c r="U16" s="3">
        <f t="shared" si="8"/>
        <v>137.11724992212621</v>
      </c>
      <c r="V16" s="3">
        <f t="shared" si="9"/>
        <v>304.08246892212622</v>
      </c>
      <c r="W16" s="3">
        <f t="shared" si="10"/>
        <v>582.35783392212625</v>
      </c>
      <c r="X16" s="3">
        <f t="shared" si="11"/>
        <v>98.158698822126212</v>
      </c>
      <c r="Y16" s="3">
        <f t="shared" si="12"/>
        <v>1108.9325652490188</v>
      </c>
      <c r="Z16" s="3">
        <f t="shared" si="13"/>
        <v>941.96734624901865</v>
      </c>
      <c r="AA16" s="3">
        <f t="shared" si="14"/>
        <v>663.69198124901868</v>
      </c>
      <c r="AB16" s="3">
        <f t="shared" si="15"/>
        <v>1147.8911163490188</v>
      </c>
      <c r="AC16" s="3">
        <f t="shared" si="16"/>
        <v>2.1129369693575968</v>
      </c>
      <c r="AD16" s="3">
        <f t="shared" si="17"/>
        <v>2.0334490612763663</v>
      </c>
      <c r="AE16" s="3">
        <f t="shared" si="18"/>
        <v>2.3693106315311026</v>
      </c>
      <c r="AF16" s="3">
        <f t="shared" si="19"/>
        <v>1.820744142072267</v>
      </c>
      <c r="AG16" s="3">
        <f t="shared" si="20"/>
        <v>3.1722049748014709</v>
      </c>
      <c r="AH16" s="3">
        <f t="shared" si="21"/>
        <v>5.8860000000000001</v>
      </c>
      <c r="AI16" s="3">
        <f t="shared" si="22"/>
        <v>6.6708000000000007</v>
      </c>
      <c r="AJ16" s="3">
        <f t="shared" si="23"/>
        <v>5.3955000000000011</v>
      </c>
      <c r="AK16" s="3">
        <f t="shared" si="27"/>
        <v>8.3384999999999998</v>
      </c>
    </row>
    <row r="17" spans="2:37" x14ac:dyDescent="0.3">
      <c r="B17" s="69" t="s">
        <v>21</v>
      </c>
      <c r="C17" s="3">
        <v>1.65</v>
      </c>
      <c r="D17" s="3" t="s">
        <v>25</v>
      </c>
      <c r="H17" s="16">
        <v>3750</v>
      </c>
      <c r="I17" s="3">
        <f t="shared" si="0"/>
        <v>9.75</v>
      </c>
      <c r="J17" s="3">
        <f t="shared" si="24"/>
        <v>7270.5749999999998</v>
      </c>
      <c r="K17" s="3">
        <f t="shared" si="25"/>
        <v>18.514367205925709</v>
      </c>
      <c r="L17" s="3">
        <f>((($H17/$F$52)*($C$58))/(60))*2.24*0.44704</f>
        <v>5.7707793732475547</v>
      </c>
      <c r="M17" s="3">
        <f t="shared" si="26"/>
        <v>12.90923345795478</v>
      </c>
      <c r="N17" s="3">
        <f t="shared" si="1"/>
        <v>1259.8948131174909</v>
      </c>
      <c r="O17" s="3">
        <f t="shared" si="2"/>
        <v>29.625501951420375</v>
      </c>
      <c r="P17" s="3">
        <f t="shared" si="3"/>
        <v>111.31014600000002</v>
      </c>
      <c r="Q17" s="3">
        <f t="shared" si="4"/>
        <v>278.27536500000002</v>
      </c>
      <c r="R17" s="3">
        <f t="shared" si="5"/>
        <v>556.55073000000004</v>
      </c>
      <c r="S17" s="3">
        <f t="shared" si="6"/>
        <v>72.351594900000009</v>
      </c>
      <c r="T17" s="3">
        <f t="shared" si="7"/>
        <v>0</v>
      </c>
      <c r="U17" s="3">
        <f t="shared" si="8"/>
        <v>140.93564795142038</v>
      </c>
      <c r="V17" s="3">
        <f t="shared" si="9"/>
        <v>307.90086695142043</v>
      </c>
      <c r="W17" s="3">
        <f t="shared" si="10"/>
        <v>586.17623195142039</v>
      </c>
      <c r="X17" s="3">
        <f t="shared" si="11"/>
        <v>101.97709685142038</v>
      </c>
      <c r="Y17" s="3">
        <f t="shared" si="12"/>
        <v>1118.9591651660705</v>
      </c>
      <c r="Z17" s="3">
        <f t="shared" si="13"/>
        <v>951.99394616607049</v>
      </c>
      <c r="AA17" s="3">
        <f t="shared" si="14"/>
        <v>673.71858116607052</v>
      </c>
      <c r="AB17" s="3">
        <f t="shared" si="15"/>
        <v>1157.9177162660706</v>
      </c>
      <c r="AC17" s="3">
        <f t="shared" si="16"/>
        <v>2.1364140467949033</v>
      </c>
      <c r="AD17" s="3">
        <f t="shared" si="17"/>
        <v>2.0334490612763663</v>
      </c>
      <c r="AE17" s="3">
        <f t="shared" si="18"/>
        <v>2.3693106315311026</v>
      </c>
      <c r="AF17" s="3">
        <f t="shared" si="19"/>
        <v>1.820744142072267</v>
      </c>
      <c r="AG17" s="3">
        <f t="shared" si="20"/>
        <v>3.1722049748014709</v>
      </c>
      <c r="AH17" s="3">
        <f t="shared" si="21"/>
        <v>5.8860000000000001</v>
      </c>
      <c r="AI17" s="3">
        <f t="shared" si="22"/>
        <v>6.6708000000000007</v>
      </c>
      <c r="AJ17" s="3">
        <f t="shared" si="23"/>
        <v>5.3955000000000011</v>
      </c>
      <c r="AK17" s="3">
        <f t="shared" si="27"/>
        <v>8.3384999999999998</v>
      </c>
    </row>
    <row r="18" spans="2:37" x14ac:dyDescent="0.3">
      <c r="B18" s="69" t="s">
        <v>22</v>
      </c>
      <c r="C18" s="3">
        <v>1.62</v>
      </c>
      <c r="D18" s="3" t="s">
        <v>25</v>
      </c>
      <c r="H18" s="16">
        <v>4000</v>
      </c>
      <c r="I18" s="3">
        <f t="shared" si="0"/>
        <v>10.5</v>
      </c>
      <c r="J18" s="3">
        <f t="shared" si="24"/>
        <v>7829.85</v>
      </c>
      <c r="K18" s="3">
        <f t="shared" si="25"/>
        <v>18.692389967521152</v>
      </c>
      <c r="L18" s="3">
        <f>((($H18/$F$52)*($C$58))/(60))*2.24*0.44704</f>
        <v>6.1554979981307252</v>
      </c>
      <c r="M18" s="3">
        <f t="shared" si="26"/>
        <v>13.769849021818432</v>
      </c>
      <c r="N18" s="3">
        <f t="shared" si="1"/>
        <v>1272.0091863205439</v>
      </c>
      <c r="O18" s="3">
        <f t="shared" si="2"/>
        <v>33.707237775838294</v>
      </c>
      <c r="P18" s="3">
        <f t="shared" si="3"/>
        <v>111.31014600000002</v>
      </c>
      <c r="Q18" s="3">
        <f t="shared" si="4"/>
        <v>278.27536500000002</v>
      </c>
      <c r="R18" s="3">
        <f t="shared" si="5"/>
        <v>556.55073000000004</v>
      </c>
      <c r="S18" s="3">
        <f t="shared" si="6"/>
        <v>72.351594900000009</v>
      </c>
      <c r="T18" s="3">
        <f t="shared" si="7"/>
        <v>0</v>
      </c>
      <c r="U18" s="3">
        <f t="shared" si="8"/>
        <v>145.01738377583831</v>
      </c>
      <c r="V18" s="3">
        <f t="shared" si="9"/>
        <v>311.9826027758383</v>
      </c>
      <c r="W18" s="3">
        <f t="shared" si="10"/>
        <v>590.25796777583832</v>
      </c>
      <c r="X18" s="3">
        <f t="shared" si="11"/>
        <v>106.0588326758383</v>
      </c>
      <c r="Y18" s="3">
        <f t="shared" si="12"/>
        <v>1126.9918025447055</v>
      </c>
      <c r="Z18" s="3">
        <f t="shared" si="13"/>
        <v>960.02658354470555</v>
      </c>
      <c r="AA18" s="3">
        <f t="shared" si="14"/>
        <v>681.75121854470558</v>
      </c>
      <c r="AB18" s="3">
        <f t="shared" si="15"/>
        <v>1165.9503536447055</v>
      </c>
      <c r="AC18" s="3">
        <f t="shared" si="16"/>
        <v>2.156956489552547</v>
      </c>
      <c r="AD18" s="3">
        <f t="shared" si="17"/>
        <v>2.0334490612763663</v>
      </c>
      <c r="AE18" s="3">
        <f t="shared" si="18"/>
        <v>2.3693106315311026</v>
      </c>
      <c r="AF18" s="3">
        <f t="shared" si="19"/>
        <v>1.820744142072267</v>
      </c>
      <c r="AG18" s="3">
        <f t="shared" si="20"/>
        <v>3.1722049748014709</v>
      </c>
      <c r="AH18" s="3">
        <f t="shared" si="21"/>
        <v>5.8860000000000001</v>
      </c>
      <c r="AI18" s="3">
        <f t="shared" si="22"/>
        <v>6.6708000000000007</v>
      </c>
      <c r="AJ18" s="3">
        <f t="shared" si="23"/>
        <v>5.3955000000000011</v>
      </c>
      <c r="AK18" s="3">
        <f t="shared" si="27"/>
        <v>8.3384999999999998</v>
      </c>
    </row>
    <row r="19" spans="2:37" x14ac:dyDescent="0.3">
      <c r="B19" s="69" t="s">
        <v>23</v>
      </c>
      <c r="C19" s="3">
        <v>0.3</v>
      </c>
      <c r="D19" s="3" t="s">
        <v>25</v>
      </c>
      <c r="H19" s="16">
        <v>4250</v>
      </c>
      <c r="I19" s="3">
        <f t="shared" si="0"/>
        <v>11.25</v>
      </c>
      <c r="J19" s="3">
        <f t="shared" si="24"/>
        <v>8389.125</v>
      </c>
      <c r="K19" s="3">
        <f t="shared" si="25"/>
        <v>18.849468874811244</v>
      </c>
      <c r="L19" s="3">
        <f>((($H19/$F$52)*($C$58))/(60))*2.24*0.44704</f>
        <v>6.5402166230138956</v>
      </c>
      <c r="M19" s="3">
        <f t="shared" si="26"/>
        <v>14.630464585682086</v>
      </c>
      <c r="N19" s="3">
        <f t="shared" si="1"/>
        <v>1282.6983391467668</v>
      </c>
      <c r="O19" s="3">
        <f t="shared" si="2"/>
        <v>38.052311395379952</v>
      </c>
      <c r="P19" s="3">
        <f t="shared" si="3"/>
        <v>111.31014600000002</v>
      </c>
      <c r="Q19" s="3">
        <f t="shared" si="4"/>
        <v>278.27536500000002</v>
      </c>
      <c r="R19" s="3">
        <f t="shared" si="5"/>
        <v>556.55073000000004</v>
      </c>
      <c r="S19" s="3">
        <f t="shared" si="6"/>
        <v>72.351594900000009</v>
      </c>
      <c r="T19" s="3">
        <f t="shared" si="7"/>
        <v>0</v>
      </c>
      <c r="U19" s="3">
        <f t="shared" si="8"/>
        <v>149.36245739537998</v>
      </c>
      <c r="V19" s="3">
        <f t="shared" si="9"/>
        <v>316.32767639537997</v>
      </c>
      <c r="W19" s="3">
        <f t="shared" si="10"/>
        <v>594.60304139538005</v>
      </c>
      <c r="X19" s="3">
        <f t="shared" si="11"/>
        <v>110.40390629537995</v>
      </c>
      <c r="Y19" s="3">
        <f t="shared" si="12"/>
        <v>1133.3358817513868</v>
      </c>
      <c r="Z19" s="3">
        <f t="shared" si="13"/>
        <v>966.37066275138682</v>
      </c>
      <c r="AA19" s="3">
        <f t="shared" si="14"/>
        <v>688.09529775138674</v>
      </c>
      <c r="AB19" s="3">
        <f t="shared" si="15"/>
        <v>1172.2944328513868</v>
      </c>
      <c r="AC19" s="3">
        <f t="shared" si="16"/>
        <v>2.1750821743387028</v>
      </c>
      <c r="AD19" s="3">
        <f t="shared" si="17"/>
        <v>2.0334490612763663</v>
      </c>
      <c r="AE19" s="3">
        <f t="shared" si="18"/>
        <v>2.3693106315311026</v>
      </c>
      <c r="AF19" s="3">
        <f t="shared" si="19"/>
        <v>1.820744142072267</v>
      </c>
      <c r="AG19" s="3">
        <f t="shared" si="20"/>
        <v>3.1722049748014709</v>
      </c>
      <c r="AH19" s="3">
        <f t="shared" si="21"/>
        <v>5.8860000000000001</v>
      </c>
      <c r="AI19" s="3">
        <f t="shared" si="22"/>
        <v>6.6708000000000007</v>
      </c>
      <c r="AJ19" s="3">
        <f t="shared" si="23"/>
        <v>5.3955000000000011</v>
      </c>
      <c r="AK19" s="3">
        <f t="shared" si="27"/>
        <v>8.3384999999999998</v>
      </c>
    </row>
    <row r="20" spans="2:37" x14ac:dyDescent="0.3">
      <c r="B20" s="69" t="s">
        <v>24</v>
      </c>
      <c r="C20" s="3">
        <f>(C17*C18)*0.7</f>
        <v>1.8711</v>
      </c>
      <c r="D20" s="3" t="s">
        <v>26</v>
      </c>
      <c r="H20" s="16">
        <v>4500</v>
      </c>
      <c r="I20" s="3">
        <f t="shared" si="0"/>
        <v>12</v>
      </c>
      <c r="J20" s="3">
        <f t="shared" si="24"/>
        <v>8948.4</v>
      </c>
      <c r="K20" s="3">
        <f t="shared" si="25"/>
        <v>18.989094570180214</v>
      </c>
      <c r="L20" s="3">
        <f>((($H20/$F$52)*($C$58))/(60))*2.24*0.44704</f>
        <v>6.9249352478970652</v>
      </c>
      <c r="M20" s="3">
        <f t="shared" si="26"/>
        <v>15.491080149545736</v>
      </c>
      <c r="N20" s="3">
        <f t="shared" si="1"/>
        <v>1292.1998083256319</v>
      </c>
      <c r="O20" s="3">
        <f t="shared" si="2"/>
        <v>42.660722810045328</v>
      </c>
      <c r="P20" s="3">
        <f t="shared" si="3"/>
        <v>111.31014600000002</v>
      </c>
      <c r="Q20" s="3">
        <f t="shared" si="4"/>
        <v>278.27536500000002</v>
      </c>
      <c r="R20" s="3">
        <f t="shared" si="5"/>
        <v>556.55073000000004</v>
      </c>
      <c r="S20" s="3">
        <f t="shared" si="6"/>
        <v>72.351594900000009</v>
      </c>
      <c r="T20" s="3">
        <f t="shared" si="7"/>
        <v>0</v>
      </c>
      <c r="U20" s="3">
        <f t="shared" si="8"/>
        <v>153.97086881004535</v>
      </c>
      <c r="V20" s="3">
        <f t="shared" si="9"/>
        <v>320.93608781004536</v>
      </c>
      <c r="W20" s="3">
        <f t="shared" si="10"/>
        <v>599.21145281004533</v>
      </c>
      <c r="X20" s="3">
        <f t="shared" si="11"/>
        <v>115.01231771004534</v>
      </c>
      <c r="Y20" s="3">
        <f t="shared" si="12"/>
        <v>1138.2289395155865</v>
      </c>
      <c r="Z20" s="3">
        <f t="shared" si="13"/>
        <v>971.26372051558656</v>
      </c>
      <c r="AA20" s="3">
        <f t="shared" si="14"/>
        <v>692.98835551558659</v>
      </c>
      <c r="AB20" s="3">
        <f t="shared" si="15"/>
        <v>1177.1874906155865</v>
      </c>
      <c r="AC20" s="3">
        <f t="shared" si="16"/>
        <v>2.1911938941486193</v>
      </c>
      <c r="AD20" s="3">
        <f t="shared" si="17"/>
        <v>2.0334490612763663</v>
      </c>
      <c r="AE20" s="3">
        <f t="shared" si="18"/>
        <v>2.3693106315311026</v>
      </c>
      <c r="AF20" s="3">
        <f t="shared" si="19"/>
        <v>1.820744142072267</v>
      </c>
      <c r="AG20" s="3">
        <f t="shared" si="20"/>
        <v>3.1722049748014709</v>
      </c>
      <c r="AH20" s="3">
        <f t="shared" si="21"/>
        <v>5.8860000000000001</v>
      </c>
      <c r="AI20" s="3">
        <f t="shared" si="22"/>
        <v>6.6708000000000007</v>
      </c>
      <c r="AJ20" s="3">
        <f t="shared" si="23"/>
        <v>5.3955000000000011</v>
      </c>
      <c r="AK20" s="3">
        <f t="shared" si="27"/>
        <v>8.3384999999999998</v>
      </c>
    </row>
    <row r="21" spans="2:37" x14ac:dyDescent="0.3">
      <c r="B21" s="69" t="s">
        <v>99</v>
      </c>
      <c r="C21" s="20">
        <v>0.3</v>
      </c>
      <c r="D21" s="21">
        <v>0.5</v>
      </c>
      <c r="H21" s="16">
        <v>4750</v>
      </c>
      <c r="I21" s="3">
        <f t="shared" si="0"/>
        <v>12.75</v>
      </c>
      <c r="J21" s="3">
        <f t="shared" si="24"/>
        <v>9507.6750000000011</v>
      </c>
      <c r="K21" s="3">
        <f t="shared" si="25"/>
        <v>19.114022823931403</v>
      </c>
      <c r="L21" s="3">
        <f>((($H21/$F$52)*($C$58))/(60))*2.24*0.44704</f>
        <v>7.3096538727802374</v>
      </c>
      <c r="M21" s="3">
        <f t="shared" si="26"/>
        <v>16.351695713409391</v>
      </c>
      <c r="N21" s="3">
        <f t="shared" si="1"/>
        <v>1300.7011228540898</v>
      </c>
      <c r="O21" s="3">
        <f t="shared" si="2"/>
        <v>47.532472019834486</v>
      </c>
      <c r="P21" s="3">
        <f t="shared" si="3"/>
        <v>111.31014600000002</v>
      </c>
      <c r="Q21" s="3">
        <f t="shared" si="4"/>
        <v>278.27536500000002</v>
      </c>
      <c r="R21" s="3">
        <f t="shared" si="5"/>
        <v>556.55073000000004</v>
      </c>
      <c r="S21" s="3">
        <f t="shared" si="6"/>
        <v>72.351594900000009</v>
      </c>
      <c r="T21" s="3">
        <f t="shared" si="7"/>
        <v>0</v>
      </c>
      <c r="U21" s="3">
        <f t="shared" si="8"/>
        <v>158.8426180198345</v>
      </c>
      <c r="V21" s="3">
        <f t="shared" si="9"/>
        <v>325.80783701983449</v>
      </c>
      <c r="W21" s="3">
        <f t="shared" si="10"/>
        <v>604.08320201983452</v>
      </c>
      <c r="X21" s="3">
        <f t="shared" si="11"/>
        <v>119.8840669198345</v>
      </c>
      <c r="Y21" s="3">
        <f t="shared" si="12"/>
        <v>1141.8585048342552</v>
      </c>
      <c r="Z21" s="3">
        <f t="shared" si="13"/>
        <v>974.89328583425527</v>
      </c>
      <c r="AA21" s="3">
        <f t="shared" si="14"/>
        <v>696.6179208342553</v>
      </c>
      <c r="AB21" s="3">
        <f t="shared" si="15"/>
        <v>1180.8170559342552</v>
      </c>
      <c r="AC21" s="3">
        <f t="shared" si="16"/>
        <v>2.2056096434522283</v>
      </c>
      <c r="AD21" s="3">
        <f t="shared" si="17"/>
        <v>2.0334490612763663</v>
      </c>
      <c r="AE21" s="3">
        <f t="shared" si="18"/>
        <v>2.3693106315311026</v>
      </c>
      <c r="AF21" s="3">
        <f t="shared" si="19"/>
        <v>1.820744142072267</v>
      </c>
      <c r="AG21" s="3">
        <f t="shared" si="20"/>
        <v>3.1722049748014709</v>
      </c>
      <c r="AH21" s="3">
        <f t="shared" si="21"/>
        <v>5.8860000000000001</v>
      </c>
      <c r="AI21" s="3">
        <f t="shared" si="22"/>
        <v>6.6708000000000007</v>
      </c>
      <c r="AJ21" s="3">
        <f t="shared" si="23"/>
        <v>5.3955000000000011</v>
      </c>
      <c r="AK21" s="3">
        <f t="shared" si="27"/>
        <v>8.3384999999999998</v>
      </c>
    </row>
    <row r="22" spans="2:37" x14ac:dyDescent="0.3">
      <c r="B22" s="69" t="s">
        <v>49</v>
      </c>
      <c r="C22" s="3">
        <v>29</v>
      </c>
      <c r="D22" s="3" t="s">
        <v>50</v>
      </c>
      <c r="H22" s="16">
        <v>5000</v>
      </c>
      <c r="I22" s="3">
        <f t="shared" si="0"/>
        <v>13.5</v>
      </c>
      <c r="J22" s="3">
        <f t="shared" si="24"/>
        <v>10066.950000000001</v>
      </c>
      <c r="K22" s="3">
        <f t="shared" si="25"/>
        <v>19.22645825230747</v>
      </c>
      <c r="L22" s="3">
        <f>((($H22/$F$52)*($C$58))/(60))*2.24*0.44704</f>
        <v>7.6943724976634069</v>
      </c>
      <c r="M22" s="3">
        <f t="shared" si="26"/>
        <v>17.212311277273042</v>
      </c>
      <c r="N22" s="3">
        <f t="shared" si="1"/>
        <v>1308.3523059297022</v>
      </c>
      <c r="O22" s="3">
        <f t="shared" si="2"/>
        <v>52.667559024747341</v>
      </c>
      <c r="P22" s="3">
        <f t="shared" si="3"/>
        <v>111.31014600000002</v>
      </c>
      <c r="Q22" s="3">
        <f t="shared" si="4"/>
        <v>278.27536500000002</v>
      </c>
      <c r="R22" s="3">
        <f t="shared" si="5"/>
        <v>556.55073000000004</v>
      </c>
      <c r="S22" s="3">
        <f t="shared" si="6"/>
        <v>72.351594900000009</v>
      </c>
      <c r="T22" s="3">
        <f t="shared" si="7"/>
        <v>0</v>
      </c>
      <c r="U22" s="3">
        <f t="shared" si="8"/>
        <v>163.97770502474737</v>
      </c>
      <c r="V22" s="3">
        <f t="shared" si="9"/>
        <v>330.94292402474736</v>
      </c>
      <c r="W22" s="3">
        <f t="shared" si="10"/>
        <v>609.21828902474738</v>
      </c>
      <c r="X22" s="3">
        <f t="shared" si="11"/>
        <v>125.01915392474734</v>
      </c>
      <c r="Y22" s="3">
        <f t="shared" si="12"/>
        <v>1144.3746009049548</v>
      </c>
      <c r="Z22" s="3">
        <f t="shared" si="13"/>
        <v>977.4093819049549</v>
      </c>
      <c r="AA22" s="3">
        <f t="shared" si="14"/>
        <v>699.13401690495482</v>
      </c>
      <c r="AB22" s="3">
        <f t="shared" si="15"/>
        <v>1183.3331520049549</v>
      </c>
      <c r="AC22" s="3">
        <f t="shared" si="16"/>
        <v>2.2185838178254769</v>
      </c>
      <c r="AD22" s="3">
        <f t="shared" si="17"/>
        <v>2.0334490612763663</v>
      </c>
      <c r="AE22" s="3">
        <f t="shared" si="18"/>
        <v>2.3693106315311026</v>
      </c>
      <c r="AF22" s="3">
        <f t="shared" si="19"/>
        <v>1.820744142072267</v>
      </c>
      <c r="AG22" s="3">
        <f t="shared" si="20"/>
        <v>3.1722049748014709</v>
      </c>
      <c r="AH22" s="3">
        <f t="shared" si="21"/>
        <v>5.8860000000000001</v>
      </c>
      <c r="AI22" s="3">
        <f t="shared" si="22"/>
        <v>6.6708000000000007</v>
      </c>
      <c r="AJ22" s="3">
        <f t="shared" si="23"/>
        <v>5.3955000000000011</v>
      </c>
      <c r="AK22" s="3">
        <f t="shared" si="27"/>
        <v>8.3384999999999998</v>
      </c>
    </row>
    <row r="23" spans="2:37" x14ac:dyDescent="0.3">
      <c r="H23" s="16">
        <v>5250</v>
      </c>
      <c r="I23" s="3">
        <f t="shared" si="0"/>
        <v>14.25</v>
      </c>
      <c r="J23" s="3">
        <f t="shared" si="24"/>
        <v>10626.225</v>
      </c>
      <c r="K23" s="3">
        <f t="shared" si="25"/>
        <v>19.328185544647724</v>
      </c>
      <c r="L23" s="3">
        <f>((($H23/$F$52)*($C$58))/(60))*2.24*0.44704</f>
        <v>8.0790911225465774</v>
      </c>
      <c r="M23" s="3">
        <f t="shared" si="26"/>
        <v>18.072926841136695</v>
      </c>
      <c r="N23" s="3">
        <f t="shared" si="1"/>
        <v>1315.2748049028751</v>
      </c>
      <c r="O23" s="3">
        <f t="shared" si="2"/>
        <v>58.065983824783949</v>
      </c>
      <c r="P23" s="3">
        <f t="shared" si="3"/>
        <v>111.31014600000002</v>
      </c>
      <c r="Q23" s="3">
        <f t="shared" si="4"/>
        <v>278.27536500000002</v>
      </c>
      <c r="R23" s="3">
        <f t="shared" si="5"/>
        <v>556.55073000000004</v>
      </c>
      <c r="S23" s="3">
        <f t="shared" si="6"/>
        <v>72.351594900000009</v>
      </c>
      <c r="T23" s="3">
        <f t="shared" si="7"/>
        <v>0</v>
      </c>
      <c r="U23" s="3">
        <f t="shared" si="8"/>
        <v>169.37612982478396</v>
      </c>
      <c r="V23" s="3">
        <f t="shared" si="9"/>
        <v>336.34134882478395</v>
      </c>
      <c r="W23" s="3">
        <f t="shared" si="10"/>
        <v>614.61671382478403</v>
      </c>
      <c r="X23" s="3">
        <f t="shared" si="11"/>
        <v>130.41757872478397</v>
      </c>
      <c r="Y23" s="3">
        <f t="shared" si="12"/>
        <v>1145.8986750780912</v>
      </c>
      <c r="Z23" s="3">
        <f t="shared" si="13"/>
        <v>978.93345607809113</v>
      </c>
      <c r="AA23" s="3">
        <f t="shared" si="14"/>
        <v>700.65809107809105</v>
      </c>
      <c r="AB23" s="3">
        <f t="shared" si="15"/>
        <v>1184.8572261780912</v>
      </c>
      <c r="AC23" s="3">
        <f t="shared" si="16"/>
        <v>2.2303223565441299</v>
      </c>
      <c r="AD23" s="3">
        <f t="shared" si="17"/>
        <v>2.0334490612763663</v>
      </c>
      <c r="AE23" s="3">
        <f t="shared" si="18"/>
        <v>2.3693106315311026</v>
      </c>
      <c r="AF23" s="3">
        <f t="shared" si="19"/>
        <v>1.820744142072267</v>
      </c>
      <c r="AG23" s="3">
        <f t="shared" si="20"/>
        <v>3.1722049748014709</v>
      </c>
      <c r="AH23" s="3">
        <f t="shared" si="21"/>
        <v>5.8860000000000001</v>
      </c>
      <c r="AI23" s="3">
        <f t="shared" si="22"/>
        <v>6.6708000000000007</v>
      </c>
      <c r="AJ23" s="3">
        <f t="shared" si="23"/>
        <v>5.3955000000000011</v>
      </c>
      <c r="AK23" s="3">
        <f t="shared" si="27"/>
        <v>8.3384999999999998</v>
      </c>
    </row>
    <row r="24" spans="2:37" x14ac:dyDescent="0.3">
      <c r="B24" s="70" t="s">
        <v>27</v>
      </c>
      <c r="C24" s="71"/>
      <c r="D24" s="72"/>
      <c r="H24" s="16">
        <v>5500</v>
      </c>
      <c r="I24" s="3">
        <f t="shared" si="0"/>
        <v>15</v>
      </c>
      <c r="J24" s="3">
        <f t="shared" si="24"/>
        <v>11185.500000000002</v>
      </c>
      <c r="K24" s="3">
        <f t="shared" si="25"/>
        <v>19.420664901320684</v>
      </c>
      <c r="L24" s="3">
        <f>((($H24/$F$52)*($C$58))/(60))*2.24*0.44704</f>
        <v>8.4638097474297478</v>
      </c>
      <c r="M24" s="3">
        <f t="shared" si="26"/>
        <v>18.933542405000345</v>
      </c>
      <c r="N24" s="3">
        <f t="shared" si="1"/>
        <v>1321.567985787578</v>
      </c>
      <c r="O24" s="3">
        <f t="shared" si="2"/>
        <v>63.727746419944289</v>
      </c>
      <c r="P24" s="3">
        <f t="shared" si="3"/>
        <v>111.31014600000002</v>
      </c>
      <c r="Q24" s="3">
        <f t="shared" si="4"/>
        <v>278.27536500000002</v>
      </c>
      <c r="R24" s="3">
        <f t="shared" si="5"/>
        <v>556.55073000000004</v>
      </c>
      <c r="S24" s="3">
        <f t="shared" si="6"/>
        <v>72.351594900000009</v>
      </c>
      <c r="T24" s="3">
        <f t="shared" si="7"/>
        <v>0</v>
      </c>
      <c r="U24" s="3">
        <f t="shared" si="8"/>
        <v>175.03789241994431</v>
      </c>
      <c r="V24" s="3">
        <f t="shared" si="9"/>
        <v>342.00311141994433</v>
      </c>
      <c r="W24" s="3">
        <f t="shared" si="10"/>
        <v>620.27847641994435</v>
      </c>
      <c r="X24" s="3">
        <f t="shared" si="11"/>
        <v>136.07934131994429</v>
      </c>
      <c r="Y24" s="3">
        <f t="shared" si="12"/>
        <v>1146.5300933676338</v>
      </c>
      <c r="Z24" s="3">
        <f t="shared" si="13"/>
        <v>979.56487436763359</v>
      </c>
      <c r="AA24" s="3">
        <f t="shared" si="14"/>
        <v>701.28950936763363</v>
      </c>
      <c r="AB24" s="3">
        <f t="shared" si="15"/>
        <v>1185.4886444676338</v>
      </c>
      <c r="AC24" s="3">
        <f t="shared" si="16"/>
        <v>2.2409937553792694</v>
      </c>
      <c r="AD24" s="3">
        <f t="shared" si="17"/>
        <v>2.0334490612763663</v>
      </c>
      <c r="AE24" s="3">
        <f t="shared" si="18"/>
        <v>2.3693106315311026</v>
      </c>
      <c r="AF24" s="3">
        <f t="shared" si="19"/>
        <v>1.820744142072267</v>
      </c>
      <c r="AG24" s="3">
        <f t="shared" si="20"/>
        <v>3.1722049748014709</v>
      </c>
      <c r="AH24" s="3">
        <f t="shared" si="21"/>
        <v>5.8860000000000001</v>
      </c>
      <c r="AI24" s="3">
        <f t="shared" si="22"/>
        <v>6.6708000000000007</v>
      </c>
      <c r="AJ24" s="3">
        <f t="shared" si="23"/>
        <v>5.3955000000000011</v>
      </c>
      <c r="AK24" s="3">
        <f t="shared" si="27"/>
        <v>8.3384999999999998</v>
      </c>
    </row>
    <row r="25" spans="2:37" x14ac:dyDescent="0.3">
      <c r="B25" s="69" t="s">
        <v>28</v>
      </c>
      <c r="C25" s="3">
        <v>30</v>
      </c>
      <c r="D25" s="3" t="s">
        <v>31</v>
      </c>
      <c r="H25" s="16">
        <v>5750</v>
      </c>
      <c r="I25" s="3">
        <f t="shared" si="0"/>
        <v>15.75</v>
      </c>
      <c r="J25" s="3">
        <f t="shared" si="24"/>
        <v>11744.775000000001</v>
      </c>
      <c r="K25" s="3">
        <f t="shared" ref="K24:K28" si="28">K24-0.6</f>
        <v>18.820664901320683</v>
      </c>
      <c r="L25" s="3">
        <f>((($H25/$F$52)*($C$58))/(60))*2.24*0.44704</f>
        <v>8.8485283723129182</v>
      </c>
      <c r="M25" s="3">
        <f t="shared" si="26"/>
        <v>19.794157968863999</v>
      </c>
      <c r="N25" s="3">
        <f t="shared" si="1"/>
        <v>1327.3139335518717</v>
      </c>
      <c r="O25" s="3">
        <f t="shared" si="2"/>
        <v>69.652846810228368</v>
      </c>
      <c r="P25" s="3">
        <f t="shared" si="3"/>
        <v>111.31014600000002</v>
      </c>
      <c r="Q25" s="3">
        <f t="shared" si="4"/>
        <v>278.27536500000002</v>
      </c>
      <c r="R25" s="3">
        <f t="shared" si="5"/>
        <v>556.55073000000004</v>
      </c>
      <c r="S25" s="3">
        <f t="shared" si="6"/>
        <v>72.351594900000009</v>
      </c>
      <c r="T25" s="3">
        <f t="shared" si="7"/>
        <v>0</v>
      </c>
      <c r="U25" s="3">
        <f t="shared" si="8"/>
        <v>180.9629928102284</v>
      </c>
      <c r="V25" s="3">
        <f t="shared" si="9"/>
        <v>347.92821181022839</v>
      </c>
      <c r="W25" s="3">
        <f t="shared" si="10"/>
        <v>626.20357681022847</v>
      </c>
      <c r="X25" s="3">
        <f t="shared" si="11"/>
        <v>142.00444171022838</v>
      </c>
      <c r="Y25" s="3">
        <f t="shared" si="12"/>
        <v>1146.3509407416434</v>
      </c>
      <c r="Z25" s="3">
        <f t="shared" si="13"/>
        <v>979.38572174164335</v>
      </c>
      <c r="AA25" s="3">
        <f t="shared" si="14"/>
        <v>701.11035674164327</v>
      </c>
      <c r="AB25" s="3">
        <f t="shared" si="15"/>
        <v>1185.3094918416434</v>
      </c>
      <c r="AC25" s="3">
        <f t="shared" si="16"/>
        <v>2.2507372064896138</v>
      </c>
      <c r="AD25" s="3">
        <f t="shared" si="17"/>
        <v>2.0334490612763663</v>
      </c>
      <c r="AE25" s="3">
        <f t="shared" si="18"/>
        <v>2.3693106315311026</v>
      </c>
      <c r="AF25" s="3">
        <f t="shared" si="19"/>
        <v>1.820744142072267</v>
      </c>
      <c r="AG25" s="3">
        <f t="shared" si="20"/>
        <v>3.1722049748014709</v>
      </c>
      <c r="AH25" s="3">
        <f t="shared" si="21"/>
        <v>5.8860000000000001</v>
      </c>
      <c r="AI25" s="3">
        <f t="shared" si="22"/>
        <v>6.6708000000000007</v>
      </c>
      <c r="AJ25" s="3">
        <f t="shared" si="23"/>
        <v>5.3955000000000011</v>
      </c>
      <c r="AK25" s="3">
        <f t="shared" si="27"/>
        <v>8.3384999999999998</v>
      </c>
    </row>
    <row r="26" spans="2:37" x14ac:dyDescent="0.3">
      <c r="B26" s="69" t="s">
        <v>28</v>
      </c>
      <c r="C26" s="3">
        <f>C25/2.237</f>
        <v>13.410818059901654</v>
      </c>
      <c r="D26" s="3" t="s">
        <v>32</v>
      </c>
      <c r="H26" s="16">
        <v>6000</v>
      </c>
      <c r="I26" s="3">
        <f t="shared" si="0"/>
        <v>16.5</v>
      </c>
      <c r="J26" s="3">
        <f t="shared" si="24"/>
        <v>12304.05</v>
      </c>
      <c r="K26" s="3">
        <f t="shared" si="28"/>
        <v>18.220664901320681</v>
      </c>
      <c r="L26" s="3">
        <f>((($H26/$F$52)*($C$58))/(60))*2.24*0.44704</f>
        <v>9.2332469971960887</v>
      </c>
      <c r="M26" s="3">
        <f t="shared" si="26"/>
        <v>20.654773532727653</v>
      </c>
      <c r="N26" s="3">
        <f t="shared" si="1"/>
        <v>1332.5810523358075</v>
      </c>
      <c r="O26" s="3">
        <f t="shared" si="2"/>
        <v>75.841284995636173</v>
      </c>
      <c r="P26" s="3">
        <f t="shared" si="3"/>
        <v>111.31014600000002</v>
      </c>
      <c r="Q26" s="3">
        <f t="shared" si="4"/>
        <v>278.27536500000002</v>
      </c>
      <c r="R26" s="3">
        <f t="shared" si="5"/>
        <v>556.55073000000004</v>
      </c>
      <c r="S26" s="3">
        <f t="shared" si="6"/>
        <v>72.351594900000009</v>
      </c>
      <c r="T26" s="3">
        <f t="shared" si="7"/>
        <v>0</v>
      </c>
      <c r="U26" s="3">
        <f t="shared" si="8"/>
        <v>187.15143099563619</v>
      </c>
      <c r="V26" s="3">
        <f t="shared" si="9"/>
        <v>354.11664999563618</v>
      </c>
      <c r="W26" s="3">
        <f t="shared" si="10"/>
        <v>632.39201499563626</v>
      </c>
      <c r="X26" s="3">
        <f t="shared" si="11"/>
        <v>148.19287989563617</v>
      </c>
      <c r="Y26" s="3">
        <f t="shared" si="12"/>
        <v>1145.4296213401713</v>
      </c>
      <c r="Z26" s="3">
        <f t="shared" si="13"/>
        <v>978.46440234017132</v>
      </c>
      <c r="AA26" s="3">
        <f t="shared" si="14"/>
        <v>700.18903734017124</v>
      </c>
      <c r="AB26" s="3">
        <f t="shared" si="15"/>
        <v>1184.3881724401713</v>
      </c>
      <c r="AC26" s="3">
        <f t="shared" si="16"/>
        <v>2.259668703340763</v>
      </c>
      <c r="AD26" s="3">
        <f t="shared" si="17"/>
        <v>2.0334490612763663</v>
      </c>
      <c r="AE26" s="3">
        <f t="shared" si="18"/>
        <v>2.3693106315311026</v>
      </c>
      <c r="AF26" s="3">
        <f t="shared" si="19"/>
        <v>1.820744142072267</v>
      </c>
      <c r="AG26" s="3">
        <f t="shared" si="20"/>
        <v>3.1722049748014709</v>
      </c>
      <c r="AH26" s="3">
        <f t="shared" si="21"/>
        <v>5.8860000000000001</v>
      </c>
      <c r="AI26" s="3">
        <f t="shared" si="22"/>
        <v>6.6708000000000007</v>
      </c>
      <c r="AJ26" s="3">
        <f t="shared" si="23"/>
        <v>5.3955000000000011</v>
      </c>
      <c r="AK26" s="3">
        <f t="shared" si="27"/>
        <v>8.3384999999999998</v>
      </c>
    </row>
    <row r="27" spans="2:37" x14ac:dyDescent="0.3">
      <c r="B27" s="69" t="s">
        <v>29</v>
      </c>
      <c r="C27" s="3">
        <f>(C18-C19)*C17</f>
        <v>2.1779999999999999</v>
      </c>
      <c r="D27" s="3" t="s">
        <v>26</v>
      </c>
      <c r="H27" s="16">
        <v>6250</v>
      </c>
      <c r="I27" s="3">
        <f>I28-0.75</f>
        <v>17.25</v>
      </c>
      <c r="J27" s="3">
        <f t="shared" si="24"/>
        <v>12863.324999999999</v>
      </c>
      <c r="K27" s="3">
        <f t="shared" si="28"/>
        <v>17.62066490132068</v>
      </c>
      <c r="L27" s="3">
        <f>((($H27/$F$52)*($C$58))/(60))*2.24*0.44704</f>
        <v>9.6179656220792591</v>
      </c>
      <c r="M27" s="3">
        <f t="shared" si="26"/>
        <v>21.515389096591303</v>
      </c>
      <c r="N27" s="3">
        <f t="shared" si="1"/>
        <v>1337.4268016170286</v>
      </c>
      <c r="O27" s="3">
        <f t="shared" si="2"/>
        <v>82.293060976167737</v>
      </c>
      <c r="P27" s="3">
        <f t="shared" si="3"/>
        <v>111.31014600000002</v>
      </c>
      <c r="Q27" s="3">
        <f t="shared" si="4"/>
        <v>278.27536500000002</v>
      </c>
      <c r="R27" s="3">
        <f t="shared" si="5"/>
        <v>556.55073000000004</v>
      </c>
      <c r="S27" s="3">
        <f t="shared" si="6"/>
        <v>72.351594900000009</v>
      </c>
      <c r="T27" s="3">
        <f t="shared" si="7"/>
        <v>0</v>
      </c>
      <c r="U27" s="3">
        <f t="shared" si="8"/>
        <v>193.60320697616777</v>
      </c>
      <c r="V27" s="3">
        <f t="shared" si="9"/>
        <v>360.56842597616776</v>
      </c>
      <c r="W27" s="3">
        <f t="shared" si="10"/>
        <v>638.84379097616784</v>
      </c>
      <c r="X27" s="3">
        <f t="shared" si="11"/>
        <v>154.64465587616775</v>
      </c>
      <c r="Y27" s="3">
        <f t="shared" si="12"/>
        <v>1143.8235946408608</v>
      </c>
      <c r="Z27" s="3">
        <f t="shared" si="13"/>
        <v>976.8583756408608</v>
      </c>
      <c r="AA27" s="3">
        <f t="shared" si="14"/>
        <v>698.58301064086072</v>
      </c>
      <c r="AB27" s="3">
        <f t="shared" si="15"/>
        <v>1182.7821457408609</v>
      </c>
      <c r="AC27" s="3">
        <f t="shared" si="16"/>
        <v>2.2678856804438201</v>
      </c>
      <c r="AD27" s="3">
        <f t="shared" si="17"/>
        <v>2.0334490612763663</v>
      </c>
      <c r="AE27" s="3">
        <f t="shared" si="18"/>
        <v>2.3693106315311026</v>
      </c>
      <c r="AF27" s="3">
        <f t="shared" si="19"/>
        <v>1.820744142072267</v>
      </c>
      <c r="AG27" s="3">
        <f t="shared" si="20"/>
        <v>3.1722049748014709</v>
      </c>
      <c r="AH27" s="3">
        <f t="shared" si="21"/>
        <v>5.8860000000000001</v>
      </c>
      <c r="AI27" s="3">
        <f t="shared" si="22"/>
        <v>6.6708000000000007</v>
      </c>
      <c r="AJ27" s="3">
        <f t="shared" si="23"/>
        <v>5.3955000000000011</v>
      </c>
      <c r="AK27" s="3">
        <f t="shared" si="27"/>
        <v>8.3384999999999998</v>
      </c>
    </row>
    <row r="28" spans="2:37" x14ac:dyDescent="0.3">
      <c r="B28" s="69" t="s">
        <v>30</v>
      </c>
      <c r="C28" s="3">
        <v>0.7</v>
      </c>
      <c r="D28" s="3" t="s">
        <v>81</v>
      </c>
      <c r="H28" s="16">
        <v>6500</v>
      </c>
      <c r="I28" s="3">
        <v>18</v>
      </c>
      <c r="J28" s="3">
        <f t="shared" si="24"/>
        <v>13422.6</v>
      </c>
      <c r="K28" s="3">
        <f t="shared" si="28"/>
        <v>17.020664901320679</v>
      </c>
      <c r="L28" s="3">
        <f>((($H28/$F$52)*($C$58))/(60))*2.24*0.44704</f>
        <v>10.00268424696243</v>
      </c>
      <c r="M28" s="3">
        <f t="shared" si="26"/>
        <v>22.376004660454957</v>
      </c>
      <c r="N28" s="3">
        <f t="shared" si="1"/>
        <v>1341.8998009535405</v>
      </c>
      <c r="O28" s="3">
        <f t="shared" si="2"/>
        <v>89.00817475182302</v>
      </c>
      <c r="P28" s="3">
        <f t="shared" si="3"/>
        <v>111.31014600000002</v>
      </c>
      <c r="Q28" s="3">
        <f t="shared" si="4"/>
        <v>278.27536500000002</v>
      </c>
      <c r="R28" s="3">
        <f t="shared" si="5"/>
        <v>556.55073000000004</v>
      </c>
      <c r="S28" s="3">
        <f t="shared" si="6"/>
        <v>72.351594900000009</v>
      </c>
      <c r="T28" s="3">
        <f t="shared" si="7"/>
        <v>0</v>
      </c>
      <c r="U28" s="3">
        <f t="shared" si="8"/>
        <v>200.31832075182302</v>
      </c>
      <c r="V28" s="3">
        <f t="shared" si="9"/>
        <v>367.28353975182301</v>
      </c>
      <c r="W28" s="3">
        <f t="shared" si="10"/>
        <v>645.55890475182309</v>
      </c>
      <c r="X28" s="3">
        <f t="shared" si="11"/>
        <v>161.35976965182303</v>
      </c>
      <c r="Y28" s="3">
        <f t="shared" si="12"/>
        <v>1141.5814802017176</v>
      </c>
      <c r="Z28" s="3">
        <f t="shared" si="13"/>
        <v>974.61626120171752</v>
      </c>
      <c r="AA28" s="3">
        <f t="shared" si="14"/>
        <v>696.34089620171744</v>
      </c>
      <c r="AB28" s="3">
        <f t="shared" si="15"/>
        <v>1180.5400313017176</v>
      </c>
      <c r="AC28" s="3">
        <f t="shared" si="16"/>
        <v>2.275470582385104</v>
      </c>
      <c r="AD28" s="3">
        <f t="shared" si="17"/>
        <v>2.0334490612763663</v>
      </c>
      <c r="AE28" s="3">
        <f t="shared" si="18"/>
        <v>2.3693106315311026</v>
      </c>
      <c r="AF28" s="3">
        <f t="shared" si="19"/>
        <v>1.820744142072267</v>
      </c>
      <c r="AG28" s="3">
        <f t="shared" si="20"/>
        <v>3.1722049748014709</v>
      </c>
      <c r="AH28" s="3">
        <f t="shared" si="21"/>
        <v>5.8860000000000001</v>
      </c>
      <c r="AI28" s="3">
        <f t="shared" si="22"/>
        <v>6.6708000000000007</v>
      </c>
      <c r="AJ28" s="3">
        <f t="shared" si="23"/>
        <v>5.3955000000000011</v>
      </c>
      <c r="AK28" s="3">
        <f t="shared" si="27"/>
        <v>8.3384999999999998</v>
      </c>
    </row>
    <row r="29" spans="2:37" x14ac:dyDescent="0.3">
      <c r="H29" s="11" t="s">
        <v>62</v>
      </c>
      <c r="I29" s="11" t="s">
        <v>13</v>
      </c>
      <c r="J29" s="11" t="s">
        <v>13</v>
      </c>
      <c r="K29" s="11" t="s">
        <v>14</v>
      </c>
      <c r="L29" s="35" t="s">
        <v>55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7"/>
    </row>
    <row r="30" spans="2:37" x14ac:dyDescent="0.3">
      <c r="B30" s="70" t="s">
        <v>33</v>
      </c>
      <c r="C30" s="71"/>
      <c r="D30" s="72"/>
      <c r="H30" s="45"/>
      <c r="I30" s="45" t="s">
        <v>73</v>
      </c>
      <c r="J30" s="45" t="s">
        <v>74</v>
      </c>
      <c r="K30" s="45" t="s">
        <v>17</v>
      </c>
      <c r="L30" s="10" t="s">
        <v>72</v>
      </c>
      <c r="M30" s="11" t="s">
        <v>72</v>
      </c>
      <c r="N30" s="11" t="s">
        <v>75</v>
      </c>
      <c r="O30" s="11" t="s">
        <v>78</v>
      </c>
      <c r="P30" s="11" t="s">
        <v>82</v>
      </c>
      <c r="Q30" s="11" t="s">
        <v>83</v>
      </c>
      <c r="R30" s="11" t="s">
        <v>84</v>
      </c>
      <c r="S30" s="11" t="s">
        <v>85</v>
      </c>
      <c r="T30" s="11" t="s">
        <v>80</v>
      </c>
      <c r="U30" s="11" t="s">
        <v>86</v>
      </c>
      <c r="V30" s="11" t="s">
        <v>87</v>
      </c>
      <c r="W30" s="11" t="s">
        <v>88</v>
      </c>
      <c r="X30" s="11" t="s">
        <v>89</v>
      </c>
      <c r="Y30" s="11" t="s">
        <v>90</v>
      </c>
      <c r="Z30" s="11" t="s">
        <v>91</v>
      </c>
      <c r="AA30" s="11" t="s">
        <v>92</v>
      </c>
      <c r="AB30" s="11" t="s">
        <v>93</v>
      </c>
      <c r="AC30" s="11" t="s">
        <v>94</v>
      </c>
      <c r="AD30" s="11" t="s">
        <v>95</v>
      </c>
      <c r="AE30" s="11" t="s">
        <v>96</v>
      </c>
      <c r="AF30" s="11" t="s">
        <v>97</v>
      </c>
      <c r="AG30" s="11" t="s">
        <v>98</v>
      </c>
      <c r="AH30" s="11" t="s">
        <v>142</v>
      </c>
      <c r="AI30" s="11" t="s">
        <v>143</v>
      </c>
      <c r="AJ30" s="11" t="s">
        <v>144</v>
      </c>
      <c r="AK30" s="11" t="s">
        <v>145</v>
      </c>
    </row>
    <row r="31" spans="2:37" x14ac:dyDescent="0.3">
      <c r="B31" s="69" t="s">
        <v>34</v>
      </c>
      <c r="C31" s="3">
        <v>12</v>
      </c>
      <c r="D31" s="3" t="s">
        <v>40</v>
      </c>
      <c r="H31" s="46"/>
      <c r="I31" s="46"/>
      <c r="J31" s="46"/>
      <c r="K31" s="46"/>
      <c r="L31" s="12" t="s">
        <v>32</v>
      </c>
      <c r="M31" s="11" t="s">
        <v>31</v>
      </c>
      <c r="N31" s="11" t="s">
        <v>77</v>
      </c>
      <c r="O31" s="11" t="s">
        <v>77</v>
      </c>
      <c r="P31" s="11" t="s">
        <v>77</v>
      </c>
      <c r="Q31" s="11" t="s">
        <v>77</v>
      </c>
      <c r="R31" s="11" t="s">
        <v>77</v>
      </c>
      <c r="S31" s="11" t="s">
        <v>77</v>
      </c>
      <c r="T31" s="11" t="s">
        <v>77</v>
      </c>
      <c r="U31" s="11" t="s">
        <v>77</v>
      </c>
      <c r="V31" s="11" t="s">
        <v>77</v>
      </c>
      <c r="W31" s="11" t="s">
        <v>77</v>
      </c>
      <c r="X31" s="11" t="s">
        <v>77</v>
      </c>
      <c r="Y31" s="11" t="s">
        <v>77</v>
      </c>
      <c r="Z31" s="11" t="s">
        <v>77</v>
      </c>
      <c r="AA31" s="11" t="s">
        <v>77</v>
      </c>
      <c r="AB31" s="11" t="s">
        <v>77</v>
      </c>
      <c r="AC31" s="11" t="s">
        <v>76</v>
      </c>
      <c r="AD31" s="18" t="s">
        <v>76</v>
      </c>
      <c r="AE31" s="18" t="s">
        <v>76</v>
      </c>
      <c r="AF31" s="18" t="s">
        <v>76</v>
      </c>
      <c r="AG31" s="18" t="s">
        <v>76</v>
      </c>
      <c r="AH31" s="18" t="s">
        <v>76</v>
      </c>
      <c r="AI31" s="18" t="s">
        <v>76</v>
      </c>
      <c r="AJ31" s="18" t="s">
        <v>76</v>
      </c>
      <c r="AK31" s="18" t="s">
        <v>76</v>
      </c>
    </row>
    <row r="32" spans="2:37" x14ac:dyDescent="0.3">
      <c r="B32" s="69" t="s">
        <v>34</v>
      </c>
      <c r="C32" s="3">
        <f>C31/39.37</f>
        <v>0.30480060960121924</v>
      </c>
      <c r="D32" s="3" t="s">
        <v>25</v>
      </c>
      <c r="H32" s="11">
        <v>750</v>
      </c>
      <c r="I32" s="3">
        <f t="shared" ref="I32:I53" si="29">I33-0.75</f>
        <v>0.75</v>
      </c>
      <c r="J32" s="3">
        <f>I32*0.7457*1000</f>
        <v>559.27499999999998</v>
      </c>
      <c r="K32" s="3">
        <f>J32/((2*PI()*H32)/60)</f>
        <v>7.1209104638175811</v>
      </c>
      <c r="L32" s="3">
        <f>((($H5/$F$53)*($C$58))/(60))*2.24*0.44704</f>
        <v>1.3746769722872587</v>
      </c>
      <c r="M32" s="3">
        <f t="shared" ref="M32" si="30">L32*2.237</f>
        <v>3.075152387006598</v>
      </c>
      <c r="N32" s="3">
        <f>J5/L32</f>
        <v>406.84103340252312</v>
      </c>
      <c r="O32" s="3">
        <f>(0.5*$C$71*$C$28*$C$27*L32^2)</f>
        <v>1.681117585751345</v>
      </c>
      <c r="P32" s="3">
        <f>0.02*9.81*($C$41+$C$42+$C$43+$C$44+$C$45+$C$46)</f>
        <v>111.31014600000002</v>
      </c>
      <c r="Q32" s="3">
        <f>0.05*9.81*($C$41+$C$42+$C$43+$C$44+$C$45+$C$46)</f>
        <v>278.27536500000002</v>
      </c>
      <c r="R32" s="3">
        <f>0.1*9.81*($C$41+$C$42+$C$43+$C$44+$C$45+$C$46)</f>
        <v>556.55073000000004</v>
      </c>
      <c r="S32" s="3">
        <f>0.013*9.81*($C$41+$C$42+$C$43+$C$44+$C$45+$C$46)</f>
        <v>72.351594900000009</v>
      </c>
      <c r="T32" s="3">
        <f>9.81*SIN(RADIANS(0))*($C$47)</f>
        <v>0</v>
      </c>
      <c r="U32" s="3">
        <f>O32+P32+T32</f>
        <v>112.99126358575137</v>
      </c>
      <c r="V32" s="3">
        <f>O32+Q32+T32</f>
        <v>279.95648258575136</v>
      </c>
      <c r="W32" s="3">
        <f>O32+R32+T32</f>
        <v>558.23184758575144</v>
      </c>
      <c r="X32" s="3">
        <f>O32+S32+T32</f>
        <v>74.032712485751361</v>
      </c>
      <c r="Y32" s="3">
        <f>N32-U32</f>
        <v>293.84976981677175</v>
      </c>
      <c r="Z32" s="3">
        <f>N32-V32</f>
        <v>126.88455081677176</v>
      </c>
      <c r="AA32" s="3">
        <f>IF(N32-W32&lt;0,0,N32-W32)</f>
        <v>0</v>
      </c>
      <c r="AB32" s="3">
        <f>N32-X32</f>
        <v>332.80832091677178</v>
      </c>
      <c r="AC32" s="3">
        <f>N32/$C$69</f>
        <v>0.69270733215229596</v>
      </c>
      <c r="AD32" s="3">
        <f>((((0.6)*($C$47)*(9.81)*(COS(0))*(($D$21)-(0.02)*(($C$21)-($C$37))))/($C$16))/(((1)-((0.6)*($C$21)))/($C$16)))*(10^-3)</f>
        <v>2.0334490612763663</v>
      </c>
      <c r="AE32" s="3">
        <f>((((0.68)*($C$47)*(9.81)*(COS(0))*(($D$21)-(0.05)*(($C$21)-($C$37))))/($C$16))/(((1)-((0.68)*($C$21)))/($C$16)))*(10^-3)</f>
        <v>2.3693106315311026</v>
      </c>
      <c r="AF32" s="3">
        <f>((((0.55)*($C$47)*(9.81)*(COS(0))*(($D$21)-(0.1)*(($C$21)-($C$37))))/($C$16))/(((1)-((0.55)*($C$21)))/($C$16)))*(10^-3)</f>
        <v>1.820744142072267</v>
      </c>
      <c r="AG32" s="3">
        <f>((((0.85)*($C$47)*(9.81)*(COS(0))*(($D$21)-(0.013)*(($C$21)-($C$37))))/($C$16))/(((1)-((0.85)*($C$21)))/($C$16)))*(10^-3)</f>
        <v>3.1722049748014709</v>
      </c>
      <c r="AH32" s="3">
        <f>0.6*9.81</f>
        <v>5.8860000000000001</v>
      </c>
      <c r="AI32" s="3">
        <f>0.68*9.81</f>
        <v>6.6708000000000007</v>
      </c>
      <c r="AJ32" s="3">
        <f>0.55*9.81</f>
        <v>5.3955000000000011</v>
      </c>
      <c r="AK32" s="3">
        <f>0.85*9.81</f>
        <v>8.3384999999999998</v>
      </c>
    </row>
    <row r="33" spans="2:37" x14ac:dyDescent="0.3">
      <c r="B33" s="69" t="s">
        <v>35</v>
      </c>
      <c r="C33" s="3">
        <v>0.15240000000000001</v>
      </c>
      <c r="D33" s="3" t="s">
        <v>25</v>
      </c>
      <c r="H33" s="11">
        <v>1000</v>
      </c>
      <c r="I33" s="3">
        <f t="shared" si="29"/>
        <v>1.5</v>
      </c>
      <c r="J33" s="3">
        <f>I33*0.7457*1000</f>
        <v>1118.55</v>
      </c>
      <c r="K33" s="3">
        <f>J33/((2*PI()*H33)/60)</f>
        <v>10.681365695726372</v>
      </c>
      <c r="L33" s="3">
        <f>((($H6/$F$53)*($C$58))/(60))*2.24*0.44704</f>
        <v>1.8329026297163451</v>
      </c>
      <c r="M33" s="3">
        <f t="shared" ref="M33" si="31">L33*2.237</f>
        <v>4.1002031826754646</v>
      </c>
      <c r="N33" s="3">
        <f>J6/L33</f>
        <v>610.26155010378466</v>
      </c>
      <c r="O33" s="3">
        <f t="shared" ref="O33:O55" si="32">(0.5*$C$71*$C$28*$C$27*L33^2)</f>
        <v>2.9886534857801692</v>
      </c>
      <c r="P33" s="3">
        <f t="shared" ref="P33:P55" si="33">0.02*9.81*($C$41+$C$42+$C$43+$C$44+$C$45+$C$46)</f>
        <v>111.31014600000002</v>
      </c>
      <c r="Q33" s="3">
        <f t="shared" ref="Q33:Q55" si="34">0.05*9.81*($C$41+$C$42+$C$43+$C$44+$C$45+$C$46)</f>
        <v>278.27536500000002</v>
      </c>
      <c r="R33" s="3">
        <f t="shared" ref="R33:R55" si="35">0.1*9.81*($C$41+$C$42+$C$43+$C$44+$C$45+$C$46)</f>
        <v>556.55073000000004</v>
      </c>
      <c r="S33" s="3">
        <f t="shared" ref="S33:S55" si="36">0.013*9.81*($C$41+$C$42+$C$43+$C$44+$C$45+$C$46)</f>
        <v>72.351594900000009</v>
      </c>
      <c r="T33" s="3">
        <f t="shared" ref="T33:T55" si="37">9.81*SIN(RADIANS(0))*($C$47)</f>
        <v>0</v>
      </c>
      <c r="U33" s="3">
        <f t="shared" ref="U33:U55" si="38">O33+P33+T33</f>
        <v>114.29879948578019</v>
      </c>
      <c r="V33" s="3">
        <f t="shared" ref="V33:V55" si="39">O33+Q33+T33</f>
        <v>281.26401848578018</v>
      </c>
      <c r="W33" s="3">
        <f t="shared" ref="W33:W55" si="40">O33+R33+T33</f>
        <v>559.53938348578026</v>
      </c>
      <c r="X33" s="3">
        <f t="shared" ref="X33:X55" si="41">O33+S33+T33</f>
        <v>75.340248385780171</v>
      </c>
      <c r="Y33" s="3">
        <f t="shared" ref="Y33:Y55" si="42">N33-U33</f>
        <v>495.96275061800446</v>
      </c>
      <c r="Z33" s="3">
        <f t="shared" ref="Z33:Z55" si="43">N33-V33</f>
        <v>328.99753161800447</v>
      </c>
      <c r="AA33" s="3">
        <f t="shared" ref="AA33:AA55" si="44">IF(N33-W33&lt;0,0,N33-W33)</f>
        <v>50.722166618004394</v>
      </c>
      <c r="AB33" s="3">
        <f t="shared" ref="AB33:AB55" si="45">N33-X33</f>
        <v>534.92130171800454</v>
      </c>
      <c r="AC33" s="3">
        <f t="shared" ref="AC33:AC55" si="46">N33/$C$69</f>
        <v>1.039060998228444</v>
      </c>
      <c r="AD33" s="3">
        <f t="shared" ref="AD33:AD55" si="47">((((0.6)*($C$47)*(9.81)*(COS(0))*(($D$21)-(0.02)*(($C$21)-($C$37))))/($C$16))/(((1)-((0.6)*($C$21)))/($C$16)))*(10^-3)</f>
        <v>2.0334490612763663</v>
      </c>
      <c r="AE33" s="3">
        <f t="shared" ref="AE33:AE55" si="48">((((0.68)*($C$47)*(9.81)*(COS(0))*(($D$21)-(0.05)*(($C$21)-($C$37))))/($C$16))/(((1)-((0.68)*($C$21)))/($C$16)))*(10^-3)</f>
        <v>2.3693106315311026</v>
      </c>
      <c r="AF33" s="3">
        <f t="shared" ref="AF33:AF55" si="49">((((0.55)*($C$47)*(9.81)*(COS(0))*(($D$21)-(0.1)*(($C$21)-($C$37))))/($C$16))/(((1)-((0.55)*($C$21)))/($C$16)))*(10^-3)</f>
        <v>1.820744142072267</v>
      </c>
      <c r="AG33" s="3">
        <f t="shared" ref="AG33:AG55" si="50">((((0.85)*($C$47)*(9.81)*(COS(0))*(($D$21)-(0.013)*(($C$21)-($C$37))))/($C$16))/(((1)-((0.85)*($C$21)))/($C$16)))*(10^-3)</f>
        <v>3.1722049748014709</v>
      </c>
      <c r="AH33" s="3">
        <f t="shared" ref="AH33:AH55" si="51">0.6*9.81</f>
        <v>5.8860000000000001</v>
      </c>
      <c r="AI33" s="3">
        <f t="shared" ref="AI33:AI55" si="52">0.68*9.81</f>
        <v>6.6708000000000007</v>
      </c>
      <c r="AJ33" s="3">
        <f t="shared" ref="AJ33:AJ55" si="53">0.55*9.81</f>
        <v>5.3955000000000011</v>
      </c>
      <c r="AK33" s="3">
        <f t="shared" ref="AK33:AK55" si="54">0.85*9.81</f>
        <v>8.3384999999999998</v>
      </c>
    </row>
    <row r="34" spans="2:37" x14ac:dyDescent="0.3">
      <c r="B34" s="69" t="s">
        <v>36</v>
      </c>
      <c r="C34" s="3">
        <v>10</v>
      </c>
      <c r="D34" s="3" t="s">
        <v>40</v>
      </c>
      <c r="H34" s="11">
        <v>1250</v>
      </c>
      <c r="I34" s="3">
        <f t="shared" si="29"/>
        <v>2.25</v>
      </c>
      <c r="J34" s="3">
        <f t="shared" ref="J34:J55" si="55">I34*0.7457*1000</f>
        <v>1677.825</v>
      </c>
      <c r="K34" s="3">
        <f t="shared" ref="K34:K55" si="56">J34/((2*PI()*H34)/60)</f>
        <v>12.817638834871646</v>
      </c>
      <c r="L34" s="3">
        <f>((($H7/$F$53)*($C$58))/(60))*2.24*0.44704</f>
        <v>2.2911282871454315</v>
      </c>
      <c r="M34" s="3">
        <f t="shared" ref="M34" si="57">L34*2.237</f>
        <v>5.1252539783443307</v>
      </c>
      <c r="N34" s="3">
        <f>J7/L34</f>
        <v>732.31386012454163</v>
      </c>
      <c r="O34" s="3">
        <f t="shared" si="32"/>
        <v>4.6697710715315148</v>
      </c>
      <c r="P34" s="3">
        <f t="shared" si="33"/>
        <v>111.31014600000002</v>
      </c>
      <c r="Q34" s="3">
        <f t="shared" si="34"/>
        <v>278.27536500000002</v>
      </c>
      <c r="R34" s="3">
        <f t="shared" si="35"/>
        <v>556.55073000000004</v>
      </c>
      <c r="S34" s="3">
        <f t="shared" si="36"/>
        <v>72.351594900000009</v>
      </c>
      <c r="T34" s="3">
        <f t="shared" si="37"/>
        <v>0</v>
      </c>
      <c r="U34" s="3">
        <f t="shared" si="38"/>
        <v>115.97991707153153</v>
      </c>
      <c r="V34" s="3">
        <f t="shared" si="39"/>
        <v>282.94513607153152</v>
      </c>
      <c r="W34" s="3">
        <f t="shared" si="40"/>
        <v>561.22050107153154</v>
      </c>
      <c r="X34" s="3">
        <f t="shared" si="41"/>
        <v>77.021365971531523</v>
      </c>
      <c r="Y34" s="3">
        <f t="shared" si="42"/>
        <v>616.3339430530101</v>
      </c>
      <c r="Z34" s="3">
        <f t="shared" si="43"/>
        <v>449.36872405301011</v>
      </c>
      <c r="AA34" s="3">
        <f t="shared" si="44"/>
        <v>171.09335905301009</v>
      </c>
      <c r="AB34" s="3">
        <f t="shared" si="45"/>
        <v>655.29249415301013</v>
      </c>
      <c r="AC34" s="3">
        <f t="shared" si="46"/>
        <v>1.2468731978741328</v>
      </c>
      <c r="AD34" s="3">
        <f t="shared" si="47"/>
        <v>2.0334490612763663</v>
      </c>
      <c r="AE34" s="3">
        <f t="shared" si="48"/>
        <v>2.3693106315311026</v>
      </c>
      <c r="AF34" s="3">
        <f t="shared" si="49"/>
        <v>1.820744142072267</v>
      </c>
      <c r="AG34" s="3">
        <f t="shared" si="50"/>
        <v>3.1722049748014709</v>
      </c>
      <c r="AH34" s="3">
        <f t="shared" si="51"/>
        <v>5.8860000000000001</v>
      </c>
      <c r="AI34" s="3">
        <f t="shared" si="52"/>
        <v>6.6708000000000007</v>
      </c>
      <c r="AJ34" s="3">
        <f t="shared" si="53"/>
        <v>5.3955000000000011</v>
      </c>
      <c r="AK34" s="3">
        <f t="shared" si="54"/>
        <v>8.3384999999999998</v>
      </c>
    </row>
    <row r="35" spans="2:37" x14ac:dyDescent="0.3">
      <c r="B35" s="69" t="s">
        <v>36</v>
      </c>
      <c r="C35" s="3">
        <f>C34/39.37</f>
        <v>0.25400050800101603</v>
      </c>
      <c r="D35" s="3" t="s">
        <v>25</v>
      </c>
      <c r="H35" s="11">
        <v>1500</v>
      </c>
      <c r="I35" s="3">
        <f t="shared" si="29"/>
        <v>3</v>
      </c>
      <c r="J35" s="3">
        <f t="shared" si="55"/>
        <v>2237.1</v>
      </c>
      <c r="K35" s="3">
        <f t="shared" si="56"/>
        <v>14.241820927635162</v>
      </c>
      <c r="L35" s="3">
        <f>((($H8/$F$53)*($C$58))/(60))*2.24*0.44704</f>
        <v>2.7493539445745174</v>
      </c>
      <c r="M35" s="3">
        <f t="shared" ref="M35" si="58">L35*2.237</f>
        <v>6.150304774013196</v>
      </c>
      <c r="N35" s="3">
        <f>J8/L35</f>
        <v>813.68206680504625</v>
      </c>
      <c r="O35" s="3">
        <f t="shared" si="32"/>
        <v>6.7244703430053798</v>
      </c>
      <c r="P35" s="3">
        <f t="shared" si="33"/>
        <v>111.31014600000002</v>
      </c>
      <c r="Q35" s="3">
        <f t="shared" si="34"/>
        <v>278.27536500000002</v>
      </c>
      <c r="R35" s="3">
        <f t="shared" si="35"/>
        <v>556.55073000000004</v>
      </c>
      <c r="S35" s="3">
        <f t="shared" si="36"/>
        <v>72.351594900000009</v>
      </c>
      <c r="T35" s="3">
        <f t="shared" si="37"/>
        <v>0</v>
      </c>
      <c r="U35" s="3">
        <f t="shared" si="38"/>
        <v>118.0346163430054</v>
      </c>
      <c r="V35" s="3">
        <f t="shared" si="39"/>
        <v>284.99983534300543</v>
      </c>
      <c r="W35" s="3">
        <f t="shared" si="40"/>
        <v>563.27520034300539</v>
      </c>
      <c r="X35" s="3">
        <f t="shared" si="41"/>
        <v>79.076065243005388</v>
      </c>
      <c r="Y35" s="3">
        <f t="shared" si="42"/>
        <v>695.64745046204087</v>
      </c>
      <c r="Z35" s="3">
        <f t="shared" si="43"/>
        <v>528.68223146204082</v>
      </c>
      <c r="AA35" s="3">
        <f t="shared" si="44"/>
        <v>250.40686646204085</v>
      </c>
      <c r="AB35" s="3">
        <f t="shared" si="45"/>
        <v>734.60600156204089</v>
      </c>
      <c r="AC35" s="3">
        <f t="shared" si="46"/>
        <v>1.3854146643045919</v>
      </c>
      <c r="AD35" s="3">
        <f t="shared" si="47"/>
        <v>2.0334490612763663</v>
      </c>
      <c r="AE35" s="3">
        <f t="shared" si="48"/>
        <v>2.3693106315311026</v>
      </c>
      <c r="AF35" s="3">
        <f t="shared" si="49"/>
        <v>1.820744142072267</v>
      </c>
      <c r="AG35" s="3">
        <f t="shared" si="50"/>
        <v>3.1722049748014709</v>
      </c>
      <c r="AH35" s="3">
        <f t="shared" si="51"/>
        <v>5.8860000000000001</v>
      </c>
      <c r="AI35" s="3">
        <f t="shared" si="52"/>
        <v>6.6708000000000007</v>
      </c>
      <c r="AJ35" s="3">
        <f t="shared" si="53"/>
        <v>5.3955000000000011</v>
      </c>
      <c r="AK35" s="3">
        <f t="shared" si="54"/>
        <v>8.3384999999999998</v>
      </c>
    </row>
    <row r="36" spans="2:37" x14ac:dyDescent="0.3">
      <c r="B36" s="69" t="s">
        <v>37</v>
      </c>
      <c r="C36" s="3">
        <v>0.13969999999999999</v>
      </c>
      <c r="D36" s="3" t="s">
        <v>25</v>
      </c>
      <c r="H36" s="11">
        <v>1750</v>
      </c>
      <c r="I36" s="3">
        <f t="shared" si="29"/>
        <v>3.75</v>
      </c>
      <c r="J36" s="3">
        <f t="shared" si="55"/>
        <v>2796.3750000000005</v>
      </c>
      <c r="K36" s="3">
        <f t="shared" si="56"/>
        <v>15.259093851037678</v>
      </c>
      <c r="L36" s="3">
        <f>((($H9/$F$53)*($C$58))/(60))*2.24*0.44704</f>
        <v>3.2075796020036038</v>
      </c>
      <c r="M36" s="3">
        <f t="shared" ref="M36" si="59">L36*2.237</f>
        <v>7.1753555696820621</v>
      </c>
      <c r="N36" s="3">
        <f>J9/L36</f>
        <v>871.80221443397829</v>
      </c>
      <c r="O36" s="3">
        <f t="shared" si="32"/>
        <v>9.1527513002017677</v>
      </c>
      <c r="P36" s="3">
        <f t="shared" si="33"/>
        <v>111.31014600000002</v>
      </c>
      <c r="Q36" s="3">
        <f t="shared" si="34"/>
        <v>278.27536500000002</v>
      </c>
      <c r="R36" s="3">
        <f t="shared" si="35"/>
        <v>556.55073000000004</v>
      </c>
      <c r="S36" s="3">
        <f t="shared" si="36"/>
        <v>72.351594900000009</v>
      </c>
      <c r="T36" s="3">
        <f t="shared" si="37"/>
        <v>0</v>
      </c>
      <c r="U36" s="3">
        <f t="shared" si="38"/>
        <v>120.46289730020179</v>
      </c>
      <c r="V36" s="3">
        <f t="shared" si="39"/>
        <v>287.42811630020179</v>
      </c>
      <c r="W36" s="3">
        <f t="shared" si="40"/>
        <v>565.70348130020182</v>
      </c>
      <c r="X36" s="3">
        <f t="shared" si="41"/>
        <v>81.50434620020178</v>
      </c>
      <c r="Y36" s="3">
        <f t="shared" si="42"/>
        <v>751.33931713377649</v>
      </c>
      <c r="Z36" s="3">
        <f t="shared" si="43"/>
        <v>584.37409813377644</v>
      </c>
      <c r="AA36" s="3">
        <f t="shared" si="44"/>
        <v>306.09873313377648</v>
      </c>
      <c r="AB36" s="3">
        <f t="shared" si="45"/>
        <v>790.29786823377651</v>
      </c>
      <c r="AC36" s="3">
        <f t="shared" si="46"/>
        <v>1.4843728546120631</v>
      </c>
      <c r="AD36" s="3">
        <f t="shared" si="47"/>
        <v>2.0334490612763663</v>
      </c>
      <c r="AE36" s="3">
        <f t="shared" si="48"/>
        <v>2.3693106315311026</v>
      </c>
      <c r="AF36" s="3">
        <f t="shared" si="49"/>
        <v>1.820744142072267</v>
      </c>
      <c r="AG36" s="3">
        <f t="shared" si="50"/>
        <v>3.1722049748014709</v>
      </c>
      <c r="AH36" s="3">
        <f t="shared" si="51"/>
        <v>5.8860000000000001</v>
      </c>
      <c r="AI36" s="3">
        <f t="shared" si="52"/>
        <v>6.6708000000000007</v>
      </c>
      <c r="AJ36" s="3">
        <f t="shared" si="53"/>
        <v>5.3955000000000011</v>
      </c>
      <c r="AK36" s="3">
        <f t="shared" si="54"/>
        <v>8.3384999999999998</v>
      </c>
    </row>
    <row r="37" spans="2:37" x14ac:dyDescent="0.3">
      <c r="B37" s="69" t="s">
        <v>38</v>
      </c>
      <c r="C37" s="3">
        <f>(C35/2)+C36</f>
        <v>0.26670025400050801</v>
      </c>
      <c r="D37" s="3" t="s">
        <v>25</v>
      </c>
      <c r="H37" s="11">
        <v>2000</v>
      </c>
      <c r="I37" s="3">
        <f t="shared" si="29"/>
        <v>4.5</v>
      </c>
      <c r="J37" s="3">
        <f t="shared" si="55"/>
        <v>3355.65</v>
      </c>
      <c r="K37" s="3">
        <f t="shared" si="56"/>
        <v>16.022048543589559</v>
      </c>
      <c r="L37" s="3">
        <f>((($H10/$F$53)*($C$58))/(60))*2.24*0.44704</f>
        <v>3.6658052594326902</v>
      </c>
      <c r="M37" s="3">
        <f t="shared" ref="M37" si="60">L37*2.237</f>
        <v>8.2004063653509291</v>
      </c>
      <c r="N37" s="3">
        <f>J10/L37</f>
        <v>915.39232515567699</v>
      </c>
      <c r="O37" s="3">
        <f t="shared" si="32"/>
        <v>11.954613943120677</v>
      </c>
      <c r="P37" s="3">
        <f t="shared" si="33"/>
        <v>111.31014600000002</v>
      </c>
      <c r="Q37" s="3">
        <f t="shared" si="34"/>
        <v>278.27536500000002</v>
      </c>
      <c r="R37" s="3">
        <f t="shared" si="35"/>
        <v>556.55073000000004</v>
      </c>
      <c r="S37" s="3">
        <f t="shared" si="36"/>
        <v>72.351594900000009</v>
      </c>
      <c r="T37" s="3">
        <f t="shared" si="37"/>
        <v>0</v>
      </c>
      <c r="U37" s="3">
        <f t="shared" si="38"/>
        <v>123.26475994312069</v>
      </c>
      <c r="V37" s="3">
        <f t="shared" si="39"/>
        <v>290.22997894312073</v>
      </c>
      <c r="W37" s="3">
        <f t="shared" si="40"/>
        <v>568.50534394312069</v>
      </c>
      <c r="X37" s="3">
        <f t="shared" si="41"/>
        <v>84.306208843120686</v>
      </c>
      <c r="Y37" s="3">
        <f t="shared" si="42"/>
        <v>792.12756521255631</v>
      </c>
      <c r="Z37" s="3">
        <f t="shared" si="43"/>
        <v>625.16234621255626</v>
      </c>
      <c r="AA37" s="3">
        <f t="shared" si="44"/>
        <v>346.88698121255629</v>
      </c>
      <c r="AB37" s="3">
        <f t="shared" si="45"/>
        <v>831.08611631255633</v>
      </c>
      <c r="AC37" s="3">
        <f t="shared" si="46"/>
        <v>1.5585914973426658</v>
      </c>
      <c r="AD37" s="3">
        <f t="shared" si="47"/>
        <v>2.0334490612763663</v>
      </c>
      <c r="AE37" s="3">
        <f t="shared" si="48"/>
        <v>2.3693106315311026</v>
      </c>
      <c r="AF37" s="3">
        <f t="shared" si="49"/>
        <v>1.820744142072267</v>
      </c>
      <c r="AG37" s="3">
        <f t="shared" si="50"/>
        <v>3.1722049748014709</v>
      </c>
      <c r="AH37" s="3">
        <f t="shared" si="51"/>
        <v>5.8860000000000001</v>
      </c>
      <c r="AI37" s="3">
        <f t="shared" si="52"/>
        <v>6.6708000000000007</v>
      </c>
      <c r="AJ37" s="3">
        <f t="shared" si="53"/>
        <v>5.3955000000000011</v>
      </c>
      <c r="AK37" s="3">
        <f t="shared" si="54"/>
        <v>8.3384999999999998</v>
      </c>
    </row>
    <row r="38" spans="2:37" x14ac:dyDescent="0.3">
      <c r="B38" s="69" t="s">
        <v>39</v>
      </c>
      <c r="C38" s="3">
        <f>C37*PI()*2</f>
        <v>1.6757271173570556</v>
      </c>
      <c r="D38" s="3" t="s">
        <v>25</v>
      </c>
      <c r="H38" s="11">
        <v>2250</v>
      </c>
      <c r="I38" s="3">
        <f t="shared" si="29"/>
        <v>5.25</v>
      </c>
      <c r="J38" s="3">
        <f t="shared" si="55"/>
        <v>3914.9250000000002</v>
      </c>
      <c r="K38" s="3">
        <f t="shared" si="56"/>
        <v>16.615457748907691</v>
      </c>
      <c r="L38" s="3">
        <f>((($H11/$F$53)*($C$58))/(60))*2.24*0.44704</f>
        <v>4.1240309168617761</v>
      </c>
      <c r="M38" s="3">
        <f t="shared" ref="M38" si="61">L38*2.237</f>
        <v>9.2254571610197935</v>
      </c>
      <c r="N38" s="3">
        <f>J11/L38</f>
        <v>949.29574460588742</v>
      </c>
      <c r="O38" s="3">
        <f t="shared" si="32"/>
        <v>15.130058271762106</v>
      </c>
      <c r="P38" s="3">
        <f t="shared" si="33"/>
        <v>111.31014600000002</v>
      </c>
      <c r="Q38" s="3">
        <f t="shared" si="34"/>
        <v>278.27536500000002</v>
      </c>
      <c r="R38" s="3">
        <f t="shared" si="35"/>
        <v>556.55073000000004</v>
      </c>
      <c r="S38" s="3">
        <f t="shared" si="36"/>
        <v>72.351594900000009</v>
      </c>
      <c r="T38" s="3">
        <f t="shared" si="37"/>
        <v>0</v>
      </c>
      <c r="U38" s="3">
        <f t="shared" si="38"/>
        <v>126.44020427176213</v>
      </c>
      <c r="V38" s="3">
        <f t="shared" si="39"/>
        <v>293.40542327176212</v>
      </c>
      <c r="W38" s="3">
        <f t="shared" si="40"/>
        <v>571.68078827176214</v>
      </c>
      <c r="X38" s="3">
        <f t="shared" si="41"/>
        <v>87.481653171762119</v>
      </c>
      <c r="Y38" s="3">
        <f t="shared" si="42"/>
        <v>822.85554033412529</v>
      </c>
      <c r="Z38" s="3">
        <f t="shared" si="43"/>
        <v>655.89032133412525</v>
      </c>
      <c r="AA38" s="3">
        <f t="shared" si="44"/>
        <v>377.61495633412528</v>
      </c>
      <c r="AB38" s="3">
        <f t="shared" si="45"/>
        <v>861.81409143412532</v>
      </c>
      <c r="AC38" s="3">
        <f t="shared" si="46"/>
        <v>1.6163171083553576</v>
      </c>
      <c r="AD38" s="3">
        <f t="shared" si="47"/>
        <v>2.0334490612763663</v>
      </c>
      <c r="AE38" s="3">
        <f t="shared" si="48"/>
        <v>2.3693106315311026</v>
      </c>
      <c r="AF38" s="3">
        <f t="shared" si="49"/>
        <v>1.820744142072267</v>
      </c>
      <c r="AG38" s="3">
        <f t="shared" si="50"/>
        <v>3.1722049748014709</v>
      </c>
      <c r="AH38" s="3">
        <f t="shared" si="51"/>
        <v>5.8860000000000001</v>
      </c>
      <c r="AI38" s="3">
        <f t="shared" si="52"/>
        <v>6.6708000000000007</v>
      </c>
      <c r="AJ38" s="3">
        <f t="shared" si="53"/>
        <v>5.3955000000000011</v>
      </c>
      <c r="AK38" s="3">
        <f t="shared" si="54"/>
        <v>8.3384999999999998</v>
      </c>
    </row>
    <row r="39" spans="2:37" x14ac:dyDescent="0.3">
      <c r="H39" s="11">
        <v>2500</v>
      </c>
      <c r="I39" s="3">
        <f t="shared" si="29"/>
        <v>6</v>
      </c>
      <c r="J39" s="3">
        <f t="shared" si="55"/>
        <v>4474.2</v>
      </c>
      <c r="K39" s="3">
        <f t="shared" si="56"/>
        <v>17.090185113162196</v>
      </c>
      <c r="L39" s="3">
        <f>((($H12/$F$53)*($C$58))/(60))*2.24*0.44704</f>
        <v>4.582256574290863</v>
      </c>
      <c r="M39" s="3">
        <f t="shared" ref="M39" si="62">L39*2.237</f>
        <v>10.250507956688661</v>
      </c>
      <c r="N39" s="3">
        <f>J12/L39</f>
        <v>976.41848016605536</v>
      </c>
      <c r="O39" s="3">
        <f t="shared" si="32"/>
        <v>18.679084286126059</v>
      </c>
      <c r="P39" s="3">
        <f t="shared" si="33"/>
        <v>111.31014600000002</v>
      </c>
      <c r="Q39" s="3">
        <f t="shared" si="34"/>
        <v>278.27536500000002</v>
      </c>
      <c r="R39" s="3">
        <f t="shared" si="35"/>
        <v>556.55073000000004</v>
      </c>
      <c r="S39" s="3">
        <f t="shared" si="36"/>
        <v>72.351594900000009</v>
      </c>
      <c r="T39" s="3">
        <f t="shared" si="37"/>
        <v>0</v>
      </c>
      <c r="U39" s="3">
        <f t="shared" si="38"/>
        <v>129.98923028612609</v>
      </c>
      <c r="V39" s="3">
        <f t="shared" si="39"/>
        <v>296.95444928612608</v>
      </c>
      <c r="W39" s="3">
        <f t="shared" si="40"/>
        <v>575.22981428612616</v>
      </c>
      <c r="X39" s="3">
        <f t="shared" si="41"/>
        <v>91.030679186126065</v>
      </c>
      <c r="Y39" s="3">
        <f t="shared" si="42"/>
        <v>846.42924987992933</v>
      </c>
      <c r="Z39" s="3">
        <f t="shared" si="43"/>
        <v>679.46403087992928</v>
      </c>
      <c r="AA39" s="3">
        <f t="shared" si="44"/>
        <v>401.1886658799292</v>
      </c>
      <c r="AB39" s="3">
        <f t="shared" si="45"/>
        <v>885.38780097992935</v>
      </c>
      <c r="AC39" s="3">
        <f t="shared" si="46"/>
        <v>1.66249759716551</v>
      </c>
      <c r="AD39" s="3">
        <f t="shared" si="47"/>
        <v>2.0334490612763663</v>
      </c>
      <c r="AE39" s="3">
        <f t="shared" si="48"/>
        <v>2.3693106315311026</v>
      </c>
      <c r="AF39" s="3">
        <f t="shared" si="49"/>
        <v>1.820744142072267</v>
      </c>
      <c r="AG39" s="3">
        <f t="shared" si="50"/>
        <v>3.1722049748014709</v>
      </c>
      <c r="AH39" s="3">
        <f t="shared" si="51"/>
        <v>5.8860000000000001</v>
      </c>
      <c r="AI39" s="3">
        <f t="shared" si="52"/>
        <v>6.6708000000000007</v>
      </c>
      <c r="AJ39" s="3">
        <f t="shared" si="53"/>
        <v>5.3955000000000011</v>
      </c>
      <c r="AK39" s="3">
        <f t="shared" si="54"/>
        <v>8.3384999999999998</v>
      </c>
    </row>
    <row r="40" spans="2:37" x14ac:dyDescent="0.3">
      <c r="B40" s="70" t="s">
        <v>41</v>
      </c>
      <c r="C40" s="71"/>
      <c r="D40" s="72"/>
      <c r="H40" s="11">
        <v>2750</v>
      </c>
      <c r="I40" s="3">
        <f t="shared" si="29"/>
        <v>6.75</v>
      </c>
      <c r="J40" s="3">
        <f t="shared" si="55"/>
        <v>5033.4750000000004</v>
      </c>
      <c r="K40" s="3">
        <f t="shared" si="56"/>
        <v>17.478598411188614</v>
      </c>
      <c r="L40" s="3">
        <f>((($H13/$F$53)*($C$58))/(60))*2.24*0.44704</f>
        <v>5.040482231719948</v>
      </c>
      <c r="M40" s="3">
        <f t="shared" ref="M40" si="63">L40*2.237</f>
        <v>11.275558752357524</v>
      </c>
      <c r="N40" s="3">
        <f>J13/L40</f>
        <v>998.60980926073876</v>
      </c>
      <c r="O40" s="3">
        <f t="shared" si="32"/>
        <v>22.601691986212522</v>
      </c>
      <c r="P40" s="3">
        <f t="shared" si="33"/>
        <v>111.31014600000002</v>
      </c>
      <c r="Q40" s="3">
        <f t="shared" si="34"/>
        <v>278.27536500000002</v>
      </c>
      <c r="R40" s="3">
        <f t="shared" si="35"/>
        <v>556.55073000000004</v>
      </c>
      <c r="S40" s="3">
        <f t="shared" si="36"/>
        <v>72.351594900000009</v>
      </c>
      <c r="T40" s="3">
        <f t="shared" si="37"/>
        <v>0</v>
      </c>
      <c r="U40" s="3">
        <f t="shared" si="38"/>
        <v>133.91183798621253</v>
      </c>
      <c r="V40" s="3">
        <f t="shared" si="39"/>
        <v>300.87705698621255</v>
      </c>
      <c r="W40" s="3">
        <f t="shared" si="40"/>
        <v>579.15242198621252</v>
      </c>
      <c r="X40" s="3">
        <f t="shared" si="41"/>
        <v>94.953286886212538</v>
      </c>
      <c r="Y40" s="3">
        <f t="shared" si="42"/>
        <v>864.69797127452625</v>
      </c>
      <c r="Z40" s="3">
        <f t="shared" si="43"/>
        <v>697.73275227452621</v>
      </c>
      <c r="AA40" s="3">
        <f t="shared" si="44"/>
        <v>419.45738727452624</v>
      </c>
      <c r="AB40" s="3">
        <f t="shared" si="45"/>
        <v>903.65652237452628</v>
      </c>
      <c r="AC40" s="3">
        <f t="shared" si="46"/>
        <v>1.7002816334647268</v>
      </c>
      <c r="AD40" s="3">
        <f t="shared" si="47"/>
        <v>2.0334490612763663</v>
      </c>
      <c r="AE40" s="3">
        <f t="shared" si="48"/>
        <v>2.3693106315311026</v>
      </c>
      <c r="AF40" s="3">
        <f t="shared" si="49"/>
        <v>1.820744142072267</v>
      </c>
      <c r="AG40" s="3">
        <f t="shared" si="50"/>
        <v>3.1722049748014709</v>
      </c>
      <c r="AH40" s="3">
        <f t="shared" si="51"/>
        <v>5.8860000000000001</v>
      </c>
      <c r="AI40" s="3">
        <f t="shared" si="52"/>
        <v>6.6708000000000007</v>
      </c>
      <c r="AJ40" s="3">
        <f t="shared" si="53"/>
        <v>5.3955000000000011</v>
      </c>
      <c r="AK40" s="3">
        <f t="shared" si="54"/>
        <v>8.3384999999999998</v>
      </c>
    </row>
    <row r="41" spans="2:37" x14ac:dyDescent="0.3">
      <c r="B41" s="69" t="s">
        <v>42</v>
      </c>
      <c r="C41" s="3">
        <v>365</v>
      </c>
      <c r="D41" s="3" t="s">
        <v>51</v>
      </c>
      <c r="H41" s="11">
        <v>3000</v>
      </c>
      <c r="I41" s="3">
        <f t="shared" si="29"/>
        <v>7.5</v>
      </c>
      <c r="J41" s="3">
        <f t="shared" si="55"/>
        <v>5592.7500000000009</v>
      </c>
      <c r="K41" s="3">
        <f t="shared" si="56"/>
        <v>17.802276159543954</v>
      </c>
      <c r="L41" s="3">
        <f>((($H14/$F$53)*($C$58))/(60))*2.24*0.44704</f>
        <v>5.4987078891490349</v>
      </c>
      <c r="M41" s="3">
        <f t="shared" ref="M41" si="64">L41*2.237</f>
        <v>12.300609548026392</v>
      </c>
      <c r="N41" s="3">
        <f>J14/L41</f>
        <v>1017.1025835063081</v>
      </c>
      <c r="O41" s="3">
        <f t="shared" si="32"/>
        <v>26.897881372021519</v>
      </c>
      <c r="P41" s="3">
        <f t="shared" si="33"/>
        <v>111.31014600000002</v>
      </c>
      <c r="Q41" s="3">
        <f t="shared" si="34"/>
        <v>278.27536500000002</v>
      </c>
      <c r="R41" s="3">
        <f t="shared" si="35"/>
        <v>556.55073000000004</v>
      </c>
      <c r="S41" s="3">
        <f t="shared" si="36"/>
        <v>72.351594900000009</v>
      </c>
      <c r="T41" s="3">
        <f t="shared" si="37"/>
        <v>0</v>
      </c>
      <c r="U41" s="3">
        <f t="shared" si="38"/>
        <v>138.20802737202155</v>
      </c>
      <c r="V41" s="3">
        <f t="shared" si="39"/>
        <v>305.17324637202154</v>
      </c>
      <c r="W41" s="3">
        <f t="shared" si="40"/>
        <v>583.44861137202156</v>
      </c>
      <c r="X41" s="3">
        <f t="shared" si="41"/>
        <v>99.249476272021525</v>
      </c>
      <c r="Y41" s="3">
        <f t="shared" si="42"/>
        <v>878.89455613428652</v>
      </c>
      <c r="Z41" s="3">
        <f t="shared" si="43"/>
        <v>711.92933713428647</v>
      </c>
      <c r="AA41" s="3">
        <f t="shared" si="44"/>
        <v>433.65397213428651</v>
      </c>
      <c r="AB41" s="3">
        <f t="shared" si="45"/>
        <v>917.85310723428654</v>
      </c>
      <c r="AC41" s="3">
        <f t="shared" si="46"/>
        <v>1.7317683303807403</v>
      </c>
      <c r="AD41" s="3">
        <f t="shared" si="47"/>
        <v>2.0334490612763663</v>
      </c>
      <c r="AE41" s="3">
        <f t="shared" si="48"/>
        <v>2.3693106315311026</v>
      </c>
      <c r="AF41" s="3">
        <f t="shared" si="49"/>
        <v>1.820744142072267</v>
      </c>
      <c r="AG41" s="3">
        <f t="shared" si="50"/>
        <v>3.1722049748014709</v>
      </c>
      <c r="AH41" s="3">
        <f t="shared" si="51"/>
        <v>5.8860000000000001</v>
      </c>
      <c r="AI41" s="3">
        <f t="shared" si="52"/>
        <v>6.6708000000000007</v>
      </c>
      <c r="AJ41" s="3">
        <f t="shared" si="53"/>
        <v>5.3955000000000011</v>
      </c>
      <c r="AK41" s="3">
        <f t="shared" si="54"/>
        <v>8.3384999999999998</v>
      </c>
    </row>
    <row r="42" spans="2:37" x14ac:dyDescent="0.3">
      <c r="B42" s="69" t="s">
        <v>43</v>
      </c>
      <c r="C42" s="3">
        <v>80</v>
      </c>
      <c r="D42" s="3" t="s">
        <v>51</v>
      </c>
      <c r="H42" s="11">
        <v>3250</v>
      </c>
      <c r="I42" s="3">
        <f t="shared" si="29"/>
        <v>8.25</v>
      </c>
      <c r="J42" s="3">
        <f t="shared" si="55"/>
        <v>6152.0249999999996</v>
      </c>
      <c r="K42" s="3">
        <f t="shared" si="56"/>
        <v>18.076157331229243</v>
      </c>
      <c r="L42" s="3">
        <f>((($H15/$F$53)*($C$58))/(60))*2.24*0.44704</f>
        <v>5.9569335465781208</v>
      </c>
      <c r="M42" s="3">
        <f t="shared" ref="M42" si="65">L42*2.237</f>
        <v>13.325660343695256</v>
      </c>
      <c r="N42" s="3">
        <f>J15/L42</f>
        <v>1032.750315560251</v>
      </c>
      <c r="O42" s="3">
        <f t="shared" si="32"/>
        <v>31.56765244355303</v>
      </c>
      <c r="P42" s="3">
        <f t="shared" si="33"/>
        <v>111.31014600000002</v>
      </c>
      <c r="Q42" s="3">
        <f t="shared" si="34"/>
        <v>278.27536500000002</v>
      </c>
      <c r="R42" s="3">
        <f t="shared" si="35"/>
        <v>556.55073000000004</v>
      </c>
      <c r="S42" s="3">
        <f t="shared" si="36"/>
        <v>72.351594900000009</v>
      </c>
      <c r="T42" s="3">
        <f t="shared" si="37"/>
        <v>0</v>
      </c>
      <c r="U42" s="3">
        <f t="shared" si="38"/>
        <v>142.87779844355305</v>
      </c>
      <c r="V42" s="3">
        <f t="shared" si="39"/>
        <v>309.84301744355304</v>
      </c>
      <c r="W42" s="3">
        <f t="shared" si="40"/>
        <v>588.11838244355306</v>
      </c>
      <c r="X42" s="3">
        <f t="shared" si="41"/>
        <v>103.91924734355304</v>
      </c>
      <c r="Y42" s="3">
        <f t="shared" si="42"/>
        <v>889.87251711669796</v>
      </c>
      <c r="Z42" s="3">
        <f t="shared" si="43"/>
        <v>722.90729811669803</v>
      </c>
      <c r="AA42" s="3">
        <f t="shared" si="44"/>
        <v>444.63193311669795</v>
      </c>
      <c r="AB42" s="3">
        <f t="shared" si="45"/>
        <v>928.83106821669799</v>
      </c>
      <c r="AC42" s="3">
        <f t="shared" si="46"/>
        <v>1.7584109200789051</v>
      </c>
      <c r="AD42" s="3">
        <f t="shared" si="47"/>
        <v>2.0334490612763663</v>
      </c>
      <c r="AE42" s="3">
        <f t="shared" si="48"/>
        <v>2.3693106315311026</v>
      </c>
      <c r="AF42" s="3">
        <f t="shared" si="49"/>
        <v>1.820744142072267</v>
      </c>
      <c r="AG42" s="3">
        <f t="shared" si="50"/>
        <v>3.1722049748014709</v>
      </c>
      <c r="AH42" s="3">
        <f t="shared" si="51"/>
        <v>5.8860000000000001</v>
      </c>
      <c r="AI42" s="3">
        <f t="shared" si="52"/>
        <v>6.6708000000000007</v>
      </c>
      <c r="AJ42" s="3">
        <f t="shared" si="53"/>
        <v>5.3955000000000011</v>
      </c>
      <c r="AK42" s="3">
        <f t="shared" si="54"/>
        <v>8.3384999999999998</v>
      </c>
    </row>
    <row r="43" spans="2:37" x14ac:dyDescent="0.3">
      <c r="B43" s="69" t="s">
        <v>45</v>
      </c>
      <c r="C43" s="3">
        <v>10</v>
      </c>
      <c r="D43" s="3" t="s">
        <v>51</v>
      </c>
      <c r="H43" s="11">
        <v>3500</v>
      </c>
      <c r="I43" s="3">
        <f t="shared" si="29"/>
        <v>9</v>
      </c>
      <c r="J43" s="3">
        <f t="shared" si="55"/>
        <v>6711.3</v>
      </c>
      <c r="K43" s="3">
        <f t="shared" si="56"/>
        <v>18.310912621245212</v>
      </c>
      <c r="L43" s="3">
        <f>((($H16/$F$53)*($C$58))/(60))*2.24*0.44704</f>
        <v>6.4151592040072076</v>
      </c>
      <c r="M43" s="3">
        <f t="shared" ref="M43" si="66">L43*2.237</f>
        <v>14.350711139364124</v>
      </c>
      <c r="N43" s="3">
        <f>J16/L43</f>
        <v>1046.1626573207739</v>
      </c>
      <c r="O43" s="3">
        <f t="shared" si="32"/>
        <v>36.611005200807071</v>
      </c>
      <c r="P43" s="3">
        <f t="shared" si="33"/>
        <v>111.31014600000002</v>
      </c>
      <c r="Q43" s="3">
        <f t="shared" si="34"/>
        <v>278.27536500000002</v>
      </c>
      <c r="R43" s="3">
        <f t="shared" si="35"/>
        <v>556.55073000000004</v>
      </c>
      <c r="S43" s="3">
        <f t="shared" si="36"/>
        <v>72.351594900000009</v>
      </c>
      <c r="T43" s="3">
        <f t="shared" si="37"/>
        <v>0</v>
      </c>
      <c r="U43" s="3">
        <f t="shared" si="38"/>
        <v>147.92115120080709</v>
      </c>
      <c r="V43" s="3">
        <f t="shared" si="39"/>
        <v>314.88637020080711</v>
      </c>
      <c r="W43" s="3">
        <f t="shared" si="40"/>
        <v>593.16173520080713</v>
      </c>
      <c r="X43" s="3">
        <f t="shared" si="41"/>
        <v>108.96260010080708</v>
      </c>
      <c r="Y43" s="3">
        <f t="shared" si="42"/>
        <v>898.24150611996674</v>
      </c>
      <c r="Z43" s="3">
        <f t="shared" si="43"/>
        <v>731.27628711996681</v>
      </c>
      <c r="AA43" s="3">
        <f t="shared" si="44"/>
        <v>453.00092211996673</v>
      </c>
      <c r="AB43" s="3">
        <f t="shared" si="45"/>
        <v>937.20005721996677</v>
      </c>
      <c r="AC43" s="3">
        <f t="shared" si="46"/>
        <v>1.7812474255344755</v>
      </c>
      <c r="AD43" s="3">
        <f t="shared" si="47"/>
        <v>2.0334490612763663</v>
      </c>
      <c r="AE43" s="3">
        <f t="shared" si="48"/>
        <v>2.3693106315311026</v>
      </c>
      <c r="AF43" s="3">
        <f t="shared" si="49"/>
        <v>1.820744142072267</v>
      </c>
      <c r="AG43" s="3">
        <f t="shared" si="50"/>
        <v>3.1722049748014709</v>
      </c>
      <c r="AH43" s="3">
        <f t="shared" si="51"/>
        <v>5.8860000000000001</v>
      </c>
      <c r="AI43" s="3">
        <f t="shared" si="52"/>
        <v>6.6708000000000007</v>
      </c>
      <c r="AJ43" s="3">
        <f t="shared" si="53"/>
        <v>5.3955000000000011</v>
      </c>
      <c r="AK43" s="3">
        <f t="shared" si="54"/>
        <v>8.3384999999999998</v>
      </c>
    </row>
    <row r="44" spans="2:37" x14ac:dyDescent="0.3">
      <c r="B44" s="69" t="s">
        <v>44</v>
      </c>
      <c r="C44" s="3">
        <v>80</v>
      </c>
      <c r="D44" s="3" t="s">
        <v>51</v>
      </c>
      <c r="H44" s="11">
        <v>3750</v>
      </c>
      <c r="I44" s="3">
        <f t="shared" si="29"/>
        <v>9.75</v>
      </c>
      <c r="J44" s="3">
        <f t="shared" si="55"/>
        <v>7270.5749999999998</v>
      </c>
      <c r="K44" s="3">
        <f t="shared" si="56"/>
        <v>18.514367205925709</v>
      </c>
      <c r="L44" s="3">
        <f>((($H17/$F$53)*($C$58))/(60))*2.24*0.44704</f>
        <v>6.8733848614362945</v>
      </c>
      <c r="M44" s="3">
        <f t="shared" ref="M44" si="67">L44*2.237</f>
        <v>15.375761935032992</v>
      </c>
      <c r="N44" s="3">
        <f>J17/L44</f>
        <v>1057.7866868465601</v>
      </c>
      <c r="O44" s="3">
        <f t="shared" si="32"/>
        <v>42.02793964378364</v>
      </c>
      <c r="P44" s="3">
        <f t="shared" si="33"/>
        <v>111.31014600000002</v>
      </c>
      <c r="Q44" s="3">
        <f t="shared" si="34"/>
        <v>278.27536500000002</v>
      </c>
      <c r="R44" s="3">
        <f t="shared" si="35"/>
        <v>556.55073000000004</v>
      </c>
      <c r="S44" s="3">
        <f t="shared" si="36"/>
        <v>72.351594900000009</v>
      </c>
      <c r="T44" s="3">
        <f t="shared" si="37"/>
        <v>0</v>
      </c>
      <c r="U44" s="3">
        <f t="shared" si="38"/>
        <v>153.33808564378364</v>
      </c>
      <c r="V44" s="3">
        <f t="shared" si="39"/>
        <v>320.30330464378369</v>
      </c>
      <c r="W44" s="3">
        <f t="shared" si="40"/>
        <v>598.57866964378366</v>
      </c>
      <c r="X44" s="3">
        <f t="shared" si="41"/>
        <v>114.37953454378365</v>
      </c>
      <c r="Y44" s="3">
        <f t="shared" si="42"/>
        <v>904.44860120277644</v>
      </c>
      <c r="Z44" s="3">
        <f t="shared" si="43"/>
        <v>737.4833822027764</v>
      </c>
      <c r="AA44" s="3">
        <f t="shared" si="44"/>
        <v>459.20801720277643</v>
      </c>
      <c r="AB44" s="3">
        <f t="shared" si="45"/>
        <v>943.40715230277647</v>
      </c>
      <c r="AC44" s="3">
        <f t="shared" si="46"/>
        <v>1.8010390635959694</v>
      </c>
      <c r="AD44" s="3">
        <f t="shared" si="47"/>
        <v>2.0334490612763663</v>
      </c>
      <c r="AE44" s="3">
        <f t="shared" si="48"/>
        <v>2.3693106315311026</v>
      </c>
      <c r="AF44" s="3">
        <f t="shared" si="49"/>
        <v>1.820744142072267</v>
      </c>
      <c r="AG44" s="3">
        <f t="shared" si="50"/>
        <v>3.1722049748014709</v>
      </c>
      <c r="AH44" s="3">
        <f t="shared" si="51"/>
        <v>5.8860000000000001</v>
      </c>
      <c r="AI44" s="3">
        <f t="shared" si="52"/>
        <v>6.6708000000000007</v>
      </c>
      <c r="AJ44" s="3">
        <f t="shared" si="53"/>
        <v>5.3955000000000011</v>
      </c>
      <c r="AK44" s="3">
        <f t="shared" si="54"/>
        <v>8.3384999999999998</v>
      </c>
    </row>
    <row r="45" spans="2:37" x14ac:dyDescent="0.3">
      <c r="B45" s="69" t="s">
        <v>46</v>
      </c>
      <c r="C45" s="3">
        <v>10</v>
      </c>
      <c r="D45" s="3" t="s">
        <v>51</v>
      </c>
      <c r="H45" s="11">
        <v>4000</v>
      </c>
      <c r="I45" s="3">
        <f t="shared" si="29"/>
        <v>10.5</v>
      </c>
      <c r="J45" s="3">
        <f t="shared" si="55"/>
        <v>7829.85</v>
      </c>
      <c r="K45" s="3">
        <f t="shared" si="56"/>
        <v>18.692389967521152</v>
      </c>
      <c r="L45" s="3">
        <f>((($H18/$F$53)*($C$58))/(60))*2.24*0.44704</f>
        <v>7.3316105188653804</v>
      </c>
      <c r="M45" s="3">
        <f t="shared" ref="M45" si="68">L45*2.237</f>
        <v>16.400812730701858</v>
      </c>
      <c r="N45" s="3">
        <f>J18/L45</f>
        <v>1067.9577126816232</v>
      </c>
      <c r="O45" s="3">
        <f t="shared" si="32"/>
        <v>47.818455772482707</v>
      </c>
      <c r="P45" s="3">
        <f t="shared" si="33"/>
        <v>111.31014600000002</v>
      </c>
      <c r="Q45" s="3">
        <f t="shared" si="34"/>
        <v>278.27536500000002</v>
      </c>
      <c r="R45" s="3">
        <f t="shared" si="35"/>
        <v>556.55073000000004</v>
      </c>
      <c r="S45" s="3">
        <f t="shared" si="36"/>
        <v>72.351594900000009</v>
      </c>
      <c r="T45" s="3">
        <f t="shared" si="37"/>
        <v>0</v>
      </c>
      <c r="U45" s="3">
        <f t="shared" si="38"/>
        <v>159.12860177248274</v>
      </c>
      <c r="V45" s="3">
        <f t="shared" si="39"/>
        <v>326.09382077248273</v>
      </c>
      <c r="W45" s="3">
        <f t="shared" si="40"/>
        <v>604.36918577248275</v>
      </c>
      <c r="X45" s="3">
        <f t="shared" si="41"/>
        <v>120.17005067248272</v>
      </c>
      <c r="Y45" s="3">
        <f t="shared" si="42"/>
        <v>908.82911090914047</v>
      </c>
      <c r="Z45" s="3">
        <f t="shared" si="43"/>
        <v>741.86389190914042</v>
      </c>
      <c r="AA45" s="3">
        <f t="shared" si="44"/>
        <v>463.58852690914046</v>
      </c>
      <c r="AB45" s="3">
        <f t="shared" si="45"/>
        <v>947.78766200914049</v>
      </c>
      <c r="AC45" s="3">
        <f t="shared" si="46"/>
        <v>1.818356746899777</v>
      </c>
      <c r="AD45" s="3">
        <f t="shared" si="47"/>
        <v>2.0334490612763663</v>
      </c>
      <c r="AE45" s="3">
        <f t="shared" si="48"/>
        <v>2.3693106315311026</v>
      </c>
      <c r="AF45" s="3">
        <f t="shared" si="49"/>
        <v>1.820744142072267</v>
      </c>
      <c r="AG45" s="3">
        <f t="shared" si="50"/>
        <v>3.1722049748014709</v>
      </c>
      <c r="AH45" s="3">
        <f t="shared" si="51"/>
        <v>5.8860000000000001</v>
      </c>
      <c r="AI45" s="3">
        <f t="shared" si="52"/>
        <v>6.6708000000000007</v>
      </c>
      <c r="AJ45" s="3">
        <f t="shared" si="53"/>
        <v>5.3955000000000011</v>
      </c>
      <c r="AK45" s="3">
        <f t="shared" si="54"/>
        <v>8.3384999999999998</v>
      </c>
    </row>
    <row r="46" spans="2:37" x14ac:dyDescent="0.3">
      <c r="B46" s="69" t="s">
        <v>47</v>
      </c>
      <c r="C46" s="3">
        <f>C22*0.77</f>
        <v>22.330000000000002</v>
      </c>
      <c r="D46" s="3" t="s">
        <v>51</v>
      </c>
      <c r="H46" s="11">
        <v>4250</v>
      </c>
      <c r="I46" s="3">
        <f t="shared" si="29"/>
        <v>11.25</v>
      </c>
      <c r="J46" s="3">
        <f t="shared" si="55"/>
        <v>8389.125</v>
      </c>
      <c r="K46" s="3">
        <f t="shared" si="56"/>
        <v>18.849468874811244</v>
      </c>
      <c r="L46" s="3">
        <f>((($H19/$F$53)*($C$58))/(60))*2.24*0.44704</f>
        <v>7.7898361762944672</v>
      </c>
      <c r="M46" s="3">
        <f t="shared" ref="M46" si="69">L46*2.237</f>
        <v>17.425863526370723</v>
      </c>
      <c r="N46" s="3">
        <f>J19/L46</f>
        <v>1076.9321472419729</v>
      </c>
      <c r="O46" s="3">
        <f t="shared" si="32"/>
        <v>53.982553586904316</v>
      </c>
      <c r="P46" s="3">
        <f t="shared" si="33"/>
        <v>111.31014600000002</v>
      </c>
      <c r="Q46" s="3">
        <f t="shared" si="34"/>
        <v>278.27536500000002</v>
      </c>
      <c r="R46" s="3">
        <f t="shared" si="35"/>
        <v>556.55073000000004</v>
      </c>
      <c r="S46" s="3">
        <f t="shared" si="36"/>
        <v>72.351594900000009</v>
      </c>
      <c r="T46" s="3">
        <f t="shared" si="37"/>
        <v>0</v>
      </c>
      <c r="U46" s="3">
        <f t="shared" si="38"/>
        <v>165.29269958690435</v>
      </c>
      <c r="V46" s="3">
        <f t="shared" si="39"/>
        <v>332.25791858690434</v>
      </c>
      <c r="W46" s="3">
        <f t="shared" si="40"/>
        <v>610.53328358690442</v>
      </c>
      <c r="X46" s="3">
        <f t="shared" si="41"/>
        <v>126.33414848690433</v>
      </c>
      <c r="Y46" s="3">
        <f t="shared" si="42"/>
        <v>911.63944765506858</v>
      </c>
      <c r="Z46" s="3">
        <f t="shared" si="43"/>
        <v>744.67422865506853</v>
      </c>
      <c r="AA46" s="3">
        <f t="shared" si="44"/>
        <v>466.39886365506845</v>
      </c>
      <c r="AB46" s="3">
        <f t="shared" si="45"/>
        <v>950.5979987550686</v>
      </c>
      <c r="AC46" s="3">
        <f t="shared" si="46"/>
        <v>1.8336370556972539</v>
      </c>
      <c r="AD46" s="3">
        <f t="shared" si="47"/>
        <v>2.0334490612763663</v>
      </c>
      <c r="AE46" s="3">
        <f t="shared" si="48"/>
        <v>2.3693106315311026</v>
      </c>
      <c r="AF46" s="3">
        <f t="shared" si="49"/>
        <v>1.820744142072267</v>
      </c>
      <c r="AG46" s="3">
        <f t="shared" si="50"/>
        <v>3.1722049748014709</v>
      </c>
      <c r="AH46" s="3">
        <f t="shared" si="51"/>
        <v>5.8860000000000001</v>
      </c>
      <c r="AI46" s="3">
        <f t="shared" si="52"/>
        <v>6.6708000000000007</v>
      </c>
      <c r="AJ46" s="3">
        <f t="shared" si="53"/>
        <v>5.3955000000000011</v>
      </c>
      <c r="AK46" s="3">
        <f t="shared" si="54"/>
        <v>8.3384999999999998</v>
      </c>
    </row>
    <row r="47" spans="2:37" x14ac:dyDescent="0.3">
      <c r="B47" s="69" t="s">
        <v>48</v>
      </c>
      <c r="C47" s="3">
        <f>SUM(C41:C46)</f>
        <v>567.33000000000004</v>
      </c>
      <c r="D47" s="3" t="s">
        <v>51</v>
      </c>
      <c r="H47" s="11">
        <v>4500</v>
      </c>
      <c r="I47" s="3">
        <f t="shared" si="29"/>
        <v>12</v>
      </c>
      <c r="J47" s="3">
        <f t="shared" si="55"/>
        <v>8948.4</v>
      </c>
      <c r="K47" s="3">
        <f t="shared" si="56"/>
        <v>18.989094570180214</v>
      </c>
      <c r="L47" s="3">
        <f>((($H20/$F$53)*($C$58))/(60))*2.24*0.44704</f>
        <v>8.2480618337235523</v>
      </c>
      <c r="M47" s="3">
        <f t="shared" ref="M47" si="70">L47*2.237</f>
        <v>18.450914322039587</v>
      </c>
      <c r="N47" s="3">
        <f>J20/L47</f>
        <v>1084.9094224067283</v>
      </c>
      <c r="O47" s="3">
        <f t="shared" si="32"/>
        <v>60.520233087048425</v>
      </c>
      <c r="P47" s="3">
        <f t="shared" si="33"/>
        <v>111.31014600000002</v>
      </c>
      <c r="Q47" s="3">
        <f t="shared" si="34"/>
        <v>278.27536500000002</v>
      </c>
      <c r="R47" s="3">
        <f t="shared" si="35"/>
        <v>556.55073000000004</v>
      </c>
      <c r="S47" s="3">
        <f t="shared" si="36"/>
        <v>72.351594900000009</v>
      </c>
      <c r="T47" s="3">
        <f t="shared" si="37"/>
        <v>0</v>
      </c>
      <c r="U47" s="3">
        <f t="shared" si="38"/>
        <v>171.83037908704844</v>
      </c>
      <c r="V47" s="3">
        <f t="shared" si="39"/>
        <v>338.79559808704846</v>
      </c>
      <c r="W47" s="3">
        <f t="shared" si="40"/>
        <v>617.07096308704843</v>
      </c>
      <c r="X47" s="3">
        <f t="shared" si="41"/>
        <v>132.87182798704845</v>
      </c>
      <c r="Y47" s="3">
        <f t="shared" si="42"/>
        <v>913.07904331967984</v>
      </c>
      <c r="Z47" s="3">
        <f t="shared" si="43"/>
        <v>746.11382431967979</v>
      </c>
      <c r="AA47" s="3">
        <f t="shared" si="44"/>
        <v>467.83845931967983</v>
      </c>
      <c r="AB47" s="3">
        <f t="shared" si="45"/>
        <v>952.03759441967986</v>
      </c>
      <c r="AC47" s="3">
        <f t="shared" si="46"/>
        <v>1.8472195524061226</v>
      </c>
      <c r="AD47" s="3">
        <f t="shared" si="47"/>
        <v>2.0334490612763663</v>
      </c>
      <c r="AE47" s="3">
        <f t="shared" si="48"/>
        <v>2.3693106315311026</v>
      </c>
      <c r="AF47" s="3">
        <f t="shared" si="49"/>
        <v>1.820744142072267</v>
      </c>
      <c r="AG47" s="3">
        <f t="shared" si="50"/>
        <v>3.1722049748014709</v>
      </c>
      <c r="AH47" s="3">
        <f t="shared" si="51"/>
        <v>5.8860000000000001</v>
      </c>
      <c r="AI47" s="3">
        <f t="shared" si="52"/>
        <v>6.6708000000000007</v>
      </c>
      <c r="AJ47" s="3">
        <f t="shared" si="53"/>
        <v>5.3955000000000011</v>
      </c>
      <c r="AK47" s="3">
        <f t="shared" si="54"/>
        <v>8.3384999999999998</v>
      </c>
    </row>
    <row r="48" spans="2:37" x14ac:dyDescent="0.3">
      <c r="H48" s="11">
        <v>4750</v>
      </c>
      <c r="I48" s="3">
        <f t="shared" si="29"/>
        <v>12.75</v>
      </c>
      <c r="J48" s="3">
        <f t="shared" si="55"/>
        <v>9507.6750000000011</v>
      </c>
      <c r="K48" s="3">
        <f t="shared" si="56"/>
        <v>19.114022823931403</v>
      </c>
      <c r="L48" s="3">
        <f>((($H21/$F$53)*($C$58))/(60))*2.24*0.44704</f>
        <v>8.7062874911526382</v>
      </c>
      <c r="M48" s="3">
        <f t="shared" ref="M48" si="71">L48*2.237</f>
        <v>19.475965117708451</v>
      </c>
      <c r="N48" s="3">
        <f>J21/L48</f>
        <v>1092.0469843962464</v>
      </c>
      <c r="O48" s="3">
        <f t="shared" si="32"/>
        <v>67.43149427291506</v>
      </c>
      <c r="P48" s="3">
        <f t="shared" si="33"/>
        <v>111.31014600000002</v>
      </c>
      <c r="Q48" s="3">
        <f t="shared" si="34"/>
        <v>278.27536500000002</v>
      </c>
      <c r="R48" s="3">
        <f t="shared" si="35"/>
        <v>556.55073000000004</v>
      </c>
      <c r="S48" s="3">
        <f t="shared" si="36"/>
        <v>72.351594900000009</v>
      </c>
      <c r="T48" s="3">
        <f t="shared" si="37"/>
        <v>0</v>
      </c>
      <c r="U48" s="3">
        <f t="shared" si="38"/>
        <v>178.74164027291508</v>
      </c>
      <c r="V48" s="3">
        <f t="shared" si="39"/>
        <v>345.7068592729151</v>
      </c>
      <c r="W48" s="3">
        <f t="shared" si="40"/>
        <v>623.98222427291512</v>
      </c>
      <c r="X48" s="3">
        <f t="shared" si="41"/>
        <v>139.78308917291508</v>
      </c>
      <c r="Y48" s="3">
        <f t="shared" si="42"/>
        <v>913.30534412333134</v>
      </c>
      <c r="Z48" s="3">
        <f t="shared" si="43"/>
        <v>746.34012512333129</v>
      </c>
      <c r="AA48" s="3">
        <f t="shared" si="44"/>
        <v>468.06476012333133</v>
      </c>
      <c r="AB48" s="3">
        <f t="shared" si="45"/>
        <v>952.26389522333136</v>
      </c>
      <c r="AC48" s="3">
        <f t="shared" si="46"/>
        <v>1.8593723126193211</v>
      </c>
      <c r="AD48" s="3">
        <f t="shared" si="47"/>
        <v>2.0334490612763663</v>
      </c>
      <c r="AE48" s="3">
        <f t="shared" si="48"/>
        <v>2.3693106315311026</v>
      </c>
      <c r="AF48" s="3">
        <f t="shared" si="49"/>
        <v>1.820744142072267</v>
      </c>
      <c r="AG48" s="3">
        <f t="shared" si="50"/>
        <v>3.1722049748014709</v>
      </c>
      <c r="AH48" s="3">
        <f t="shared" si="51"/>
        <v>5.8860000000000001</v>
      </c>
      <c r="AI48" s="3">
        <f t="shared" si="52"/>
        <v>6.6708000000000007</v>
      </c>
      <c r="AJ48" s="3">
        <f t="shared" si="53"/>
        <v>5.3955000000000011</v>
      </c>
      <c r="AK48" s="3">
        <f t="shared" si="54"/>
        <v>8.3384999999999998</v>
      </c>
    </row>
    <row r="49" spans="2:37" x14ac:dyDescent="0.3">
      <c r="B49" s="70" t="s">
        <v>52</v>
      </c>
      <c r="C49" s="71"/>
      <c r="D49" s="71"/>
      <c r="E49" s="71"/>
      <c r="F49" s="72"/>
      <c r="H49" s="11">
        <v>5000</v>
      </c>
      <c r="I49" s="3">
        <f t="shared" si="29"/>
        <v>13.5</v>
      </c>
      <c r="J49" s="3">
        <f t="shared" si="55"/>
        <v>10066.950000000001</v>
      </c>
      <c r="K49" s="3">
        <f t="shared" si="56"/>
        <v>19.22645825230747</v>
      </c>
      <c r="L49" s="3">
        <f>((($H22/$F$53)*($C$58))/(60))*2.24*0.44704</f>
        <v>9.1645131485817259</v>
      </c>
      <c r="M49" s="3">
        <f t="shared" ref="M49" si="72">L49*2.237</f>
        <v>20.501015913377323</v>
      </c>
      <c r="N49" s="3">
        <f>J22/L49</f>
        <v>1098.4707901868123</v>
      </c>
      <c r="O49" s="3">
        <f t="shared" si="32"/>
        <v>74.716337144504237</v>
      </c>
      <c r="P49" s="3">
        <f t="shared" si="33"/>
        <v>111.31014600000002</v>
      </c>
      <c r="Q49" s="3">
        <f t="shared" si="34"/>
        <v>278.27536500000002</v>
      </c>
      <c r="R49" s="3">
        <f t="shared" si="35"/>
        <v>556.55073000000004</v>
      </c>
      <c r="S49" s="3">
        <f t="shared" si="36"/>
        <v>72.351594900000009</v>
      </c>
      <c r="T49" s="3">
        <f t="shared" si="37"/>
        <v>0</v>
      </c>
      <c r="U49" s="3">
        <f t="shared" si="38"/>
        <v>186.02648314450425</v>
      </c>
      <c r="V49" s="3">
        <f t="shared" si="39"/>
        <v>352.99170214450425</v>
      </c>
      <c r="W49" s="3">
        <f t="shared" si="40"/>
        <v>631.26706714450427</v>
      </c>
      <c r="X49" s="3">
        <f t="shared" si="41"/>
        <v>147.06793204450423</v>
      </c>
      <c r="Y49" s="3">
        <f t="shared" si="42"/>
        <v>912.44430704230808</v>
      </c>
      <c r="Z49" s="3">
        <f t="shared" si="43"/>
        <v>745.47908804230815</v>
      </c>
      <c r="AA49" s="3">
        <f t="shared" si="44"/>
        <v>467.20372304230807</v>
      </c>
      <c r="AB49" s="3">
        <f t="shared" si="45"/>
        <v>951.40285814230811</v>
      </c>
      <c r="AC49" s="3">
        <f t="shared" si="46"/>
        <v>1.870309796811199</v>
      </c>
      <c r="AD49" s="3">
        <f t="shared" si="47"/>
        <v>2.0334490612763663</v>
      </c>
      <c r="AE49" s="3">
        <f t="shared" si="48"/>
        <v>2.3693106315311026</v>
      </c>
      <c r="AF49" s="3">
        <f t="shared" si="49"/>
        <v>1.820744142072267</v>
      </c>
      <c r="AG49" s="3">
        <f t="shared" si="50"/>
        <v>3.1722049748014709</v>
      </c>
      <c r="AH49" s="3">
        <f t="shared" si="51"/>
        <v>5.8860000000000001</v>
      </c>
      <c r="AI49" s="3">
        <f t="shared" si="52"/>
        <v>6.6708000000000007</v>
      </c>
      <c r="AJ49" s="3">
        <f t="shared" si="53"/>
        <v>5.3955000000000011</v>
      </c>
      <c r="AK49" s="3">
        <f t="shared" si="54"/>
        <v>8.3384999999999998</v>
      </c>
    </row>
    <row r="50" spans="2:37" x14ac:dyDescent="0.3">
      <c r="B50" s="73"/>
      <c r="C50" s="73" t="s">
        <v>58</v>
      </c>
      <c r="D50" s="73" t="s">
        <v>59</v>
      </c>
      <c r="E50" s="73" t="s">
        <v>60</v>
      </c>
      <c r="F50" s="73" t="s">
        <v>61</v>
      </c>
      <c r="H50" s="11">
        <v>5250</v>
      </c>
      <c r="I50" s="3">
        <f t="shared" si="29"/>
        <v>14.25</v>
      </c>
      <c r="J50" s="3">
        <f t="shared" si="55"/>
        <v>10626.225</v>
      </c>
      <c r="K50" s="3">
        <f>J50/((2*PI()*H50)/60)-1.5</f>
        <v>17.828185544647724</v>
      </c>
      <c r="L50" s="3">
        <f>((($H23/$F$53)*($C$58))/(60))*2.24*0.44704</f>
        <v>9.6227388060108119</v>
      </c>
      <c r="M50" s="3">
        <f t="shared" ref="M50" si="73">L50*2.237</f>
        <v>21.526066709046187</v>
      </c>
      <c r="N50" s="3">
        <f>J23/L50</f>
        <v>1104.2828049497057</v>
      </c>
      <c r="O50" s="3">
        <f t="shared" si="32"/>
        <v>82.374761701815913</v>
      </c>
      <c r="P50" s="3">
        <f t="shared" si="33"/>
        <v>111.31014600000002</v>
      </c>
      <c r="Q50" s="3">
        <f t="shared" si="34"/>
        <v>278.27536500000002</v>
      </c>
      <c r="R50" s="3">
        <f t="shared" si="35"/>
        <v>556.55073000000004</v>
      </c>
      <c r="S50" s="3">
        <f t="shared" si="36"/>
        <v>72.351594900000009</v>
      </c>
      <c r="T50" s="3">
        <f t="shared" si="37"/>
        <v>0</v>
      </c>
      <c r="U50" s="3">
        <f t="shared" si="38"/>
        <v>193.68490770181592</v>
      </c>
      <c r="V50" s="3">
        <f t="shared" si="39"/>
        <v>360.65012670181591</v>
      </c>
      <c r="W50" s="3">
        <f t="shared" si="40"/>
        <v>638.92549170181599</v>
      </c>
      <c r="X50" s="3">
        <f t="shared" si="41"/>
        <v>154.72635660181592</v>
      </c>
      <c r="Y50" s="3">
        <f t="shared" si="42"/>
        <v>910.5978972478897</v>
      </c>
      <c r="Z50" s="3">
        <f t="shared" si="43"/>
        <v>743.63267824788977</v>
      </c>
      <c r="AA50" s="3">
        <f t="shared" si="44"/>
        <v>465.35731324788969</v>
      </c>
      <c r="AB50" s="3">
        <f t="shared" si="45"/>
        <v>949.55644834788973</v>
      </c>
      <c r="AC50" s="3">
        <f t="shared" si="46"/>
        <v>1.8802056158419462</v>
      </c>
      <c r="AD50" s="3">
        <f t="shared" si="47"/>
        <v>2.0334490612763663</v>
      </c>
      <c r="AE50" s="3">
        <f t="shared" si="48"/>
        <v>2.3693106315311026</v>
      </c>
      <c r="AF50" s="3">
        <f t="shared" si="49"/>
        <v>1.820744142072267</v>
      </c>
      <c r="AG50" s="3">
        <f t="shared" si="50"/>
        <v>3.1722049748014709</v>
      </c>
      <c r="AH50" s="3">
        <f t="shared" si="51"/>
        <v>5.8860000000000001</v>
      </c>
      <c r="AI50" s="3">
        <f t="shared" si="52"/>
        <v>6.6708000000000007</v>
      </c>
      <c r="AJ50" s="3">
        <f t="shared" si="53"/>
        <v>5.3955000000000011</v>
      </c>
      <c r="AK50" s="3">
        <f t="shared" si="54"/>
        <v>8.3384999999999998</v>
      </c>
    </row>
    <row r="51" spans="2:37" x14ac:dyDescent="0.3">
      <c r="B51" s="69" t="s">
        <v>53</v>
      </c>
      <c r="C51" s="3">
        <v>26</v>
      </c>
      <c r="D51" s="3">
        <v>85</v>
      </c>
      <c r="E51" s="3">
        <f>D51/C51</f>
        <v>3.2692307692307692</v>
      </c>
      <c r="F51" s="74"/>
      <c r="H51" s="11">
        <v>5500</v>
      </c>
      <c r="I51" s="3">
        <f t="shared" si="29"/>
        <v>15</v>
      </c>
      <c r="J51" s="3">
        <f t="shared" si="55"/>
        <v>11185.500000000002</v>
      </c>
      <c r="K51" s="3">
        <f>K50-1.5</f>
        <v>16.328185544647724</v>
      </c>
      <c r="L51" s="3">
        <f>((($H24/$F$53)*($C$58))/(60))*2.24*0.44704</f>
        <v>10.080964463439896</v>
      </c>
      <c r="M51" s="3">
        <f t="shared" ref="M51" si="74">L51*2.237</f>
        <v>22.551117504715048</v>
      </c>
      <c r="N51" s="3">
        <f>J24/L51</f>
        <v>1109.5664547341544</v>
      </c>
      <c r="O51" s="3">
        <f t="shared" si="32"/>
        <v>90.406767944850088</v>
      </c>
      <c r="P51" s="3">
        <f t="shared" si="33"/>
        <v>111.31014600000002</v>
      </c>
      <c r="Q51" s="3">
        <f t="shared" si="34"/>
        <v>278.27536500000002</v>
      </c>
      <c r="R51" s="3">
        <f t="shared" si="35"/>
        <v>556.55073000000004</v>
      </c>
      <c r="S51" s="3">
        <f t="shared" si="36"/>
        <v>72.351594900000009</v>
      </c>
      <c r="T51" s="3">
        <f t="shared" si="37"/>
        <v>0</v>
      </c>
      <c r="U51" s="3">
        <f t="shared" si="38"/>
        <v>201.71691394485009</v>
      </c>
      <c r="V51" s="3">
        <f t="shared" si="39"/>
        <v>368.68213294485008</v>
      </c>
      <c r="W51" s="3">
        <f t="shared" si="40"/>
        <v>646.95749794485016</v>
      </c>
      <c r="X51" s="3">
        <f t="shared" si="41"/>
        <v>162.7583628448501</v>
      </c>
      <c r="Y51" s="3">
        <f t="shared" si="42"/>
        <v>907.84954078930423</v>
      </c>
      <c r="Z51" s="3">
        <f t="shared" si="43"/>
        <v>740.88432178930429</v>
      </c>
      <c r="AA51" s="3">
        <f t="shared" si="44"/>
        <v>462.60895678930422</v>
      </c>
      <c r="AB51" s="3">
        <f t="shared" si="45"/>
        <v>946.80809188930425</v>
      </c>
      <c r="AC51" s="3">
        <f t="shared" si="46"/>
        <v>1.8892018149608079</v>
      </c>
      <c r="AD51" s="3">
        <f t="shared" si="47"/>
        <v>2.0334490612763663</v>
      </c>
      <c r="AE51" s="3">
        <f t="shared" si="48"/>
        <v>2.3693106315311026</v>
      </c>
      <c r="AF51" s="3">
        <f t="shared" si="49"/>
        <v>1.820744142072267</v>
      </c>
      <c r="AG51" s="3">
        <f t="shared" si="50"/>
        <v>3.1722049748014709</v>
      </c>
      <c r="AH51" s="3">
        <f t="shared" si="51"/>
        <v>5.8860000000000001</v>
      </c>
      <c r="AI51" s="3">
        <f t="shared" si="52"/>
        <v>6.6708000000000007</v>
      </c>
      <c r="AJ51" s="3">
        <f t="shared" si="53"/>
        <v>5.3955000000000011</v>
      </c>
      <c r="AK51" s="3">
        <f t="shared" si="54"/>
        <v>8.3384999999999998</v>
      </c>
    </row>
    <row r="52" spans="2:37" x14ac:dyDescent="0.3">
      <c r="B52" s="69" t="s">
        <v>54</v>
      </c>
      <c r="C52" s="3">
        <v>24</v>
      </c>
      <c r="D52" s="3">
        <v>13</v>
      </c>
      <c r="E52" s="3">
        <f>C52/D52</f>
        <v>1.8461538461538463</v>
      </c>
      <c r="F52" s="3">
        <f>$E$51*E52*$E$55</f>
        <v>21.124260355029588</v>
      </c>
      <c r="H52" s="11">
        <v>5750</v>
      </c>
      <c r="I52" s="3">
        <f t="shared" si="29"/>
        <v>15.75</v>
      </c>
      <c r="J52" s="3">
        <f t="shared" si="55"/>
        <v>11744.775000000001</v>
      </c>
      <c r="K52" s="3">
        <f t="shared" ref="K52:K55" si="75">K51-1.5</f>
        <v>14.828185544647724</v>
      </c>
      <c r="L52" s="3">
        <f>((($H25/$F$53)*($C$58))/(60))*2.24*0.44704</f>
        <v>10.539190120868984</v>
      </c>
      <c r="M52" s="3">
        <f t="shared" ref="M52" si="76">L52*2.237</f>
        <v>23.576168300383916</v>
      </c>
      <c r="N52" s="3">
        <f>J25/L52</f>
        <v>1114.3906567112592</v>
      </c>
      <c r="O52" s="3">
        <f t="shared" si="32"/>
        <v>98.812355873606833</v>
      </c>
      <c r="P52" s="3">
        <f t="shared" si="33"/>
        <v>111.31014600000002</v>
      </c>
      <c r="Q52" s="3">
        <f t="shared" si="34"/>
        <v>278.27536500000002</v>
      </c>
      <c r="R52" s="3">
        <f t="shared" si="35"/>
        <v>556.55073000000004</v>
      </c>
      <c r="S52" s="3">
        <f t="shared" si="36"/>
        <v>72.351594900000009</v>
      </c>
      <c r="T52" s="3">
        <f t="shared" si="37"/>
        <v>0</v>
      </c>
      <c r="U52" s="3">
        <f t="shared" si="38"/>
        <v>210.12250187360684</v>
      </c>
      <c r="V52" s="3">
        <f t="shared" si="39"/>
        <v>377.08772087360683</v>
      </c>
      <c r="W52" s="3">
        <f t="shared" si="40"/>
        <v>655.36308587360691</v>
      </c>
      <c r="X52" s="3">
        <f t="shared" si="41"/>
        <v>171.16395077360684</v>
      </c>
      <c r="Y52" s="3">
        <f t="shared" si="42"/>
        <v>904.26815483765245</v>
      </c>
      <c r="Z52" s="3">
        <f t="shared" si="43"/>
        <v>737.3029358376524</v>
      </c>
      <c r="AA52" s="3">
        <f t="shared" si="44"/>
        <v>459.02757083765232</v>
      </c>
      <c r="AB52" s="3">
        <f t="shared" si="45"/>
        <v>943.22670593765235</v>
      </c>
      <c r="AC52" s="3">
        <f t="shared" si="46"/>
        <v>1.8974157358954198</v>
      </c>
      <c r="AD52" s="3">
        <f t="shared" si="47"/>
        <v>2.0334490612763663</v>
      </c>
      <c r="AE52" s="3">
        <f t="shared" si="48"/>
        <v>2.3693106315311026</v>
      </c>
      <c r="AF52" s="3">
        <f t="shared" si="49"/>
        <v>1.820744142072267</v>
      </c>
      <c r="AG52" s="3">
        <f t="shared" si="50"/>
        <v>3.1722049748014709</v>
      </c>
      <c r="AH52" s="3">
        <f t="shared" si="51"/>
        <v>5.8860000000000001</v>
      </c>
      <c r="AI52" s="3">
        <f t="shared" si="52"/>
        <v>6.6708000000000007</v>
      </c>
      <c r="AJ52" s="3">
        <f t="shared" si="53"/>
        <v>5.3955000000000011</v>
      </c>
      <c r="AK52" s="3">
        <f t="shared" si="54"/>
        <v>8.3384999999999998</v>
      </c>
    </row>
    <row r="53" spans="2:37" x14ac:dyDescent="0.3">
      <c r="B53" s="69" t="s">
        <v>55</v>
      </c>
      <c r="C53" s="3">
        <v>31</v>
      </c>
      <c r="D53" s="3">
        <v>20</v>
      </c>
      <c r="E53" s="3">
        <f t="shared" ref="E53:E54" si="77">C53/D53</f>
        <v>1.55</v>
      </c>
      <c r="F53" s="3">
        <f>$E$51*E53*$E$55</f>
        <v>17.735576923076923</v>
      </c>
      <c r="H53" s="11">
        <v>6000</v>
      </c>
      <c r="I53" s="3">
        <f t="shared" si="29"/>
        <v>16.5</v>
      </c>
      <c r="J53" s="3">
        <f t="shared" si="55"/>
        <v>12304.05</v>
      </c>
      <c r="K53" s="3">
        <f t="shared" si="75"/>
        <v>13.328185544647724</v>
      </c>
      <c r="L53" s="3">
        <f>((($H26/$F$53)*($C$58))/(60))*2.24*0.44704</f>
        <v>10.99741577829807</v>
      </c>
      <c r="M53" s="3">
        <f t="shared" ref="M53" si="78">L53*2.237</f>
        <v>24.601219096052784</v>
      </c>
      <c r="N53" s="3">
        <f>J26/L53</f>
        <v>1118.8128418569386</v>
      </c>
      <c r="O53" s="3">
        <f t="shared" si="32"/>
        <v>107.59152548808608</v>
      </c>
      <c r="P53" s="3">
        <f t="shared" si="33"/>
        <v>111.31014600000002</v>
      </c>
      <c r="Q53" s="3">
        <f t="shared" si="34"/>
        <v>278.27536500000002</v>
      </c>
      <c r="R53" s="3">
        <f t="shared" si="35"/>
        <v>556.55073000000004</v>
      </c>
      <c r="S53" s="3">
        <f t="shared" si="36"/>
        <v>72.351594900000009</v>
      </c>
      <c r="T53" s="3">
        <f t="shared" si="37"/>
        <v>0</v>
      </c>
      <c r="U53" s="3">
        <f t="shared" si="38"/>
        <v>218.90167148808609</v>
      </c>
      <c r="V53" s="3">
        <f t="shared" si="39"/>
        <v>385.86689048808609</v>
      </c>
      <c r="W53" s="3">
        <f t="shared" si="40"/>
        <v>664.14225548808611</v>
      </c>
      <c r="X53" s="3">
        <f t="shared" si="41"/>
        <v>179.94312038808607</v>
      </c>
      <c r="Y53" s="3">
        <f t="shared" si="42"/>
        <v>899.91117036885248</v>
      </c>
      <c r="Z53" s="3">
        <f t="shared" si="43"/>
        <v>732.94595136885255</v>
      </c>
      <c r="AA53" s="3">
        <f t="shared" si="44"/>
        <v>454.67058636885247</v>
      </c>
      <c r="AB53" s="3">
        <f t="shared" si="45"/>
        <v>938.8697214688525</v>
      </c>
      <c r="AC53" s="3">
        <f t="shared" si="46"/>
        <v>1.9049451634188139</v>
      </c>
      <c r="AD53" s="3">
        <f t="shared" si="47"/>
        <v>2.0334490612763663</v>
      </c>
      <c r="AE53" s="3">
        <f t="shared" si="48"/>
        <v>2.3693106315311026</v>
      </c>
      <c r="AF53" s="3">
        <f t="shared" si="49"/>
        <v>1.820744142072267</v>
      </c>
      <c r="AG53" s="3">
        <f t="shared" si="50"/>
        <v>3.1722049748014709</v>
      </c>
      <c r="AH53" s="3">
        <f t="shared" si="51"/>
        <v>5.8860000000000001</v>
      </c>
      <c r="AI53" s="3">
        <f t="shared" si="52"/>
        <v>6.6708000000000007</v>
      </c>
      <c r="AJ53" s="3">
        <f t="shared" si="53"/>
        <v>5.3955000000000011</v>
      </c>
      <c r="AK53" s="3">
        <f t="shared" si="54"/>
        <v>8.3384999999999998</v>
      </c>
    </row>
    <row r="54" spans="2:37" x14ac:dyDescent="0.3">
      <c r="B54" s="69" t="s">
        <v>56</v>
      </c>
      <c r="C54" s="3">
        <v>33</v>
      </c>
      <c r="D54" s="3">
        <v>27</v>
      </c>
      <c r="E54" s="3">
        <f t="shared" si="77"/>
        <v>1.2222222222222223</v>
      </c>
      <c r="F54" s="3">
        <f>$E$51*E54*$E$55</f>
        <v>13.985042735042736</v>
      </c>
      <c r="H54" s="11">
        <v>6250</v>
      </c>
      <c r="I54" s="3">
        <f>I55-0.75</f>
        <v>17.25</v>
      </c>
      <c r="J54" s="3">
        <f t="shared" si="55"/>
        <v>12863.324999999999</v>
      </c>
      <c r="K54" s="3">
        <f t="shared" si="75"/>
        <v>11.828185544647724</v>
      </c>
      <c r="L54" s="3">
        <f>((($H27/$F$53)*($C$58))/(60))*2.24*0.44704</f>
        <v>11.455641435727157</v>
      </c>
      <c r="M54" s="3">
        <f t="shared" ref="M54" si="79">L54*2.237</f>
        <v>25.626269891721652</v>
      </c>
      <c r="N54" s="3">
        <f>J27/L54</f>
        <v>1122.8812521909636</v>
      </c>
      <c r="O54" s="3">
        <f t="shared" si="32"/>
        <v>116.74427678828789</v>
      </c>
      <c r="P54" s="3">
        <f t="shared" si="33"/>
        <v>111.31014600000002</v>
      </c>
      <c r="Q54" s="3">
        <f t="shared" si="34"/>
        <v>278.27536500000002</v>
      </c>
      <c r="R54" s="3">
        <f t="shared" si="35"/>
        <v>556.55073000000004</v>
      </c>
      <c r="S54" s="3">
        <f t="shared" si="36"/>
        <v>72.351594900000009</v>
      </c>
      <c r="T54" s="3">
        <f t="shared" si="37"/>
        <v>0</v>
      </c>
      <c r="U54" s="3">
        <f t="shared" si="38"/>
        <v>228.05442278828792</v>
      </c>
      <c r="V54" s="3">
        <f t="shared" si="39"/>
        <v>395.01964178828791</v>
      </c>
      <c r="W54" s="3">
        <f t="shared" si="40"/>
        <v>673.29500678828799</v>
      </c>
      <c r="X54" s="3">
        <f t="shared" si="41"/>
        <v>189.0958716882879</v>
      </c>
      <c r="Y54" s="3">
        <f t="shared" si="42"/>
        <v>894.82682940267568</v>
      </c>
      <c r="Z54" s="3">
        <f t="shared" si="43"/>
        <v>727.86161040267564</v>
      </c>
      <c r="AA54" s="3">
        <f t="shared" si="44"/>
        <v>449.58624540267556</v>
      </c>
      <c r="AB54" s="3">
        <f t="shared" si="45"/>
        <v>933.78538050267571</v>
      </c>
      <c r="AC54" s="3">
        <f t="shared" si="46"/>
        <v>1.9118722367403365</v>
      </c>
      <c r="AD54" s="3">
        <f t="shared" si="47"/>
        <v>2.0334490612763663</v>
      </c>
      <c r="AE54" s="3">
        <f t="shared" si="48"/>
        <v>2.3693106315311026</v>
      </c>
      <c r="AF54" s="3">
        <f t="shared" si="49"/>
        <v>1.820744142072267</v>
      </c>
      <c r="AG54" s="3">
        <f t="shared" si="50"/>
        <v>3.1722049748014709</v>
      </c>
      <c r="AH54" s="3">
        <f t="shared" si="51"/>
        <v>5.8860000000000001</v>
      </c>
      <c r="AI54" s="3">
        <f t="shared" si="52"/>
        <v>6.6708000000000007</v>
      </c>
      <c r="AJ54" s="3">
        <f t="shared" si="53"/>
        <v>5.3955000000000011</v>
      </c>
      <c r="AK54" s="3">
        <f t="shared" si="54"/>
        <v>8.3384999999999998</v>
      </c>
    </row>
    <row r="55" spans="2:37" x14ac:dyDescent="0.3">
      <c r="B55" s="69" t="s">
        <v>57</v>
      </c>
      <c r="C55" s="3">
        <v>12</v>
      </c>
      <c r="D55" s="3">
        <v>42</v>
      </c>
      <c r="E55" s="3">
        <f t="shared" ref="E55" si="80">D55/C55</f>
        <v>3.5</v>
      </c>
      <c r="F55" s="74"/>
      <c r="H55" s="11">
        <v>6500</v>
      </c>
      <c r="I55" s="3">
        <v>18</v>
      </c>
      <c r="J55" s="3">
        <f t="shared" si="55"/>
        <v>13422.6</v>
      </c>
      <c r="K55" s="3">
        <f t="shared" si="75"/>
        <v>10.328185544647724</v>
      </c>
      <c r="L55" s="3">
        <f>((($H28/$F$53)*($C$58))/(60))*2.24*0.44704</f>
        <v>11.913867093156242</v>
      </c>
      <c r="M55" s="3">
        <f t="shared" ref="M55" si="81">L55*2.237</f>
        <v>26.651320687390513</v>
      </c>
      <c r="N55" s="3">
        <f>J28/L55</f>
        <v>1126.6367078839103</v>
      </c>
      <c r="O55" s="3">
        <f t="shared" si="32"/>
        <v>126.27060977421212</v>
      </c>
      <c r="P55" s="3">
        <f t="shared" si="33"/>
        <v>111.31014600000002</v>
      </c>
      <c r="Q55" s="3">
        <f t="shared" si="34"/>
        <v>278.27536500000002</v>
      </c>
      <c r="R55" s="3">
        <f t="shared" si="35"/>
        <v>556.55073000000004</v>
      </c>
      <c r="S55" s="3">
        <f t="shared" si="36"/>
        <v>72.351594900000009</v>
      </c>
      <c r="T55" s="3">
        <f t="shared" si="37"/>
        <v>0</v>
      </c>
      <c r="U55" s="3">
        <f t="shared" si="38"/>
        <v>237.58075577421215</v>
      </c>
      <c r="V55" s="3">
        <f t="shared" si="39"/>
        <v>404.54597477421214</v>
      </c>
      <c r="W55" s="3">
        <f t="shared" si="40"/>
        <v>682.82133977421222</v>
      </c>
      <c r="X55" s="3">
        <f t="shared" si="41"/>
        <v>198.62220467421213</v>
      </c>
      <c r="Y55" s="3">
        <f t="shared" si="42"/>
        <v>889.05595210969818</v>
      </c>
      <c r="Z55" s="3">
        <f t="shared" si="43"/>
        <v>722.09073310969814</v>
      </c>
      <c r="AA55" s="3">
        <f t="shared" si="44"/>
        <v>443.81536810969806</v>
      </c>
      <c r="AB55" s="3">
        <f t="shared" si="45"/>
        <v>928.0145032096982</v>
      </c>
      <c r="AC55" s="3">
        <f t="shared" si="46"/>
        <v>1.9182664582678968</v>
      </c>
      <c r="AD55" s="3">
        <f t="shared" si="47"/>
        <v>2.0334490612763663</v>
      </c>
      <c r="AE55" s="3">
        <f t="shared" si="48"/>
        <v>2.3693106315311026</v>
      </c>
      <c r="AF55" s="3">
        <f t="shared" si="49"/>
        <v>1.820744142072267</v>
      </c>
      <c r="AG55" s="3">
        <f t="shared" si="50"/>
        <v>3.1722049748014709</v>
      </c>
      <c r="AH55" s="3">
        <f t="shared" si="51"/>
        <v>5.8860000000000001</v>
      </c>
      <c r="AI55" s="3">
        <f t="shared" si="52"/>
        <v>6.6708000000000007</v>
      </c>
      <c r="AJ55" s="3">
        <f t="shared" si="53"/>
        <v>5.3955000000000011</v>
      </c>
      <c r="AK55" s="3">
        <f t="shared" si="54"/>
        <v>8.3384999999999998</v>
      </c>
    </row>
    <row r="56" spans="2:37" x14ac:dyDescent="0.3">
      <c r="H56" s="14" t="s">
        <v>62</v>
      </c>
      <c r="I56" s="14" t="s">
        <v>13</v>
      </c>
      <c r="J56" s="14" t="s">
        <v>13</v>
      </c>
      <c r="K56" s="14" t="s">
        <v>14</v>
      </c>
      <c r="L56" s="32" t="s">
        <v>56</v>
      </c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4"/>
    </row>
    <row r="57" spans="2:37" x14ac:dyDescent="0.3">
      <c r="B57" s="75" t="s">
        <v>67</v>
      </c>
      <c r="C57" s="75"/>
      <c r="D57" s="75"/>
      <c r="E57" s="78"/>
      <c r="F57" s="78"/>
      <c r="H57" s="47"/>
      <c r="I57" s="47" t="s">
        <v>73</v>
      </c>
      <c r="J57" s="47" t="s">
        <v>74</v>
      </c>
      <c r="K57" s="47" t="s">
        <v>17</v>
      </c>
      <c r="L57" s="13" t="s">
        <v>72</v>
      </c>
      <c r="M57" s="14" t="s">
        <v>72</v>
      </c>
      <c r="N57" s="14" t="s">
        <v>75</v>
      </c>
      <c r="O57" s="14" t="s">
        <v>78</v>
      </c>
      <c r="P57" s="14" t="s">
        <v>82</v>
      </c>
      <c r="Q57" s="14" t="s">
        <v>83</v>
      </c>
      <c r="R57" s="14" t="s">
        <v>84</v>
      </c>
      <c r="S57" s="14" t="s">
        <v>85</v>
      </c>
      <c r="T57" s="14" t="s">
        <v>80</v>
      </c>
      <c r="U57" s="14" t="s">
        <v>86</v>
      </c>
      <c r="V57" s="14" t="s">
        <v>87</v>
      </c>
      <c r="W57" s="14" t="s">
        <v>88</v>
      </c>
      <c r="X57" s="14" t="s">
        <v>89</v>
      </c>
      <c r="Y57" s="14" t="s">
        <v>90</v>
      </c>
      <c r="Z57" s="14" t="s">
        <v>91</v>
      </c>
      <c r="AA57" s="14" t="s">
        <v>92</v>
      </c>
      <c r="AB57" s="14" t="s">
        <v>93</v>
      </c>
      <c r="AC57" s="14" t="s">
        <v>94</v>
      </c>
      <c r="AD57" s="14" t="s">
        <v>95</v>
      </c>
      <c r="AE57" s="14" t="s">
        <v>96</v>
      </c>
      <c r="AF57" s="14" t="s">
        <v>97</v>
      </c>
      <c r="AG57" s="14" t="s">
        <v>98</v>
      </c>
      <c r="AH57" s="14" t="s">
        <v>142</v>
      </c>
      <c r="AI57" s="14" t="s">
        <v>143</v>
      </c>
      <c r="AJ57" s="14" t="s">
        <v>144</v>
      </c>
      <c r="AK57" s="14" t="s">
        <v>145</v>
      </c>
    </row>
    <row r="58" spans="2:37" x14ac:dyDescent="0.3">
      <c r="B58" s="76" t="s">
        <v>63</v>
      </c>
      <c r="C58" s="3">
        <f>2*PI()*0.31</f>
        <v>1.9477874452256718</v>
      </c>
      <c r="D58" s="3" t="s">
        <v>25</v>
      </c>
      <c r="E58" s="77"/>
      <c r="F58" s="5"/>
      <c r="H58" s="48"/>
      <c r="I58" s="48"/>
      <c r="J58" s="48"/>
      <c r="K58" s="48"/>
      <c r="L58" s="15" t="s">
        <v>32</v>
      </c>
      <c r="M58" s="14" t="s">
        <v>31</v>
      </c>
      <c r="N58" s="14" t="s">
        <v>77</v>
      </c>
      <c r="O58" s="14" t="s">
        <v>77</v>
      </c>
      <c r="P58" s="14" t="s">
        <v>77</v>
      </c>
      <c r="Q58" s="14" t="s">
        <v>77</v>
      </c>
      <c r="R58" s="14" t="s">
        <v>77</v>
      </c>
      <c r="S58" s="14" t="s">
        <v>77</v>
      </c>
      <c r="T58" s="14" t="s">
        <v>77</v>
      </c>
      <c r="U58" s="14" t="s">
        <v>77</v>
      </c>
      <c r="V58" s="14" t="s">
        <v>77</v>
      </c>
      <c r="W58" s="14" t="s">
        <v>77</v>
      </c>
      <c r="X58" s="14" t="s">
        <v>77</v>
      </c>
      <c r="Y58" s="14" t="s">
        <v>77</v>
      </c>
      <c r="Z58" s="14" t="s">
        <v>77</v>
      </c>
      <c r="AA58" s="14" t="s">
        <v>77</v>
      </c>
      <c r="AB58" s="14" t="s">
        <v>77</v>
      </c>
      <c r="AC58" s="14" t="s">
        <v>76</v>
      </c>
      <c r="AD58" s="19" t="s">
        <v>76</v>
      </c>
      <c r="AE58" s="19" t="s">
        <v>76</v>
      </c>
      <c r="AF58" s="19" t="s">
        <v>76</v>
      </c>
      <c r="AG58" s="19" t="s">
        <v>76</v>
      </c>
      <c r="AH58" s="19" t="s">
        <v>76</v>
      </c>
      <c r="AI58" s="19" t="s">
        <v>76</v>
      </c>
      <c r="AJ58" s="19" t="s">
        <v>76</v>
      </c>
      <c r="AK58" s="19" t="s">
        <v>76</v>
      </c>
    </row>
    <row r="59" spans="2:37" x14ac:dyDescent="0.3">
      <c r="B59" s="69" t="s">
        <v>64</v>
      </c>
      <c r="C59" s="3">
        <f>C55/D55*0.607*PI()</f>
        <v>0.54484192592257263</v>
      </c>
      <c r="D59" s="6" t="s">
        <v>25</v>
      </c>
      <c r="E59" s="7"/>
      <c r="F59" s="8"/>
      <c r="H59" s="14">
        <v>750</v>
      </c>
      <c r="I59" s="3">
        <f t="shared" ref="I59:I80" si="82">I60-0.75</f>
        <v>0.75</v>
      </c>
      <c r="J59" s="3">
        <f>I59*0.7457*1000</f>
        <v>559.27499999999998</v>
      </c>
      <c r="K59" s="3">
        <f>J59/((2*PI()*H59)/60)</f>
        <v>7.1209104638175811</v>
      </c>
      <c r="L59" s="3">
        <f>((($H5/$F$54)*($C$58))/(60))*2.24*0.44704</f>
        <v>1.7433403421279325</v>
      </c>
      <c r="M59" s="3">
        <f t="shared" ref="M59" si="83">L59*2.237</f>
        <v>3.8998523453401854</v>
      </c>
      <c r="N59" s="3">
        <f>J5/L59</f>
        <v>320.80654963639819</v>
      </c>
      <c r="O59" s="3">
        <f>(0.5*$C$71*$C$28*$C$27*L59^2)</f>
        <v>2.7037164048031079</v>
      </c>
      <c r="P59" s="3">
        <f>0.02*9.81*($C$41+$C$42+$C$43+$C$44+$C$45+$C$46)</f>
        <v>111.31014600000002</v>
      </c>
      <c r="Q59" s="3">
        <f>0.05*9.81*($C$41+$C$42+$C$43+$C$44+$C$45+$C$46)</f>
        <v>278.27536500000002</v>
      </c>
      <c r="R59" s="3">
        <f>0.1*9.81*($C$41+$C$42+$C$43+$C$44+$C$45+$C$46)</f>
        <v>556.55073000000004</v>
      </c>
      <c r="S59" s="3">
        <f>0.013*9.81*($C$41+$C$42+$C$43+$C$44+$C$45+$C$46)</f>
        <v>72.351594900000009</v>
      </c>
      <c r="T59" s="3">
        <f>9.81*SIN(RADIANS(0))*($C$47)</f>
        <v>0</v>
      </c>
      <c r="U59" s="3">
        <f>O59+P59+T59</f>
        <v>114.01386240480312</v>
      </c>
      <c r="V59" s="3">
        <f>O59+Q59+T59</f>
        <v>280.97908140480314</v>
      </c>
      <c r="W59" s="3">
        <f>O59+R59+T59</f>
        <v>559.25444640480316</v>
      </c>
      <c r="X59" s="3">
        <f>O59+S59+T59</f>
        <v>75.055311304803112</v>
      </c>
      <c r="Y59" s="3">
        <f>N59-U59</f>
        <v>206.79268723159507</v>
      </c>
      <c r="Z59" s="3">
        <f>N59-V59</f>
        <v>39.827468231595049</v>
      </c>
      <c r="AA59" s="3">
        <f>IF(N59-W59&lt;0,0,N59-W59)</f>
        <v>0</v>
      </c>
      <c r="AB59" s="3">
        <f>N59-X59</f>
        <v>245.75123833159506</v>
      </c>
      <c r="AC59" s="3">
        <f>N59/$C$70</f>
        <v>0.54824810628624332</v>
      </c>
      <c r="AD59" s="3">
        <f>((((0.6)*($C$47)*(9.81)*(COS(0))*(($D$21)-(0.02)*(($C$21)-($C$37))))/($C$16))/(((1)-((0.6)*($C$21)))/($C$16)))*(10^-3)</f>
        <v>2.0334490612763663</v>
      </c>
      <c r="AE59" s="3">
        <f>((((0.68)*($C$47)*(9.81)*(COS(0))*(($D$21)-(0.05)*(($C$21)-($C$37))))/($C$16))/(((1)-((0.68)*($C$21)))/($C$16)))*(10^-3)</f>
        <v>2.3693106315311026</v>
      </c>
      <c r="AF59" s="3">
        <f>((((0.55)*($C$47)*(9.81)*(COS(0))*(($D$21)-(0.1)*(($C$21)-($C$37))))/($C$16))/(((1)-((0.55)*($C$21)))/($C$16)))*(10^-3)</f>
        <v>1.820744142072267</v>
      </c>
      <c r="AG59" s="3">
        <f>((((0.85)*($C$47)*(9.81)*(COS(0))*(($D$21)-(0.013)*(($C$21)-($C$37))))/($C$16))/(((1)-((0.85)*($C$21)))/($C$16)))*(10^-3)</f>
        <v>3.1722049748014709</v>
      </c>
      <c r="AH59" s="3">
        <f>0.6*9.81</f>
        <v>5.8860000000000001</v>
      </c>
      <c r="AI59" s="3">
        <f>0.68*9.81</f>
        <v>6.6708000000000007</v>
      </c>
      <c r="AJ59" s="3">
        <f>0.55*9.81</f>
        <v>5.3955000000000011</v>
      </c>
      <c r="AK59" s="3">
        <f>0.85*9.81</f>
        <v>8.3384999999999998</v>
      </c>
    </row>
    <row r="60" spans="2:37" x14ac:dyDescent="0.3">
      <c r="B60" s="69"/>
      <c r="C60" s="75" t="s">
        <v>65</v>
      </c>
      <c r="D60" s="75"/>
      <c r="E60" s="75" t="s">
        <v>66</v>
      </c>
      <c r="F60" s="75"/>
      <c r="H60" s="14">
        <v>1000</v>
      </c>
      <c r="I60" s="3">
        <f t="shared" si="82"/>
        <v>1.5</v>
      </c>
      <c r="J60" s="3">
        <f>I60*0.7457*1000</f>
        <v>1118.55</v>
      </c>
      <c r="K60" s="3">
        <f>J60/((2*PI()*H60)/60)</f>
        <v>10.681365695726372</v>
      </c>
      <c r="L60" s="3">
        <f>((($H6/$F$54)*($C$58))/(60))*2.24*0.44704</f>
        <v>2.3244537895039104</v>
      </c>
      <c r="M60" s="3">
        <f t="shared" ref="M60" si="84">L60*2.237</f>
        <v>5.1998031271202478</v>
      </c>
      <c r="N60" s="3">
        <f>J6/L60</f>
        <v>481.2098244545972</v>
      </c>
      <c r="O60" s="3">
        <f t="shared" ref="O60:O82" si="85">(0.5*$C$71*$C$28*$C$27*L60^2)</f>
        <v>4.8066069418721939</v>
      </c>
      <c r="P60" s="3">
        <f t="shared" ref="P60:P82" si="86">0.02*9.81*($C$41+$C$42+$C$43+$C$44+$C$45+$C$46)</f>
        <v>111.31014600000002</v>
      </c>
      <c r="Q60" s="3">
        <f t="shared" ref="Q60:Q82" si="87">0.05*9.81*($C$41+$C$42+$C$43+$C$44+$C$45+$C$46)</f>
        <v>278.27536500000002</v>
      </c>
      <c r="R60" s="3">
        <f t="shared" ref="R60:R82" si="88">0.1*9.81*($C$41+$C$42+$C$43+$C$44+$C$45+$C$46)</f>
        <v>556.55073000000004</v>
      </c>
      <c r="S60" s="3">
        <f t="shared" ref="S60:S82" si="89">0.013*9.81*($C$41+$C$42+$C$43+$C$44+$C$45+$C$46)</f>
        <v>72.351594900000009</v>
      </c>
      <c r="T60" s="3">
        <f t="shared" ref="T60:T82" si="90">9.81*SIN(RADIANS(0))*($C$47)</f>
        <v>0</v>
      </c>
      <c r="U60" s="3">
        <f t="shared" ref="U60:U82" si="91">O60+P60+T60</f>
        <v>116.11675294187221</v>
      </c>
      <c r="V60" s="3">
        <f t="shared" ref="V60:V82" si="92">O60+Q60+T60</f>
        <v>283.08197194187221</v>
      </c>
      <c r="W60" s="3">
        <f t="shared" ref="W60:W82" si="93">O60+R60+T60</f>
        <v>561.35733694187229</v>
      </c>
      <c r="X60" s="3">
        <f t="shared" ref="X60:X82" si="94">O60+S60+T60</f>
        <v>77.158201841872199</v>
      </c>
      <c r="Y60" s="3">
        <f t="shared" ref="Y60:Y82" si="95">N60-U60</f>
        <v>365.09307151272498</v>
      </c>
      <c r="Z60" s="3">
        <f t="shared" ref="Z60:Z82" si="96">N60-V60</f>
        <v>198.12785251272498</v>
      </c>
      <c r="AA60" s="3">
        <f t="shared" ref="AA60:AA82" si="97">IF(N60-W60&lt;0,0,N60-W60)</f>
        <v>0</v>
      </c>
      <c r="AB60" s="3">
        <f t="shared" ref="AB60:AB82" si="98">N60-X60</f>
        <v>404.051622612725</v>
      </c>
      <c r="AC60" s="3">
        <f t="shared" ref="AC60:AC82" si="99">N60/$C$70</f>
        <v>0.82237215942936481</v>
      </c>
      <c r="AD60" s="3">
        <f t="shared" ref="AD60:AD82" si="100">((((0.6)*($C$47)*(9.81)*(COS(0))*(($D$21)-(0.02)*(($C$21)-($C$37))))/($C$16))/(((1)-((0.6)*($C$21)))/($C$16)))*(10^-3)</f>
        <v>2.0334490612763663</v>
      </c>
      <c r="AE60" s="3">
        <f t="shared" ref="AE60:AE82" si="101">((((0.68)*($C$47)*(9.81)*(COS(0))*(($D$21)-(0.05)*(($C$21)-($C$37))))/($C$16))/(((1)-((0.68)*($C$21)))/($C$16)))*(10^-3)</f>
        <v>2.3693106315311026</v>
      </c>
      <c r="AF60" s="3">
        <f t="shared" ref="AF60:AF82" si="102">((((0.55)*($C$47)*(9.81)*(COS(0))*(($D$21)-(0.1)*(($C$21)-($C$37))))/($C$16))/(((1)-((0.55)*($C$21)))/($C$16)))*(10^-3)</f>
        <v>1.820744142072267</v>
      </c>
      <c r="AG60" s="3">
        <f t="shared" ref="AG60:AG82" si="103">((((0.85)*($C$47)*(9.81)*(COS(0))*(($D$21)-(0.013)*(($C$21)-($C$37))))/($C$16))/(((1)-((0.85)*($C$21)))/($C$16)))*(10^-3)</f>
        <v>3.1722049748014709</v>
      </c>
      <c r="AH60" s="3">
        <f t="shared" ref="AH60:AH82" si="104">0.6*9.81</f>
        <v>5.8860000000000001</v>
      </c>
      <c r="AI60" s="3">
        <f t="shared" ref="AI60:AI82" si="105">0.68*9.81</f>
        <v>6.6708000000000007</v>
      </c>
      <c r="AJ60" s="3">
        <f t="shared" ref="AJ60:AJ82" si="106">0.55*9.81</f>
        <v>5.3955000000000011</v>
      </c>
      <c r="AK60" s="3">
        <f t="shared" ref="AK60:AK82" si="107">0.85*9.81</f>
        <v>8.3384999999999998</v>
      </c>
    </row>
    <row r="61" spans="2:37" x14ac:dyDescent="0.3">
      <c r="B61" s="69" t="s">
        <v>54</v>
      </c>
      <c r="C61" s="43">
        <v>1</v>
      </c>
      <c r="D61" s="44"/>
      <c r="E61" s="43">
        <f>$C$59/E52</f>
        <v>0.29512270987472683</v>
      </c>
      <c r="F61" s="44"/>
      <c r="H61" s="14">
        <v>1250</v>
      </c>
      <c r="I61" s="3">
        <f t="shared" si="82"/>
        <v>2.25</v>
      </c>
      <c r="J61" s="3">
        <f t="shared" ref="J61:J82" si="108">I61*0.7457*1000</f>
        <v>1677.825</v>
      </c>
      <c r="K61" s="3">
        <f t="shared" ref="K61:K82" si="109">J61/((2*PI()*H61)/60)</f>
        <v>12.817638834871646</v>
      </c>
      <c r="L61" s="3">
        <f>((($H7/$F$54)*($C$58))/(60))*2.24*0.44704</f>
        <v>2.9055672368798873</v>
      </c>
      <c r="M61" s="3">
        <f t="shared" ref="M61" si="110">L61*2.237</f>
        <v>6.499753908900308</v>
      </c>
      <c r="N61" s="3">
        <f>J7/L61</f>
        <v>577.45178934551677</v>
      </c>
      <c r="O61" s="3">
        <f t="shared" si="85"/>
        <v>7.5103233466752979</v>
      </c>
      <c r="P61" s="3">
        <f t="shared" si="86"/>
        <v>111.31014600000002</v>
      </c>
      <c r="Q61" s="3">
        <f t="shared" si="87"/>
        <v>278.27536500000002</v>
      </c>
      <c r="R61" s="3">
        <f t="shared" si="88"/>
        <v>556.55073000000004</v>
      </c>
      <c r="S61" s="3">
        <f t="shared" si="89"/>
        <v>72.351594900000009</v>
      </c>
      <c r="T61" s="3">
        <f t="shared" si="90"/>
        <v>0</v>
      </c>
      <c r="U61" s="3">
        <f t="shared" si="91"/>
        <v>118.82046934667531</v>
      </c>
      <c r="V61" s="3">
        <f t="shared" si="92"/>
        <v>285.78568834667533</v>
      </c>
      <c r="W61" s="3">
        <f t="shared" si="93"/>
        <v>564.06105334667529</v>
      </c>
      <c r="X61" s="3">
        <f t="shared" si="94"/>
        <v>79.861918246675302</v>
      </c>
      <c r="Y61" s="3">
        <f t="shared" si="95"/>
        <v>458.63131999884149</v>
      </c>
      <c r="Z61" s="3">
        <f t="shared" si="96"/>
        <v>291.66610099884144</v>
      </c>
      <c r="AA61" s="3">
        <f t="shared" si="97"/>
        <v>13.390735998841478</v>
      </c>
      <c r="AB61" s="3">
        <f t="shared" si="98"/>
        <v>497.58987109884146</v>
      </c>
      <c r="AC61" s="3">
        <f t="shared" si="99"/>
        <v>0.986846591315238</v>
      </c>
      <c r="AD61" s="3">
        <f t="shared" si="100"/>
        <v>2.0334490612763663</v>
      </c>
      <c r="AE61" s="3">
        <f t="shared" si="101"/>
        <v>2.3693106315311026</v>
      </c>
      <c r="AF61" s="3">
        <f t="shared" si="102"/>
        <v>1.820744142072267</v>
      </c>
      <c r="AG61" s="3">
        <f t="shared" si="103"/>
        <v>3.1722049748014709</v>
      </c>
      <c r="AH61" s="3">
        <f t="shared" si="104"/>
        <v>5.8860000000000001</v>
      </c>
      <c r="AI61" s="3">
        <f t="shared" si="105"/>
        <v>6.6708000000000007</v>
      </c>
      <c r="AJ61" s="3">
        <f t="shared" si="106"/>
        <v>5.3955000000000011</v>
      </c>
      <c r="AK61" s="3">
        <f t="shared" si="107"/>
        <v>8.3384999999999998</v>
      </c>
    </row>
    <row r="62" spans="2:37" x14ac:dyDescent="0.3">
      <c r="B62" s="69" t="s">
        <v>55</v>
      </c>
      <c r="C62" s="43">
        <v>1</v>
      </c>
      <c r="D62" s="44"/>
      <c r="E62" s="43">
        <f>$C$59/E53</f>
        <v>0.35151091995004685</v>
      </c>
      <c r="F62" s="44"/>
      <c r="H62" s="14">
        <v>1500</v>
      </c>
      <c r="I62" s="3">
        <f t="shared" si="82"/>
        <v>3</v>
      </c>
      <c r="J62" s="3">
        <f t="shared" si="108"/>
        <v>2237.1</v>
      </c>
      <c r="K62" s="3">
        <f t="shared" si="109"/>
        <v>14.241820927635162</v>
      </c>
      <c r="L62" s="3">
        <f>((($H8/$F$54)*($C$58))/(60))*2.24*0.44704</f>
        <v>3.4866806842558651</v>
      </c>
      <c r="M62" s="3">
        <f t="shared" ref="M62" si="111">L62*2.237</f>
        <v>7.7997046906803709</v>
      </c>
      <c r="N62" s="3">
        <f>J8/L62</f>
        <v>641.61309927279638</v>
      </c>
      <c r="O62" s="3">
        <f t="shared" si="85"/>
        <v>10.814865619212432</v>
      </c>
      <c r="P62" s="3">
        <f t="shared" si="86"/>
        <v>111.31014600000002</v>
      </c>
      <c r="Q62" s="3">
        <f t="shared" si="87"/>
        <v>278.27536500000002</v>
      </c>
      <c r="R62" s="3">
        <f t="shared" si="88"/>
        <v>556.55073000000004</v>
      </c>
      <c r="S62" s="3">
        <f t="shared" si="89"/>
        <v>72.351594900000009</v>
      </c>
      <c r="T62" s="3">
        <f t="shared" si="90"/>
        <v>0</v>
      </c>
      <c r="U62" s="3">
        <f t="shared" si="91"/>
        <v>122.12501161921244</v>
      </c>
      <c r="V62" s="3">
        <f t="shared" si="92"/>
        <v>289.09023061921243</v>
      </c>
      <c r="W62" s="3">
        <f t="shared" si="93"/>
        <v>567.36559561921251</v>
      </c>
      <c r="X62" s="3">
        <f t="shared" si="94"/>
        <v>83.166460519212436</v>
      </c>
      <c r="Y62" s="3">
        <f t="shared" si="95"/>
        <v>519.48808765358399</v>
      </c>
      <c r="Z62" s="3">
        <f t="shared" si="96"/>
        <v>352.52286865358394</v>
      </c>
      <c r="AA62" s="3">
        <f t="shared" si="97"/>
        <v>74.247503653583863</v>
      </c>
      <c r="AB62" s="3">
        <f t="shared" si="98"/>
        <v>558.4466387535839</v>
      </c>
      <c r="AC62" s="3">
        <f t="shared" si="99"/>
        <v>1.0964962125724866</v>
      </c>
      <c r="AD62" s="3">
        <f t="shared" si="100"/>
        <v>2.0334490612763663</v>
      </c>
      <c r="AE62" s="3">
        <f t="shared" si="101"/>
        <v>2.3693106315311026</v>
      </c>
      <c r="AF62" s="3">
        <f t="shared" si="102"/>
        <v>1.820744142072267</v>
      </c>
      <c r="AG62" s="3">
        <f t="shared" si="103"/>
        <v>3.1722049748014709</v>
      </c>
      <c r="AH62" s="3">
        <f t="shared" si="104"/>
        <v>5.8860000000000001</v>
      </c>
      <c r="AI62" s="3">
        <f t="shared" si="105"/>
        <v>6.6708000000000007</v>
      </c>
      <c r="AJ62" s="3">
        <f t="shared" si="106"/>
        <v>5.3955000000000011</v>
      </c>
      <c r="AK62" s="3">
        <f t="shared" si="107"/>
        <v>8.3384999999999998</v>
      </c>
    </row>
    <row r="63" spans="2:37" x14ac:dyDescent="0.3">
      <c r="B63" s="69" t="s">
        <v>56</v>
      </c>
      <c r="C63" s="43">
        <v>1</v>
      </c>
      <c r="D63" s="44"/>
      <c r="E63" s="43">
        <f t="shared" ref="E63" si="112">$C$59/E54</f>
        <v>0.44577975757301391</v>
      </c>
      <c r="F63" s="44"/>
      <c r="H63" s="14">
        <v>1750</v>
      </c>
      <c r="I63" s="3">
        <f t="shared" si="82"/>
        <v>3.75</v>
      </c>
      <c r="J63" s="3">
        <f t="shared" si="108"/>
        <v>2796.3750000000005</v>
      </c>
      <c r="K63" s="3">
        <f t="shared" si="109"/>
        <v>15.259093851037678</v>
      </c>
      <c r="L63" s="3">
        <f>((($H9/$F$54)*($C$58))/(60))*2.24*0.44704</f>
        <v>4.0677941316318424</v>
      </c>
      <c r="M63" s="3">
        <f t="shared" ref="M63" si="113">L63*2.237</f>
        <v>9.0996554724604319</v>
      </c>
      <c r="N63" s="3">
        <f>J9/L63</f>
        <v>687.44260636371052</v>
      </c>
      <c r="O63" s="3">
        <f t="shared" si="85"/>
        <v>14.720233759483587</v>
      </c>
      <c r="P63" s="3">
        <f t="shared" si="86"/>
        <v>111.31014600000002</v>
      </c>
      <c r="Q63" s="3">
        <f t="shared" si="87"/>
        <v>278.27536500000002</v>
      </c>
      <c r="R63" s="3">
        <f t="shared" si="88"/>
        <v>556.55073000000004</v>
      </c>
      <c r="S63" s="3">
        <f t="shared" si="89"/>
        <v>72.351594900000009</v>
      </c>
      <c r="T63" s="3">
        <f t="shared" si="90"/>
        <v>0</v>
      </c>
      <c r="U63" s="3">
        <f t="shared" si="91"/>
        <v>126.03037975948361</v>
      </c>
      <c r="V63" s="3">
        <f t="shared" si="92"/>
        <v>292.99559875948358</v>
      </c>
      <c r="W63" s="3">
        <f t="shared" si="93"/>
        <v>571.27096375948361</v>
      </c>
      <c r="X63" s="3">
        <f t="shared" si="94"/>
        <v>87.0718286594836</v>
      </c>
      <c r="Y63" s="3">
        <f t="shared" si="95"/>
        <v>561.41222660422693</v>
      </c>
      <c r="Z63" s="3">
        <f t="shared" si="96"/>
        <v>394.44700760422694</v>
      </c>
      <c r="AA63" s="3">
        <f t="shared" si="97"/>
        <v>116.17164260422692</v>
      </c>
      <c r="AB63" s="3">
        <f t="shared" si="98"/>
        <v>600.37077770422695</v>
      </c>
      <c r="AC63" s="3">
        <f t="shared" si="99"/>
        <v>1.1748173706133787</v>
      </c>
      <c r="AD63" s="3">
        <f t="shared" si="100"/>
        <v>2.0334490612763663</v>
      </c>
      <c r="AE63" s="3">
        <f t="shared" si="101"/>
        <v>2.3693106315311026</v>
      </c>
      <c r="AF63" s="3">
        <f t="shared" si="102"/>
        <v>1.820744142072267</v>
      </c>
      <c r="AG63" s="3">
        <f t="shared" si="103"/>
        <v>3.1722049748014709</v>
      </c>
      <c r="AH63" s="3">
        <f t="shared" si="104"/>
        <v>5.8860000000000001</v>
      </c>
      <c r="AI63" s="3">
        <f t="shared" si="105"/>
        <v>6.6708000000000007</v>
      </c>
      <c r="AJ63" s="3">
        <f t="shared" si="106"/>
        <v>5.3955000000000011</v>
      </c>
      <c r="AK63" s="3">
        <f t="shared" si="107"/>
        <v>8.3384999999999998</v>
      </c>
    </row>
    <row r="64" spans="2:37" x14ac:dyDescent="0.3">
      <c r="H64" s="14">
        <v>2000</v>
      </c>
      <c r="I64" s="3">
        <f t="shared" si="82"/>
        <v>4.5</v>
      </c>
      <c r="J64" s="3">
        <f t="shared" si="108"/>
        <v>3355.65</v>
      </c>
      <c r="K64" s="3">
        <f t="shared" si="109"/>
        <v>16.022048543589559</v>
      </c>
      <c r="L64" s="3">
        <f>((($H10/$F$54)*($C$58))/(60))*2.24*0.44704</f>
        <v>4.6489075790078207</v>
      </c>
      <c r="M64" s="3">
        <f t="shared" ref="M64" si="114">L64*2.237</f>
        <v>10.399606254240496</v>
      </c>
      <c r="N64" s="3">
        <f>J10/L64</f>
        <v>721.81473668189585</v>
      </c>
      <c r="O64" s="3">
        <f t="shared" si="85"/>
        <v>19.226427767488776</v>
      </c>
      <c r="P64" s="3">
        <f t="shared" si="86"/>
        <v>111.31014600000002</v>
      </c>
      <c r="Q64" s="3">
        <f t="shared" si="87"/>
        <v>278.27536500000002</v>
      </c>
      <c r="R64" s="3">
        <f t="shared" si="88"/>
        <v>556.55073000000004</v>
      </c>
      <c r="S64" s="3">
        <f t="shared" si="89"/>
        <v>72.351594900000009</v>
      </c>
      <c r="T64" s="3">
        <f t="shared" si="90"/>
        <v>0</v>
      </c>
      <c r="U64" s="3">
        <f t="shared" si="91"/>
        <v>130.53657376748879</v>
      </c>
      <c r="V64" s="3">
        <f t="shared" si="92"/>
        <v>297.50179276748878</v>
      </c>
      <c r="W64" s="3">
        <f t="shared" si="93"/>
        <v>575.7771577674888</v>
      </c>
      <c r="X64" s="3">
        <f t="shared" si="94"/>
        <v>91.578022667488781</v>
      </c>
      <c r="Y64" s="3">
        <f t="shared" si="95"/>
        <v>591.27816291440706</v>
      </c>
      <c r="Z64" s="3">
        <f t="shared" si="96"/>
        <v>424.31294391440707</v>
      </c>
      <c r="AA64" s="3">
        <f t="shared" si="97"/>
        <v>146.03757891440705</v>
      </c>
      <c r="AB64" s="3">
        <f t="shared" si="98"/>
        <v>630.23671401440708</v>
      </c>
      <c r="AC64" s="3">
        <f t="shared" si="99"/>
        <v>1.2335582391440474</v>
      </c>
      <c r="AD64" s="3">
        <f t="shared" si="100"/>
        <v>2.0334490612763663</v>
      </c>
      <c r="AE64" s="3">
        <f t="shared" si="101"/>
        <v>2.3693106315311026</v>
      </c>
      <c r="AF64" s="3">
        <f t="shared" si="102"/>
        <v>1.820744142072267</v>
      </c>
      <c r="AG64" s="3">
        <f t="shared" si="103"/>
        <v>3.1722049748014709</v>
      </c>
      <c r="AH64" s="3">
        <f t="shared" si="104"/>
        <v>5.8860000000000001</v>
      </c>
      <c r="AI64" s="3">
        <f t="shared" si="105"/>
        <v>6.6708000000000007</v>
      </c>
      <c r="AJ64" s="3">
        <f t="shared" si="106"/>
        <v>5.3955000000000011</v>
      </c>
      <c r="AK64" s="3">
        <f t="shared" si="107"/>
        <v>8.3384999999999998</v>
      </c>
    </row>
    <row r="65" spans="2:37" x14ac:dyDescent="0.3">
      <c r="B65" s="81" t="s">
        <v>68</v>
      </c>
      <c r="C65" s="81"/>
      <c r="D65" s="81"/>
      <c r="H65" s="14">
        <v>2250</v>
      </c>
      <c r="I65" s="3">
        <f t="shared" si="82"/>
        <v>5.25</v>
      </c>
      <c r="J65" s="3">
        <f t="shared" si="108"/>
        <v>3914.9250000000002</v>
      </c>
      <c r="K65" s="3">
        <f t="shared" si="109"/>
        <v>16.615457748907691</v>
      </c>
      <c r="L65" s="3">
        <f>((($H11/$F$54)*($C$58))/(60))*2.24*0.44704</f>
        <v>5.2300210263837981</v>
      </c>
      <c r="M65" s="3">
        <f t="shared" ref="M65" si="115">L65*2.237</f>
        <v>11.699557036020558</v>
      </c>
      <c r="N65" s="3">
        <f>J11/L65</f>
        <v>748.54861581826242</v>
      </c>
      <c r="O65" s="3">
        <f t="shared" si="85"/>
        <v>24.333447643227977</v>
      </c>
      <c r="P65" s="3">
        <f t="shared" si="86"/>
        <v>111.31014600000002</v>
      </c>
      <c r="Q65" s="3">
        <f t="shared" si="87"/>
        <v>278.27536500000002</v>
      </c>
      <c r="R65" s="3">
        <f t="shared" si="88"/>
        <v>556.55073000000004</v>
      </c>
      <c r="S65" s="3">
        <f t="shared" si="89"/>
        <v>72.351594900000009</v>
      </c>
      <c r="T65" s="3">
        <f t="shared" si="90"/>
        <v>0</v>
      </c>
      <c r="U65" s="3">
        <f t="shared" si="91"/>
        <v>135.643593643228</v>
      </c>
      <c r="V65" s="3">
        <f t="shared" si="92"/>
        <v>302.60881264322802</v>
      </c>
      <c r="W65" s="3">
        <f t="shared" si="93"/>
        <v>580.88417764322799</v>
      </c>
      <c r="X65" s="3">
        <f t="shared" si="94"/>
        <v>96.685042543227979</v>
      </c>
      <c r="Y65" s="3">
        <f t="shared" si="95"/>
        <v>612.90502217503445</v>
      </c>
      <c r="Z65" s="3">
        <f t="shared" si="96"/>
        <v>445.9398031750344</v>
      </c>
      <c r="AA65" s="3">
        <f t="shared" si="97"/>
        <v>167.66443817503443</v>
      </c>
      <c r="AB65" s="3">
        <f t="shared" si="98"/>
        <v>651.86357327503447</v>
      </c>
      <c r="AC65" s="3">
        <f t="shared" si="99"/>
        <v>1.2792455813345678</v>
      </c>
      <c r="AD65" s="3">
        <f t="shared" si="100"/>
        <v>2.0334490612763663</v>
      </c>
      <c r="AE65" s="3">
        <f t="shared" si="101"/>
        <v>2.3693106315311026</v>
      </c>
      <c r="AF65" s="3">
        <f t="shared" si="102"/>
        <v>1.820744142072267</v>
      </c>
      <c r="AG65" s="3">
        <f t="shared" si="103"/>
        <v>3.1722049748014709</v>
      </c>
      <c r="AH65" s="3">
        <f t="shared" si="104"/>
        <v>5.8860000000000001</v>
      </c>
      <c r="AI65" s="3">
        <f t="shared" si="105"/>
        <v>6.6708000000000007</v>
      </c>
      <c r="AJ65" s="3">
        <f t="shared" si="106"/>
        <v>5.3955000000000011</v>
      </c>
      <c r="AK65" s="3">
        <f t="shared" si="107"/>
        <v>8.3384999999999998</v>
      </c>
    </row>
    <row r="66" spans="2:37" x14ac:dyDescent="0.3">
      <c r="B66" s="80" t="s">
        <v>70</v>
      </c>
      <c r="C66" s="3">
        <v>0.95</v>
      </c>
      <c r="D66" s="3" t="s">
        <v>71</v>
      </c>
      <c r="H66" s="14">
        <v>2500</v>
      </c>
      <c r="I66" s="3">
        <f t="shared" si="82"/>
        <v>6</v>
      </c>
      <c r="J66" s="3">
        <f t="shared" si="108"/>
        <v>4474.2</v>
      </c>
      <c r="K66" s="3">
        <f t="shared" si="109"/>
        <v>17.090185113162196</v>
      </c>
      <c r="L66" s="3">
        <f>((($H12/$F$54)*($C$58))/(60))*2.24*0.44704</f>
        <v>5.8111344737597745</v>
      </c>
      <c r="M66" s="3">
        <f t="shared" ref="M66" si="116">L66*2.237</f>
        <v>12.999507817800616</v>
      </c>
      <c r="N66" s="3">
        <f>J12/L66</f>
        <v>769.9357191273557</v>
      </c>
      <c r="O66" s="3">
        <f t="shared" si="85"/>
        <v>30.041293386701192</v>
      </c>
      <c r="P66" s="3">
        <f t="shared" si="86"/>
        <v>111.31014600000002</v>
      </c>
      <c r="Q66" s="3">
        <f t="shared" si="87"/>
        <v>278.27536500000002</v>
      </c>
      <c r="R66" s="3">
        <f t="shared" si="88"/>
        <v>556.55073000000004</v>
      </c>
      <c r="S66" s="3">
        <f t="shared" si="89"/>
        <v>72.351594900000009</v>
      </c>
      <c r="T66" s="3">
        <f t="shared" si="90"/>
        <v>0</v>
      </c>
      <c r="U66" s="3">
        <f t="shared" si="91"/>
        <v>141.3514393867012</v>
      </c>
      <c r="V66" s="3">
        <f t="shared" si="92"/>
        <v>308.31665838670119</v>
      </c>
      <c r="W66" s="3">
        <f t="shared" si="93"/>
        <v>586.59202338670127</v>
      </c>
      <c r="X66" s="3">
        <f t="shared" si="94"/>
        <v>102.39288828670121</v>
      </c>
      <c r="Y66" s="3">
        <f t="shared" si="95"/>
        <v>628.58427974065444</v>
      </c>
      <c r="Z66" s="3">
        <f t="shared" si="96"/>
        <v>461.6190607406545</v>
      </c>
      <c r="AA66" s="3">
        <f t="shared" si="97"/>
        <v>183.34369574065443</v>
      </c>
      <c r="AB66" s="3">
        <f t="shared" si="98"/>
        <v>667.54283084065446</v>
      </c>
      <c r="AC66" s="3">
        <f t="shared" si="99"/>
        <v>1.3157954550869841</v>
      </c>
      <c r="AD66" s="3">
        <f t="shared" si="100"/>
        <v>2.0334490612763663</v>
      </c>
      <c r="AE66" s="3">
        <f t="shared" si="101"/>
        <v>2.3693106315311026</v>
      </c>
      <c r="AF66" s="3">
        <f t="shared" si="102"/>
        <v>1.820744142072267</v>
      </c>
      <c r="AG66" s="3">
        <f t="shared" si="103"/>
        <v>3.1722049748014709</v>
      </c>
      <c r="AH66" s="3">
        <f t="shared" si="104"/>
        <v>5.8860000000000001</v>
      </c>
      <c r="AI66" s="3">
        <f t="shared" si="105"/>
        <v>6.6708000000000007</v>
      </c>
      <c r="AJ66" s="3">
        <f t="shared" si="106"/>
        <v>5.3955000000000011</v>
      </c>
      <c r="AK66" s="3">
        <f t="shared" si="107"/>
        <v>8.3384999999999998</v>
      </c>
    </row>
    <row r="67" spans="2:37" x14ac:dyDescent="0.3">
      <c r="B67" s="80" t="s">
        <v>69</v>
      </c>
      <c r="C67" s="3">
        <v>0.17</v>
      </c>
      <c r="D67" s="3" t="s">
        <v>71</v>
      </c>
      <c r="F67" s="79"/>
      <c r="H67" s="14">
        <v>2750</v>
      </c>
      <c r="I67" s="3">
        <f t="shared" si="82"/>
        <v>6.75</v>
      </c>
      <c r="J67" s="3">
        <f t="shared" si="108"/>
        <v>5033.4750000000004</v>
      </c>
      <c r="K67" s="3">
        <f t="shared" si="109"/>
        <v>17.478598411188614</v>
      </c>
      <c r="L67" s="3">
        <f>((($H13/$F$54)*($C$58))/(60))*2.24*0.44704</f>
        <v>6.3922479211357537</v>
      </c>
      <c r="M67" s="3">
        <f t="shared" ref="M67" si="117">L67*2.237</f>
        <v>14.299458599580682</v>
      </c>
      <c r="N67" s="3">
        <f>J13/L67</f>
        <v>787.43425819843185</v>
      </c>
      <c r="O67" s="3">
        <f t="shared" si="85"/>
        <v>36.349964997908465</v>
      </c>
      <c r="P67" s="3">
        <f t="shared" si="86"/>
        <v>111.31014600000002</v>
      </c>
      <c r="Q67" s="3">
        <f t="shared" si="87"/>
        <v>278.27536500000002</v>
      </c>
      <c r="R67" s="3">
        <f t="shared" si="88"/>
        <v>556.55073000000004</v>
      </c>
      <c r="S67" s="3">
        <f t="shared" si="89"/>
        <v>72.351594900000009</v>
      </c>
      <c r="T67" s="3">
        <f t="shared" si="90"/>
        <v>0</v>
      </c>
      <c r="U67" s="3">
        <f t="shared" si="91"/>
        <v>147.66011099790848</v>
      </c>
      <c r="V67" s="3">
        <f t="shared" si="92"/>
        <v>314.62532999790847</v>
      </c>
      <c r="W67" s="3">
        <f t="shared" si="93"/>
        <v>592.90069499790854</v>
      </c>
      <c r="X67" s="3">
        <f t="shared" si="94"/>
        <v>108.70155989790848</v>
      </c>
      <c r="Y67" s="3">
        <f t="shared" si="95"/>
        <v>639.77414720052343</v>
      </c>
      <c r="Z67" s="3">
        <f t="shared" si="96"/>
        <v>472.80892820052338</v>
      </c>
      <c r="AA67" s="3">
        <f t="shared" si="97"/>
        <v>194.5335632005233</v>
      </c>
      <c r="AB67" s="3">
        <f t="shared" si="98"/>
        <v>678.73269830052334</v>
      </c>
      <c r="AC67" s="3">
        <f t="shared" si="99"/>
        <v>1.3456998972480516</v>
      </c>
      <c r="AD67" s="3">
        <f t="shared" si="100"/>
        <v>2.0334490612763663</v>
      </c>
      <c r="AE67" s="3">
        <f t="shared" si="101"/>
        <v>2.3693106315311026</v>
      </c>
      <c r="AF67" s="3">
        <f t="shared" si="102"/>
        <v>1.820744142072267</v>
      </c>
      <c r="AG67" s="3">
        <f t="shared" si="103"/>
        <v>3.1722049748014709</v>
      </c>
      <c r="AH67" s="3">
        <f t="shared" si="104"/>
        <v>5.8860000000000001</v>
      </c>
      <c r="AI67" s="3">
        <f t="shared" si="105"/>
        <v>6.6708000000000007</v>
      </c>
      <c r="AJ67" s="3">
        <f t="shared" si="106"/>
        <v>5.3955000000000011</v>
      </c>
      <c r="AK67" s="3">
        <f t="shared" si="107"/>
        <v>8.3384999999999998</v>
      </c>
    </row>
    <row r="68" spans="2:37" x14ac:dyDescent="0.3">
      <c r="B68" s="80" t="s">
        <v>54</v>
      </c>
      <c r="C68" s="3">
        <f>$C$47+4*($C$66/$C$37)+$C$67*(E52^2/$C$37^2)</f>
        <v>589.72408228059237</v>
      </c>
      <c r="D68" s="3"/>
      <c r="H68" s="14">
        <v>3000</v>
      </c>
      <c r="I68" s="3">
        <f t="shared" si="82"/>
        <v>7.5</v>
      </c>
      <c r="J68" s="3">
        <f t="shared" si="108"/>
        <v>5592.7500000000009</v>
      </c>
      <c r="K68" s="3">
        <f t="shared" si="109"/>
        <v>17.802276159543954</v>
      </c>
      <c r="L68" s="3">
        <f>((($H14/$F$54)*($C$58))/(60))*2.24*0.44704</f>
        <v>6.9733613685117302</v>
      </c>
      <c r="M68" s="3">
        <f t="shared" ref="M68" si="118">L68*2.237</f>
        <v>15.599409381360742</v>
      </c>
      <c r="N68" s="3">
        <f>J14/L68</f>
        <v>802.01637409099567</v>
      </c>
      <c r="O68" s="3">
        <f t="shared" si="85"/>
        <v>43.259462476849727</v>
      </c>
      <c r="P68" s="3">
        <f t="shared" si="86"/>
        <v>111.31014600000002</v>
      </c>
      <c r="Q68" s="3">
        <f t="shared" si="87"/>
        <v>278.27536500000002</v>
      </c>
      <c r="R68" s="3">
        <f t="shared" si="88"/>
        <v>556.55073000000004</v>
      </c>
      <c r="S68" s="3">
        <f t="shared" si="89"/>
        <v>72.351594900000009</v>
      </c>
      <c r="T68" s="3">
        <f t="shared" si="90"/>
        <v>0</v>
      </c>
      <c r="U68" s="3">
        <f t="shared" si="91"/>
        <v>154.56960847684974</v>
      </c>
      <c r="V68" s="3">
        <f t="shared" si="92"/>
        <v>321.53482747684973</v>
      </c>
      <c r="W68" s="3">
        <f t="shared" si="93"/>
        <v>599.81019247684981</v>
      </c>
      <c r="X68" s="3">
        <f t="shared" si="94"/>
        <v>115.61105737684974</v>
      </c>
      <c r="Y68" s="3">
        <f t="shared" si="95"/>
        <v>647.44676561414599</v>
      </c>
      <c r="Z68" s="3">
        <f t="shared" si="96"/>
        <v>480.48154661414594</v>
      </c>
      <c r="AA68" s="3">
        <f t="shared" si="97"/>
        <v>202.20618161414586</v>
      </c>
      <c r="AB68" s="3">
        <f t="shared" si="98"/>
        <v>686.4053167141459</v>
      </c>
      <c r="AC68" s="3">
        <f t="shared" si="99"/>
        <v>1.3706202657156086</v>
      </c>
      <c r="AD68" s="3">
        <f t="shared" si="100"/>
        <v>2.0334490612763663</v>
      </c>
      <c r="AE68" s="3">
        <f t="shared" si="101"/>
        <v>2.3693106315311026</v>
      </c>
      <c r="AF68" s="3">
        <f t="shared" si="102"/>
        <v>1.820744142072267</v>
      </c>
      <c r="AG68" s="3">
        <f t="shared" si="103"/>
        <v>3.1722049748014709</v>
      </c>
      <c r="AH68" s="3">
        <f t="shared" si="104"/>
        <v>5.8860000000000001</v>
      </c>
      <c r="AI68" s="3">
        <f t="shared" si="105"/>
        <v>6.6708000000000007</v>
      </c>
      <c r="AJ68" s="3">
        <f t="shared" si="106"/>
        <v>5.3955000000000011</v>
      </c>
      <c r="AK68" s="3">
        <f t="shared" si="107"/>
        <v>8.3384999999999998</v>
      </c>
    </row>
    <row r="69" spans="2:37" x14ac:dyDescent="0.3">
      <c r="B69" s="80" t="s">
        <v>55</v>
      </c>
      <c r="C69" s="3">
        <f t="shared" ref="C69:C70" si="119">$C$47+4*($C$66/$C$37)+$C$67*(E53^2/$C$37^2)</f>
        <v>587.32023542819468</v>
      </c>
      <c r="D69" s="3"/>
      <c r="H69" s="14">
        <v>3250</v>
      </c>
      <c r="I69" s="3">
        <f t="shared" si="82"/>
        <v>8.25</v>
      </c>
      <c r="J69" s="3">
        <f t="shared" si="108"/>
        <v>6152.0249999999996</v>
      </c>
      <c r="K69" s="3">
        <f t="shared" si="109"/>
        <v>18.076157331229243</v>
      </c>
      <c r="L69" s="3">
        <f>((($H15/$F$54)*($C$58))/(60))*2.24*0.44704</f>
        <v>7.5544748158877084</v>
      </c>
      <c r="M69" s="3">
        <f t="shared" ref="M69" si="120">L69*2.237</f>
        <v>16.899360163140805</v>
      </c>
      <c r="N69" s="3">
        <f>J15/L69</f>
        <v>814.35508753854913</v>
      </c>
      <c r="O69" s="3">
        <f t="shared" si="85"/>
        <v>50.769785823525034</v>
      </c>
      <c r="P69" s="3">
        <f t="shared" si="86"/>
        <v>111.31014600000002</v>
      </c>
      <c r="Q69" s="3">
        <f t="shared" si="87"/>
        <v>278.27536500000002</v>
      </c>
      <c r="R69" s="3">
        <f t="shared" si="88"/>
        <v>556.55073000000004</v>
      </c>
      <c r="S69" s="3">
        <f t="shared" si="89"/>
        <v>72.351594900000009</v>
      </c>
      <c r="T69" s="3">
        <f t="shared" si="90"/>
        <v>0</v>
      </c>
      <c r="U69" s="3">
        <f t="shared" si="91"/>
        <v>162.07993182352504</v>
      </c>
      <c r="V69" s="3">
        <f t="shared" si="92"/>
        <v>329.04515082352503</v>
      </c>
      <c r="W69" s="3">
        <f t="shared" si="93"/>
        <v>607.32051582352506</v>
      </c>
      <c r="X69" s="3">
        <f t="shared" si="94"/>
        <v>123.12138072352505</v>
      </c>
      <c r="Y69" s="3">
        <f t="shared" si="95"/>
        <v>652.27515571502408</v>
      </c>
      <c r="Z69" s="3">
        <f t="shared" si="96"/>
        <v>485.30993671502409</v>
      </c>
      <c r="AA69" s="3">
        <f t="shared" si="97"/>
        <v>207.03457171502407</v>
      </c>
      <c r="AB69" s="3">
        <f t="shared" si="98"/>
        <v>691.23370681502411</v>
      </c>
      <c r="AC69" s="3">
        <f t="shared" si="99"/>
        <v>1.3917067313420022</v>
      </c>
      <c r="AD69" s="3">
        <f t="shared" si="100"/>
        <v>2.0334490612763663</v>
      </c>
      <c r="AE69" s="3">
        <f t="shared" si="101"/>
        <v>2.3693106315311026</v>
      </c>
      <c r="AF69" s="3">
        <f t="shared" si="102"/>
        <v>1.820744142072267</v>
      </c>
      <c r="AG69" s="3">
        <f t="shared" si="103"/>
        <v>3.1722049748014709</v>
      </c>
      <c r="AH69" s="3">
        <f t="shared" si="104"/>
        <v>5.8860000000000001</v>
      </c>
      <c r="AI69" s="3">
        <f t="shared" si="105"/>
        <v>6.6708000000000007</v>
      </c>
      <c r="AJ69" s="3">
        <f t="shared" si="106"/>
        <v>5.3955000000000011</v>
      </c>
      <c r="AK69" s="3">
        <f t="shared" si="107"/>
        <v>8.3384999999999998</v>
      </c>
    </row>
    <row r="70" spans="2:37" x14ac:dyDescent="0.3">
      <c r="B70" s="80" t="s">
        <v>56</v>
      </c>
      <c r="C70" s="3">
        <f t="shared" si="119"/>
        <v>585.14848653011734</v>
      </c>
      <c r="D70" s="3"/>
      <c r="H70" s="14">
        <v>3500</v>
      </c>
      <c r="I70" s="3">
        <f t="shared" si="82"/>
        <v>9</v>
      </c>
      <c r="J70" s="3">
        <f t="shared" si="108"/>
        <v>6711.3</v>
      </c>
      <c r="K70" s="3">
        <f t="shared" si="109"/>
        <v>18.310912621245212</v>
      </c>
      <c r="L70" s="3">
        <f>((($H16/$F$54)*($C$58))/(60))*2.24*0.44704</f>
        <v>8.1355882632636849</v>
      </c>
      <c r="M70" s="3">
        <f t="shared" ref="M70" si="121">L70*2.237</f>
        <v>18.199310944920864</v>
      </c>
      <c r="N70" s="3">
        <f>J16/L70</f>
        <v>824.93112763645252</v>
      </c>
      <c r="O70" s="3">
        <f t="shared" si="85"/>
        <v>58.88093503793435</v>
      </c>
      <c r="P70" s="3">
        <f t="shared" si="86"/>
        <v>111.31014600000002</v>
      </c>
      <c r="Q70" s="3">
        <f t="shared" si="87"/>
        <v>278.27536500000002</v>
      </c>
      <c r="R70" s="3">
        <f t="shared" si="88"/>
        <v>556.55073000000004</v>
      </c>
      <c r="S70" s="3">
        <f t="shared" si="89"/>
        <v>72.351594900000009</v>
      </c>
      <c r="T70" s="3">
        <f t="shared" si="90"/>
        <v>0</v>
      </c>
      <c r="U70" s="3">
        <f t="shared" si="91"/>
        <v>170.19108103793437</v>
      </c>
      <c r="V70" s="3">
        <f t="shared" si="92"/>
        <v>337.15630003793439</v>
      </c>
      <c r="W70" s="3">
        <f t="shared" si="93"/>
        <v>615.43166503793441</v>
      </c>
      <c r="X70" s="3">
        <f t="shared" si="94"/>
        <v>131.23252993793437</v>
      </c>
      <c r="Y70" s="3">
        <f t="shared" si="95"/>
        <v>654.74004659851812</v>
      </c>
      <c r="Z70" s="3">
        <f t="shared" si="96"/>
        <v>487.77482759851813</v>
      </c>
      <c r="AA70" s="3">
        <f t="shared" si="97"/>
        <v>209.49946259851811</v>
      </c>
      <c r="AB70" s="3">
        <f t="shared" si="98"/>
        <v>693.69859769851814</v>
      </c>
      <c r="AC70" s="3">
        <f t="shared" si="99"/>
        <v>1.4097808447360543</v>
      </c>
      <c r="AD70" s="3">
        <f t="shared" si="100"/>
        <v>2.0334490612763663</v>
      </c>
      <c r="AE70" s="3">
        <f t="shared" si="101"/>
        <v>2.3693106315311026</v>
      </c>
      <c r="AF70" s="3">
        <f t="shared" si="102"/>
        <v>1.820744142072267</v>
      </c>
      <c r="AG70" s="3">
        <f t="shared" si="103"/>
        <v>3.1722049748014709</v>
      </c>
      <c r="AH70" s="3">
        <f t="shared" si="104"/>
        <v>5.8860000000000001</v>
      </c>
      <c r="AI70" s="3">
        <f t="shared" si="105"/>
        <v>6.6708000000000007</v>
      </c>
      <c r="AJ70" s="3">
        <f t="shared" si="106"/>
        <v>5.3955000000000011</v>
      </c>
      <c r="AK70" s="3">
        <f t="shared" si="107"/>
        <v>8.3384999999999998</v>
      </c>
    </row>
    <row r="71" spans="2:37" x14ac:dyDescent="0.3">
      <c r="B71" s="80" t="s">
        <v>79</v>
      </c>
      <c r="C71" s="3">
        <v>1.167</v>
      </c>
      <c r="D71" s="3"/>
      <c r="H71" s="14">
        <v>3750</v>
      </c>
      <c r="I71" s="3">
        <f t="shared" si="82"/>
        <v>9.75</v>
      </c>
      <c r="J71" s="3">
        <f t="shared" si="108"/>
        <v>7270.5749999999998</v>
      </c>
      <c r="K71" s="3">
        <f t="shared" si="109"/>
        <v>18.514367205925709</v>
      </c>
      <c r="L71" s="3">
        <f>((($H17/$F$54)*($C$58))/(60))*2.24*0.44704</f>
        <v>8.7167017106396649</v>
      </c>
      <c r="M71" s="3">
        <f t="shared" ref="M71" si="122">L71*2.237</f>
        <v>19.499261726700933</v>
      </c>
      <c r="N71" s="3">
        <f>J17/L71</f>
        <v>834.09702905463507</v>
      </c>
      <c r="O71" s="3">
        <f t="shared" si="85"/>
        <v>67.592910120077747</v>
      </c>
      <c r="P71" s="3">
        <f t="shared" si="86"/>
        <v>111.31014600000002</v>
      </c>
      <c r="Q71" s="3">
        <f t="shared" si="87"/>
        <v>278.27536500000002</v>
      </c>
      <c r="R71" s="3">
        <f t="shared" si="88"/>
        <v>556.55073000000004</v>
      </c>
      <c r="S71" s="3">
        <f t="shared" si="89"/>
        <v>72.351594900000009</v>
      </c>
      <c r="T71" s="3">
        <f t="shared" si="90"/>
        <v>0</v>
      </c>
      <c r="U71" s="3">
        <f t="shared" si="91"/>
        <v>178.90305612007776</v>
      </c>
      <c r="V71" s="3">
        <f t="shared" si="92"/>
        <v>345.86827512007778</v>
      </c>
      <c r="W71" s="3">
        <f t="shared" si="93"/>
        <v>624.14364012007775</v>
      </c>
      <c r="X71" s="3">
        <f t="shared" si="94"/>
        <v>139.94450502007777</v>
      </c>
      <c r="Y71" s="3">
        <f t="shared" si="95"/>
        <v>655.19397293455734</v>
      </c>
      <c r="Z71" s="3">
        <f t="shared" si="96"/>
        <v>488.22875393455729</v>
      </c>
      <c r="AA71" s="3">
        <f t="shared" si="97"/>
        <v>209.95338893455732</v>
      </c>
      <c r="AB71" s="3">
        <f t="shared" si="98"/>
        <v>694.15252403455725</v>
      </c>
      <c r="AC71" s="3">
        <f t="shared" si="99"/>
        <v>1.4254450763442323</v>
      </c>
      <c r="AD71" s="3">
        <f t="shared" si="100"/>
        <v>2.0334490612763663</v>
      </c>
      <c r="AE71" s="3">
        <f t="shared" si="101"/>
        <v>2.3693106315311026</v>
      </c>
      <c r="AF71" s="3">
        <f t="shared" si="102"/>
        <v>1.820744142072267</v>
      </c>
      <c r="AG71" s="3">
        <f t="shared" si="103"/>
        <v>3.1722049748014709</v>
      </c>
      <c r="AH71" s="3">
        <f t="shared" si="104"/>
        <v>5.8860000000000001</v>
      </c>
      <c r="AI71" s="3">
        <f t="shared" si="105"/>
        <v>6.6708000000000007</v>
      </c>
      <c r="AJ71" s="3">
        <f t="shared" si="106"/>
        <v>5.3955000000000011</v>
      </c>
      <c r="AK71" s="3">
        <f t="shared" si="107"/>
        <v>8.3384999999999998</v>
      </c>
    </row>
    <row r="72" spans="2:37" x14ac:dyDescent="0.3">
      <c r="H72" s="14">
        <v>4000</v>
      </c>
      <c r="I72" s="3">
        <f t="shared" si="82"/>
        <v>10.5</v>
      </c>
      <c r="J72" s="3">
        <f t="shared" si="108"/>
        <v>7829.85</v>
      </c>
      <c r="K72" s="3">
        <f t="shared" si="109"/>
        <v>18.692389967521152</v>
      </c>
      <c r="L72" s="3">
        <f>((($H18/$F$54)*($C$58))/(60))*2.24*0.44704</f>
        <v>9.2978151580156414</v>
      </c>
      <c r="M72" s="3">
        <f t="shared" ref="M72" si="123">L72*2.237</f>
        <v>20.799212508480991</v>
      </c>
      <c r="N72" s="3">
        <f>J18/L72</f>
        <v>842.11719279554518</v>
      </c>
      <c r="O72" s="3">
        <f t="shared" si="85"/>
        <v>76.905711069955103</v>
      </c>
      <c r="P72" s="3">
        <f t="shared" si="86"/>
        <v>111.31014600000002</v>
      </c>
      <c r="Q72" s="3">
        <f t="shared" si="87"/>
        <v>278.27536500000002</v>
      </c>
      <c r="R72" s="3">
        <f t="shared" si="88"/>
        <v>556.55073000000004</v>
      </c>
      <c r="S72" s="3">
        <f t="shared" si="89"/>
        <v>72.351594900000009</v>
      </c>
      <c r="T72" s="3">
        <f t="shared" si="90"/>
        <v>0</v>
      </c>
      <c r="U72" s="3">
        <f t="shared" si="91"/>
        <v>188.21585706995512</v>
      </c>
      <c r="V72" s="3">
        <f t="shared" si="92"/>
        <v>355.18107606995511</v>
      </c>
      <c r="W72" s="3">
        <f t="shared" si="93"/>
        <v>633.45644106995519</v>
      </c>
      <c r="X72" s="3">
        <f t="shared" si="94"/>
        <v>149.2573059699551</v>
      </c>
      <c r="Y72" s="3">
        <f t="shared" si="95"/>
        <v>653.90133572559012</v>
      </c>
      <c r="Z72" s="3">
        <f t="shared" si="96"/>
        <v>486.93611672559007</v>
      </c>
      <c r="AA72" s="3">
        <f t="shared" si="97"/>
        <v>208.66075172558999</v>
      </c>
      <c r="AB72" s="3">
        <f t="shared" si="98"/>
        <v>692.85988682559014</v>
      </c>
      <c r="AC72" s="3">
        <f t="shared" si="99"/>
        <v>1.4391512790013885</v>
      </c>
      <c r="AD72" s="3">
        <f t="shared" si="100"/>
        <v>2.0334490612763663</v>
      </c>
      <c r="AE72" s="3">
        <f t="shared" si="101"/>
        <v>2.3693106315311026</v>
      </c>
      <c r="AF72" s="3">
        <f t="shared" si="102"/>
        <v>1.820744142072267</v>
      </c>
      <c r="AG72" s="3">
        <f t="shared" si="103"/>
        <v>3.1722049748014709</v>
      </c>
      <c r="AH72" s="3">
        <f t="shared" si="104"/>
        <v>5.8860000000000001</v>
      </c>
      <c r="AI72" s="3">
        <f t="shared" si="105"/>
        <v>6.6708000000000007</v>
      </c>
      <c r="AJ72" s="3">
        <f t="shared" si="106"/>
        <v>5.3955000000000011</v>
      </c>
      <c r="AK72" s="3">
        <f t="shared" si="107"/>
        <v>8.3384999999999998</v>
      </c>
    </row>
    <row r="73" spans="2:37" x14ac:dyDescent="0.3">
      <c r="B73" s="65" t="s">
        <v>177</v>
      </c>
      <c r="C73" s="65"/>
      <c r="H73" s="14">
        <v>4250</v>
      </c>
      <c r="I73" s="3">
        <f t="shared" si="82"/>
        <v>11.25</v>
      </c>
      <c r="J73" s="3">
        <f t="shared" si="108"/>
        <v>8389.125</v>
      </c>
      <c r="K73" s="3">
        <f t="shared" si="109"/>
        <v>18.849468874811244</v>
      </c>
      <c r="L73" s="3">
        <f>((($H19/$F$54)*($C$58))/(60))*2.24*0.44704</f>
        <v>9.8789286053916161</v>
      </c>
      <c r="M73" s="3">
        <f t="shared" ref="M73" si="124">L73*2.237</f>
        <v>22.099163290261046</v>
      </c>
      <c r="N73" s="3">
        <f>J19/L73</f>
        <v>849.19380786105421</v>
      </c>
      <c r="O73" s="3">
        <f t="shared" si="85"/>
        <v>86.819337887566434</v>
      </c>
      <c r="P73" s="3">
        <f t="shared" si="86"/>
        <v>111.31014600000002</v>
      </c>
      <c r="Q73" s="3">
        <f t="shared" si="87"/>
        <v>278.27536500000002</v>
      </c>
      <c r="R73" s="3">
        <f t="shared" si="88"/>
        <v>556.55073000000004</v>
      </c>
      <c r="S73" s="3">
        <f t="shared" si="89"/>
        <v>72.351594900000009</v>
      </c>
      <c r="T73" s="3">
        <f t="shared" si="90"/>
        <v>0</v>
      </c>
      <c r="U73" s="3">
        <f t="shared" si="91"/>
        <v>198.12948388756644</v>
      </c>
      <c r="V73" s="3">
        <f t="shared" si="92"/>
        <v>365.09470288756643</v>
      </c>
      <c r="W73" s="3">
        <f t="shared" si="93"/>
        <v>643.37006788756651</v>
      </c>
      <c r="X73" s="3">
        <f t="shared" si="94"/>
        <v>159.17093278756644</v>
      </c>
      <c r="Y73" s="3">
        <f t="shared" si="95"/>
        <v>651.06432397348772</v>
      </c>
      <c r="Z73" s="3">
        <f t="shared" si="96"/>
        <v>484.09910497348778</v>
      </c>
      <c r="AA73" s="3">
        <f t="shared" si="97"/>
        <v>205.8237399734877</v>
      </c>
      <c r="AB73" s="3">
        <f t="shared" si="98"/>
        <v>690.02287507348774</v>
      </c>
      <c r="AC73" s="3">
        <f t="shared" si="99"/>
        <v>1.4512449872282915</v>
      </c>
      <c r="AD73" s="3">
        <f t="shared" si="100"/>
        <v>2.0334490612763663</v>
      </c>
      <c r="AE73" s="3">
        <f t="shared" si="101"/>
        <v>2.3693106315311026</v>
      </c>
      <c r="AF73" s="3">
        <f t="shared" si="102"/>
        <v>1.820744142072267</v>
      </c>
      <c r="AG73" s="3">
        <f t="shared" si="103"/>
        <v>3.1722049748014709</v>
      </c>
      <c r="AH73" s="3">
        <f t="shared" si="104"/>
        <v>5.8860000000000001</v>
      </c>
      <c r="AI73" s="3">
        <f t="shared" si="105"/>
        <v>6.6708000000000007</v>
      </c>
      <c r="AJ73" s="3">
        <f t="shared" si="106"/>
        <v>5.3955000000000011</v>
      </c>
      <c r="AK73" s="3">
        <f t="shared" si="107"/>
        <v>8.3384999999999998</v>
      </c>
    </row>
    <row r="74" spans="2:37" x14ac:dyDescent="0.3">
      <c r="B74" s="66" t="s">
        <v>172</v>
      </c>
      <c r="C74" s="66">
        <f>SUM('Drive Cycle'!W3:W1114)</f>
        <v>88.45693928295394</v>
      </c>
      <c r="H74" s="14">
        <v>4500</v>
      </c>
      <c r="I74" s="3">
        <f t="shared" si="82"/>
        <v>12</v>
      </c>
      <c r="J74" s="3">
        <f t="shared" si="108"/>
        <v>8948.4</v>
      </c>
      <c r="K74" s="3">
        <f t="shared" si="109"/>
        <v>18.989094570180214</v>
      </c>
      <c r="L74" s="3">
        <f>((($H20/$F$54)*($C$58))/(60))*2.24*0.44704</f>
        <v>10.460042052767596</v>
      </c>
      <c r="M74" s="3">
        <f t="shared" ref="M74" si="125">L74*2.237</f>
        <v>23.399114072041115</v>
      </c>
      <c r="N74" s="3">
        <f>J20/L74</f>
        <v>855.48413236372846</v>
      </c>
      <c r="O74" s="3">
        <f t="shared" si="85"/>
        <v>97.333790572911909</v>
      </c>
      <c r="P74" s="3">
        <f t="shared" si="86"/>
        <v>111.31014600000002</v>
      </c>
      <c r="Q74" s="3">
        <f t="shared" si="87"/>
        <v>278.27536500000002</v>
      </c>
      <c r="R74" s="3">
        <f t="shared" si="88"/>
        <v>556.55073000000004</v>
      </c>
      <c r="S74" s="3">
        <f t="shared" si="89"/>
        <v>72.351594900000009</v>
      </c>
      <c r="T74" s="3">
        <f t="shared" si="90"/>
        <v>0</v>
      </c>
      <c r="U74" s="3">
        <f t="shared" si="91"/>
        <v>208.64393657291191</v>
      </c>
      <c r="V74" s="3">
        <f t="shared" si="92"/>
        <v>375.60915557291196</v>
      </c>
      <c r="W74" s="3">
        <f t="shared" si="93"/>
        <v>653.88452057291192</v>
      </c>
      <c r="X74" s="3">
        <f t="shared" si="94"/>
        <v>169.68538547291192</v>
      </c>
      <c r="Y74" s="3">
        <f t="shared" si="95"/>
        <v>646.84019579081655</v>
      </c>
      <c r="Z74" s="3">
        <f t="shared" si="96"/>
        <v>479.8749767908165</v>
      </c>
      <c r="AA74" s="3">
        <f t="shared" si="97"/>
        <v>201.59961179081654</v>
      </c>
      <c r="AB74" s="3">
        <f t="shared" si="98"/>
        <v>685.79874689081657</v>
      </c>
      <c r="AC74" s="3">
        <f t="shared" si="99"/>
        <v>1.4619949500966487</v>
      </c>
      <c r="AD74" s="3">
        <f t="shared" si="100"/>
        <v>2.0334490612763663</v>
      </c>
      <c r="AE74" s="3">
        <f t="shared" si="101"/>
        <v>2.3693106315311026</v>
      </c>
      <c r="AF74" s="3">
        <f t="shared" si="102"/>
        <v>1.820744142072267</v>
      </c>
      <c r="AG74" s="3">
        <f t="shared" si="103"/>
        <v>3.1722049748014709</v>
      </c>
      <c r="AH74" s="3">
        <f t="shared" si="104"/>
        <v>5.8860000000000001</v>
      </c>
      <c r="AI74" s="3">
        <f t="shared" si="105"/>
        <v>6.6708000000000007</v>
      </c>
      <c r="AJ74" s="3">
        <f t="shared" si="106"/>
        <v>5.3955000000000011</v>
      </c>
      <c r="AK74" s="3">
        <f t="shared" si="107"/>
        <v>8.3384999999999998</v>
      </c>
    </row>
    <row r="75" spans="2:37" x14ac:dyDescent="0.3">
      <c r="B75" s="66" t="s">
        <v>175</v>
      </c>
      <c r="C75" s="66">
        <f>C74/1000</f>
        <v>8.8456939282953936E-2</v>
      </c>
      <c r="H75" s="14">
        <v>4750</v>
      </c>
      <c r="I75" s="3">
        <f t="shared" si="82"/>
        <v>12.75</v>
      </c>
      <c r="J75" s="3">
        <f t="shared" si="108"/>
        <v>9507.6750000000011</v>
      </c>
      <c r="K75" s="3">
        <f t="shared" si="109"/>
        <v>19.114022823931403</v>
      </c>
      <c r="L75" s="3">
        <f>((($H21/$F$54)*($C$58))/(60))*2.24*0.44704</f>
        <v>11.041155500143574</v>
      </c>
      <c r="M75" s="3">
        <f t="shared" ref="M75" si="126">L75*2.237</f>
        <v>24.699064853821177</v>
      </c>
      <c r="N75" s="3">
        <f>J21/L75</f>
        <v>861.11231744506881</v>
      </c>
      <c r="O75" s="3">
        <f t="shared" si="85"/>
        <v>108.44906912599136</v>
      </c>
      <c r="P75" s="3">
        <f t="shared" si="86"/>
        <v>111.31014600000002</v>
      </c>
      <c r="Q75" s="3">
        <f t="shared" si="87"/>
        <v>278.27536500000002</v>
      </c>
      <c r="R75" s="3">
        <f t="shared" si="88"/>
        <v>556.55073000000004</v>
      </c>
      <c r="S75" s="3">
        <f t="shared" si="89"/>
        <v>72.351594900000009</v>
      </c>
      <c r="T75" s="3">
        <f t="shared" si="90"/>
        <v>0</v>
      </c>
      <c r="U75" s="3">
        <f t="shared" si="91"/>
        <v>219.75921512599137</v>
      </c>
      <c r="V75" s="3">
        <f t="shared" si="92"/>
        <v>386.72443412599137</v>
      </c>
      <c r="W75" s="3">
        <f t="shared" si="93"/>
        <v>664.99979912599144</v>
      </c>
      <c r="X75" s="3">
        <f t="shared" si="94"/>
        <v>180.80066402599135</v>
      </c>
      <c r="Y75" s="3">
        <f t="shared" si="95"/>
        <v>641.35310231907738</v>
      </c>
      <c r="Z75" s="3">
        <f t="shared" si="96"/>
        <v>474.38788331907745</v>
      </c>
      <c r="AA75" s="3">
        <f t="shared" si="97"/>
        <v>196.11251831907737</v>
      </c>
      <c r="AB75" s="3">
        <f t="shared" si="98"/>
        <v>680.3116534190774</v>
      </c>
      <c r="AC75" s="3">
        <f t="shared" si="99"/>
        <v>1.4716133379262319</v>
      </c>
      <c r="AD75" s="3">
        <f t="shared" si="100"/>
        <v>2.0334490612763663</v>
      </c>
      <c r="AE75" s="3">
        <f t="shared" si="101"/>
        <v>2.3693106315311026</v>
      </c>
      <c r="AF75" s="3">
        <f t="shared" si="102"/>
        <v>1.820744142072267</v>
      </c>
      <c r="AG75" s="3">
        <f t="shared" si="103"/>
        <v>3.1722049748014709</v>
      </c>
      <c r="AH75" s="3">
        <f t="shared" si="104"/>
        <v>5.8860000000000001</v>
      </c>
      <c r="AI75" s="3">
        <f t="shared" si="105"/>
        <v>6.6708000000000007</v>
      </c>
      <c r="AJ75" s="3">
        <f t="shared" si="106"/>
        <v>5.3955000000000011</v>
      </c>
      <c r="AK75" s="3">
        <f t="shared" si="107"/>
        <v>8.3384999999999998</v>
      </c>
    </row>
    <row r="76" spans="2:37" x14ac:dyDescent="0.3">
      <c r="B76" s="66" t="s">
        <v>173</v>
      </c>
      <c r="C76" s="67">
        <v>0.11998601638588</v>
      </c>
      <c r="H76" s="14">
        <v>5000</v>
      </c>
      <c r="I76" s="3">
        <f t="shared" si="82"/>
        <v>13.5</v>
      </c>
      <c r="J76" s="3">
        <f t="shared" si="108"/>
        <v>10066.950000000001</v>
      </c>
      <c r="K76" s="3">
        <f t="shared" si="109"/>
        <v>19.22645825230747</v>
      </c>
      <c r="L76" s="3">
        <f>((($H22/$F$54)*($C$58))/(60))*2.24*0.44704</f>
        <v>11.622268947519549</v>
      </c>
      <c r="M76" s="3">
        <f t="shared" ref="M76" si="127">L76*2.237</f>
        <v>25.999015635601232</v>
      </c>
      <c r="N76" s="3">
        <f>J22/L76</f>
        <v>866.17768401827527</v>
      </c>
      <c r="O76" s="3">
        <f t="shared" si="85"/>
        <v>120.16517354680477</v>
      </c>
      <c r="P76" s="3">
        <f t="shared" si="86"/>
        <v>111.31014600000002</v>
      </c>
      <c r="Q76" s="3">
        <f t="shared" si="87"/>
        <v>278.27536500000002</v>
      </c>
      <c r="R76" s="3">
        <f t="shared" si="88"/>
        <v>556.55073000000004</v>
      </c>
      <c r="S76" s="3">
        <f t="shared" si="89"/>
        <v>72.351594900000009</v>
      </c>
      <c r="T76" s="3">
        <f t="shared" si="90"/>
        <v>0</v>
      </c>
      <c r="U76" s="3">
        <f t="shared" si="91"/>
        <v>231.47531954680477</v>
      </c>
      <c r="V76" s="3">
        <f t="shared" si="92"/>
        <v>398.44053854680476</v>
      </c>
      <c r="W76" s="3">
        <f t="shared" si="93"/>
        <v>676.71590354680484</v>
      </c>
      <c r="X76" s="3">
        <f t="shared" si="94"/>
        <v>192.51676844680478</v>
      </c>
      <c r="Y76" s="3">
        <f t="shared" si="95"/>
        <v>634.70236447147045</v>
      </c>
      <c r="Z76" s="3">
        <f t="shared" si="96"/>
        <v>467.73714547147051</v>
      </c>
      <c r="AA76" s="3">
        <f t="shared" si="97"/>
        <v>189.46178047147043</v>
      </c>
      <c r="AB76" s="3">
        <f t="shared" si="98"/>
        <v>673.66091557147047</v>
      </c>
      <c r="AC76" s="3">
        <f t="shared" si="99"/>
        <v>1.4802698869728572</v>
      </c>
      <c r="AD76" s="3">
        <f t="shared" si="100"/>
        <v>2.0334490612763663</v>
      </c>
      <c r="AE76" s="3">
        <f t="shared" si="101"/>
        <v>2.3693106315311026</v>
      </c>
      <c r="AF76" s="3">
        <f t="shared" si="102"/>
        <v>1.820744142072267</v>
      </c>
      <c r="AG76" s="3">
        <f t="shared" si="103"/>
        <v>3.1722049748014709</v>
      </c>
      <c r="AH76" s="3">
        <f t="shared" si="104"/>
        <v>5.8860000000000001</v>
      </c>
      <c r="AI76" s="3">
        <f t="shared" si="105"/>
        <v>6.6708000000000007</v>
      </c>
      <c r="AJ76" s="3">
        <f t="shared" si="106"/>
        <v>5.3955000000000011</v>
      </c>
      <c r="AK76" s="3">
        <f t="shared" si="107"/>
        <v>8.3384999999999998</v>
      </c>
    </row>
    <row r="77" spans="2:37" x14ac:dyDescent="0.3">
      <c r="B77" s="66" t="s">
        <v>174</v>
      </c>
      <c r="C77" s="67">
        <v>2.6393232193628002E-2</v>
      </c>
      <c r="H77" s="14">
        <v>5250</v>
      </c>
      <c r="I77" s="3">
        <f t="shared" si="82"/>
        <v>14.25</v>
      </c>
      <c r="J77" s="3">
        <f t="shared" si="108"/>
        <v>10626.225</v>
      </c>
      <c r="K77" s="3">
        <f t="shared" si="109"/>
        <v>19.328185544647724</v>
      </c>
      <c r="L77" s="3">
        <f>((($H23/$F$54)*($C$58))/(60))*2.24*0.44704</f>
        <v>12.203382394895529</v>
      </c>
      <c r="M77" s="3">
        <f t="shared" ref="M77" si="128">L77*2.237</f>
        <v>27.298966417381301</v>
      </c>
      <c r="N77" s="3">
        <f>J23/L77</f>
        <v>870.76063472736644</v>
      </c>
      <c r="O77" s="3">
        <f t="shared" si="85"/>
        <v>132.48210383535235</v>
      </c>
      <c r="P77" s="3">
        <f t="shared" si="86"/>
        <v>111.31014600000002</v>
      </c>
      <c r="Q77" s="3">
        <f t="shared" si="87"/>
        <v>278.27536500000002</v>
      </c>
      <c r="R77" s="3">
        <f t="shared" si="88"/>
        <v>556.55073000000004</v>
      </c>
      <c r="S77" s="3">
        <f t="shared" si="89"/>
        <v>72.351594900000009</v>
      </c>
      <c r="T77" s="3">
        <f t="shared" si="90"/>
        <v>0</v>
      </c>
      <c r="U77" s="3">
        <f t="shared" si="91"/>
        <v>243.79224983535238</v>
      </c>
      <c r="V77" s="3">
        <f t="shared" si="92"/>
        <v>410.75746883535237</v>
      </c>
      <c r="W77" s="3">
        <f t="shared" si="93"/>
        <v>689.03283383535245</v>
      </c>
      <c r="X77" s="3">
        <f t="shared" si="94"/>
        <v>204.83369873535236</v>
      </c>
      <c r="Y77" s="3">
        <f t="shared" si="95"/>
        <v>626.968384892014</v>
      </c>
      <c r="Z77" s="3">
        <f t="shared" si="96"/>
        <v>460.00316589201407</v>
      </c>
      <c r="AA77" s="3">
        <f t="shared" si="97"/>
        <v>181.72780089201399</v>
      </c>
      <c r="AB77" s="3">
        <f t="shared" si="98"/>
        <v>665.92693599201402</v>
      </c>
      <c r="AC77" s="3">
        <f t="shared" si="99"/>
        <v>1.488102002776946</v>
      </c>
      <c r="AD77" s="3">
        <f t="shared" si="100"/>
        <v>2.0334490612763663</v>
      </c>
      <c r="AE77" s="3">
        <f t="shared" si="101"/>
        <v>2.3693106315311026</v>
      </c>
      <c r="AF77" s="3">
        <f t="shared" si="102"/>
        <v>1.820744142072267</v>
      </c>
      <c r="AG77" s="3">
        <f t="shared" si="103"/>
        <v>3.1722049748014709</v>
      </c>
      <c r="AH77" s="3">
        <f t="shared" si="104"/>
        <v>5.8860000000000001</v>
      </c>
      <c r="AI77" s="3">
        <f t="shared" si="105"/>
        <v>6.6708000000000007</v>
      </c>
      <c r="AJ77" s="3">
        <f t="shared" si="106"/>
        <v>5.3955000000000011</v>
      </c>
      <c r="AK77" s="3">
        <f t="shared" si="107"/>
        <v>8.3384999999999998</v>
      </c>
    </row>
    <row r="78" spans="2:37" x14ac:dyDescent="0.3">
      <c r="B78" s="66" t="s">
        <v>176</v>
      </c>
      <c r="C78" s="66">
        <v>26.07</v>
      </c>
      <c r="H78" s="14">
        <v>5500</v>
      </c>
      <c r="I78" s="3">
        <f t="shared" si="82"/>
        <v>15</v>
      </c>
      <c r="J78" s="3">
        <f t="shared" si="108"/>
        <v>11185.500000000002</v>
      </c>
      <c r="K78" s="3">
        <f t="shared" si="109"/>
        <v>19.420664901320684</v>
      </c>
      <c r="L78" s="3">
        <f>((($H24/$F$54)*($C$58))/(60))*2.24*0.44704</f>
        <v>12.784495842271507</v>
      </c>
      <c r="M78" s="3">
        <f t="shared" ref="M78" si="129">L78*2.237</f>
        <v>28.598917199161363</v>
      </c>
      <c r="N78" s="3">
        <f>J24/L78</f>
        <v>874.92695355381329</v>
      </c>
      <c r="O78" s="3">
        <f t="shared" si="85"/>
        <v>145.39985999163386</v>
      </c>
      <c r="P78" s="3">
        <f t="shared" si="86"/>
        <v>111.31014600000002</v>
      </c>
      <c r="Q78" s="3">
        <f t="shared" si="87"/>
        <v>278.27536500000002</v>
      </c>
      <c r="R78" s="3">
        <f t="shared" si="88"/>
        <v>556.55073000000004</v>
      </c>
      <c r="S78" s="3">
        <f t="shared" si="89"/>
        <v>72.351594900000009</v>
      </c>
      <c r="T78" s="3">
        <f t="shared" si="90"/>
        <v>0</v>
      </c>
      <c r="U78" s="3">
        <f t="shared" si="91"/>
        <v>256.71000599163386</v>
      </c>
      <c r="V78" s="3">
        <f t="shared" si="92"/>
        <v>423.67522499163385</v>
      </c>
      <c r="W78" s="3">
        <f t="shared" si="93"/>
        <v>701.95058999163393</v>
      </c>
      <c r="X78" s="3">
        <f t="shared" si="94"/>
        <v>217.75145489163387</v>
      </c>
      <c r="Y78" s="3">
        <f t="shared" si="95"/>
        <v>618.21694756217948</v>
      </c>
      <c r="Z78" s="3">
        <f t="shared" si="96"/>
        <v>451.25172856217944</v>
      </c>
      <c r="AA78" s="3">
        <f t="shared" si="97"/>
        <v>172.97636356217936</v>
      </c>
      <c r="AB78" s="3">
        <f t="shared" si="98"/>
        <v>657.17549866217939</v>
      </c>
      <c r="AC78" s="3">
        <f t="shared" si="99"/>
        <v>1.495222108053391</v>
      </c>
      <c r="AD78" s="3">
        <f t="shared" si="100"/>
        <v>2.0334490612763663</v>
      </c>
      <c r="AE78" s="3">
        <f t="shared" si="101"/>
        <v>2.3693106315311026</v>
      </c>
      <c r="AF78" s="3">
        <f t="shared" si="102"/>
        <v>1.820744142072267</v>
      </c>
      <c r="AG78" s="3">
        <f t="shared" si="103"/>
        <v>3.1722049748014709</v>
      </c>
      <c r="AH78" s="3">
        <f t="shared" si="104"/>
        <v>5.8860000000000001</v>
      </c>
      <c r="AI78" s="3">
        <f t="shared" si="105"/>
        <v>6.6708000000000007</v>
      </c>
      <c r="AJ78" s="3">
        <f t="shared" si="106"/>
        <v>5.3955000000000011</v>
      </c>
      <c r="AK78" s="3">
        <f t="shared" si="107"/>
        <v>8.3384999999999998</v>
      </c>
    </row>
    <row r="79" spans="2:37" x14ac:dyDescent="0.3">
      <c r="H79" s="14">
        <v>5750</v>
      </c>
      <c r="I79" s="3">
        <f t="shared" si="82"/>
        <v>15.75</v>
      </c>
      <c r="J79" s="3">
        <f t="shared" si="108"/>
        <v>11744.775000000001</v>
      </c>
      <c r="K79" s="3">
        <f t="shared" si="109"/>
        <v>19.505102574804678</v>
      </c>
      <c r="L79" s="3">
        <f>((($H25/$F$54)*($C$58))/(60))*2.24*0.44704</f>
        <v>13.365609289647484</v>
      </c>
      <c r="M79" s="3">
        <f t="shared" ref="M79" si="130">L79*2.237</f>
        <v>29.898867980941422</v>
      </c>
      <c r="N79" s="3">
        <f>J25/L79</f>
        <v>878.730983786656</v>
      </c>
      <c r="O79" s="3">
        <f t="shared" si="85"/>
        <v>158.91844201564939</v>
      </c>
      <c r="P79" s="3">
        <f t="shared" si="86"/>
        <v>111.31014600000002</v>
      </c>
      <c r="Q79" s="3">
        <f t="shared" si="87"/>
        <v>278.27536500000002</v>
      </c>
      <c r="R79" s="3">
        <f t="shared" si="88"/>
        <v>556.55073000000004</v>
      </c>
      <c r="S79" s="3">
        <f t="shared" si="89"/>
        <v>72.351594900000009</v>
      </c>
      <c r="T79" s="3">
        <f t="shared" si="90"/>
        <v>0</v>
      </c>
      <c r="U79" s="3">
        <f t="shared" si="91"/>
        <v>270.22858801564939</v>
      </c>
      <c r="V79" s="3">
        <f t="shared" si="92"/>
        <v>437.19380701564944</v>
      </c>
      <c r="W79" s="3">
        <f t="shared" si="93"/>
        <v>715.46917201564941</v>
      </c>
      <c r="X79" s="3">
        <f t="shared" si="94"/>
        <v>231.2700369156494</v>
      </c>
      <c r="Y79" s="3">
        <f t="shared" si="95"/>
        <v>608.5023957710066</v>
      </c>
      <c r="Z79" s="3">
        <f t="shared" si="96"/>
        <v>441.53717677100656</v>
      </c>
      <c r="AA79" s="3">
        <f t="shared" si="97"/>
        <v>163.26181177100659</v>
      </c>
      <c r="AB79" s="3">
        <f t="shared" si="98"/>
        <v>647.46094687100663</v>
      </c>
      <c r="AC79" s="3">
        <f t="shared" si="99"/>
        <v>1.5017230737405798</v>
      </c>
      <c r="AD79" s="3">
        <f t="shared" si="100"/>
        <v>2.0334490612763663</v>
      </c>
      <c r="AE79" s="3">
        <f t="shared" si="101"/>
        <v>2.3693106315311026</v>
      </c>
      <c r="AF79" s="3">
        <f t="shared" si="102"/>
        <v>1.820744142072267</v>
      </c>
      <c r="AG79" s="3">
        <f t="shared" si="103"/>
        <v>3.1722049748014709</v>
      </c>
      <c r="AH79" s="3">
        <f t="shared" si="104"/>
        <v>5.8860000000000001</v>
      </c>
      <c r="AI79" s="3">
        <f t="shared" si="105"/>
        <v>6.6708000000000007</v>
      </c>
      <c r="AJ79" s="3">
        <f t="shared" si="106"/>
        <v>5.3955000000000011</v>
      </c>
      <c r="AK79" s="3">
        <f t="shared" si="107"/>
        <v>8.3384999999999998</v>
      </c>
    </row>
    <row r="80" spans="2:37" x14ac:dyDescent="0.3">
      <c r="H80" s="14">
        <v>6000</v>
      </c>
      <c r="I80" s="3">
        <f t="shared" si="82"/>
        <v>16.5</v>
      </c>
      <c r="J80" s="3">
        <f t="shared" si="108"/>
        <v>12304.05</v>
      </c>
      <c r="K80" s="3">
        <f t="shared" si="109"/>
        <v>19.582503775498346</v>
      </c>
      <c r="L80" s="3">
        <f>((($H26/$F$54)*($C$58))/(60))*2.24*0.44704</f>
        <v>13.94672273702346</v>
      </c>
      <c r="M80" s="3">
        <f t="shared" ref="M80" si="131">L80*2.237</f>
        <v>31.198818762721483</v>
      </c>
      <c r="N80" s="3">
        <f>J26/L80</f>
        <v>882.21801150009503</v>
      </c>
      <c r="O80" s="3">
        <f t="shared" si="85"/>
        <v>173.03784990739891</v>
      </c>
      <c r="P80" s="3">
        <f t="shared" si="86"/>
        <v>111.31014600000002</v>
      </c>
      <c r="Q80" s="3">
        <f t="shared" si="87"/>
        <v>278.27536500000002</v>
      </c>
      <c r="R80" s="3">
        <f t="shared" si="88"/>
        <v>556.55073000000004</v>
      </c>
      <c r="S80" s="3">
        <f t="shared" si="89"/>
        <v>72.351594900000009</v>
      </c>
      <c r="T80" s="3">
        <f t="shared" si="90"/>
        <v>0</v>
      </c>
      <c r="U80" s="3">
        <f t="shared" si="91"/>
        <v>284.34799590739891</v>
      </c>
      <c r="V80" s="3">
        <f t="shared" si="92"/>
        <v>451.3132149073989</v>
      </c>
      <c r="W80" s="3">
        <f t="shared" si="93"/>
        <v>729.58857990739898</v>
      </c>
      <c r="X80" s="3">
        <f t="shared" si="94"/>
        <v>245.38944480739892</v>
      </c>
      <c r="Y80" s="3">
        <f t="shared" si="95"/>
        <v>597.87001559269606</v>
      </c>
      <c r="Z80" s="3">
        <f t="shared" si="96"/>
        <v>430.90479659269613</v>
      </c>
      <c r="AA80" s="3">
        <f t="shared" si="97"/>
        <v>152.62943159269605</v>
      </c>
      <c r="AB80" s="3">
        <f t="shared" si="98"/>
        <v>636.82856669269609</v>
      </c>
      <c r="AC80" s="3">
        <f t="shared" si="99"/>
        <v>1.5076822922871691</v>
      </c>
      <c r="AD80" s="3">
        <f t="shared" si="100"/>
        <v>2.0334490612763663</v>
      </c>
      <c r="AE80" s="3">
        <f t="shared" si="101"/>
        <v>2.3693106315311026</v>
      </c>
      <c r="AF80" s="3">
        <f t="shared" si="102"/>
        <v>1.820744142072267</v>
      </c>
      <c r="AG80" s="3">
        <f t="shared" si="103"/>
        <v>3.1722049748014709</v>
      </c>
      <c r="AH80" s="3">
        <f t="shared" si="104"/>
        <v>5.8860000000000001</v>
      </c>
      <c r="AI80" s="3">
        <f t="shared" si="105"/>
        <v>6.6708000000000007</v>
      </c>
      <c r="AJ80" s="3">
        <f t="shared" si="106"/>
        <v>5.3955000000000011</v>
      </c>
      <c r="AK80" s="3">
        <f t="shared" si="107"/>
        <v>8.3384999999999998</v>
      </c>
    </row>
    <row r="81" spans="8:37" x14ac:dyDescent="0.3">
      <c r="H81" s="14">
        <v>6250</v>
      </c>
      <c r="I81" s="3">
        <f>I82-0.75</f>
        <v>17.25</v>
      </c>
      <c r="J81" s="3">
        <f t="shared" si="108"/>
        <v>12863.324999999999</v>
      </c>
      <c r="K81" s="3">
        <f t="shared" si="109"/>
        <v>19.653712880136524</v>
      </c>
      <c r="L81" s="3">
        <f>((($H27/$F$54)*($C$58))/(60))*2.24*0.44704</f>
        <v>14.527836184399442</v>
      </c>
      <c r="M81" s="3">
        <f t="shared" ref="M81" si="132">L81*2.237</f>
        <v>32.498769544501556</v>
      </c>
      <c r="N81" s="3">
        <f>J27/L81</f>
        <v>885.42607699645873</v>
      </c>
      <c r="O81" s="3">
        <f t="shared" si="85"/>
        <v>187.75808366688261</v>
      </c>
      <c r="P81" s="3">
        <f t="shared" si="86"/>
        <v>111.31014600000002</v>
      </c>
      <c r="Q81" s="3">
        <f t="shared" si="87"/>
        <v>278.27536500000002</v>
      </c>
      <c r="R81" s="3">
        <f t="shared" si="88"/>
        <v>556.55073000000004</v>
      </c>
      <c r="S81" s="3">
        <f t="shared" si="89"/>
        <v>72.351594900000009</v>
      </c>
      <c r="T81" s="3">
        <f t="shared" si="90"/>
        <v>0</v>
      </c>
      <c r="U81" s="3">
        <f t="shared" si="91"/>
        <v>299.06822966688264</v>
      </c>
      <c r="V81" s="3">
        <f t="shared" si="92"/>
        <v>466.03344866688263</v>
      </c>
      <c r="W81" s="3">
        <f t="shared" si="93"/>
        <v>744.30881366688266</v>
      </c>
      <c r="X81" s="3">
        <f t="shared" si="94"/>
        <v>260.10967856688262</v>
      </c>
      <c r="Y81" s="3">
        <f t="shared" si="95"/>
        <v>586.35784732957609</v>
      </c>
      <c r="Z81" s="3">
        <f t="shared" si="96"/>
        <v>419.3926283295761</v>
      </c>
      <c r="AA81" s="3">
        <f t="shared" si="97"/>
        <v>141.11726332957608</v>
      </c>
      <c r="AB81" s="3">
        <f t="shared" si="98"/>
        <v>625.31639842957611</v>
      </c>
      <c r="AC81" s="3">
        <f t="shared" si="99"/>
        <v>1.5131647733500311</v>
      </c>
      <c r="AD81" s="3">
        <f t="shared" si="100"/>
        <v>2.0334490612763663</v>
      </c>
      <c r="AE81" s="3">
        <f t="shared" si="101"/>
        <v>2.3693106315311026</v>
      </c>
      <c r="AF81" s="3">
        <f t="shared" si="102"/>
        <v>1.820744142072267</v>
      </c>
      <c r="AG81" s="3">
        <f t="shared" si="103"/>
        <v>3.1722049748014709</v>
      </c>
      <c r="AH81" s="3">
        <f t="shared" si="104"/>
        <v>5.8860000000000001</v>
      </c>
      <c r="AI81" s="3">
        <f t="shared" si="105"/>
        <v>6.6708000000000007</v>
      </c>
      <c r="AJ81" s="3">
        <f t="shared" si="106"/>
        <v>5.3955000000000011</v>
      </c>
      <c r="AK81" s="3">
        <f t="shared" si="107"/>
        <v>8.3384999999999998</v>
      </c>
    </row>
    <row r="82" spans="8:37" x14ac:dyDescent="0.3">
      <c r="H82" s="14">
        <v>6500</v>
      </c>
      <c r="I82" s="3">
        <v>18</v>
      </c>
      <c r="J82" s="3">
        <f t="shared" si="108"/>
        <v>13422.6</v>
      </c>
      <c r="K82" s="3">
        <f t="shared" si="109"/>
        <v>19.719444361340994</v>
      </c>
      <c r="L82" s="3">
        <f>((($H28/$F$54)*($C$58))/(60))*2.24*0.44704</f>
        <v>15.108949631775417</v>
      </c>
      <c r="M82" s="3">
        <f t="shared" ref="M82" si="133">L82*2.237</f>
        <v>33.798720326281611</v>
      </c>
      <c r="N82" s="3">
        <f>J28/L82</f>
        <v>888.38736822387182</v>
      </c>
      <c r="O82" s="3">
        <f t="shared" si="85"/>
        <v>203.07914329410013</v>
      </c>
      <c r="P82" s="3">
        <f t="shared" si="86"/>
        <v>111.31014600000002</v>
      </c>
      <c r="Q82" s="3">
        <f t="shared" si="87"/>
        <v>278.27536500000002</v>
      </c>
      <c r="R82" s="3">
        <f t="shared" si="88"/>
        <v>556.55073000000004</v>
      </c>
      <c r="S82" s="3">
        <f t="shared" si="89"/>
        <v>72.351594900000009</v>
      </c>
      <c r="T82" s="3">
        <f t="shared" si="90"/>
        <v>0</v>
      </c>
      <c r="U82" s="3">
        <f t="shared" si="91"/>
        <v>314.38928929410014</v>
      </c>
      <c r="V82" s="3">
        <f t="shared" si="92"/>
        <v>481.35450829410013</v>
      </c>
      <c r="W82" s="3">
        <f t="shared" si="93"/>
        <v>759.62987329410021</v>
      </c>
      <c r="X82" s="3">
        <f t="shared" si="94"/>
        <v>275.43073819410017</v>
      </c>
      <c r="Y82" s="3">
        <f t="shared" si="95"/>
        <v>573.99807892977174</v>
      </c>
      <c r="Z82" s="3">
        <f t="shared" si="96"/>
        <v>407.03285992977169</v>
      </c>
      <c r="AA82" s="3">
        <f t="shared" si="97"/>
        <v>128.75749492977161</v>
      </c>
      <c r="AB82" s="3">
        <f t="shared" si="98"/>
        <v>612.95663002977165</v>
      </c>
      <c r="AC82" s="3">
        <f t="shared" si="99"/>
        <v>1.518225525100366</v>
      </c>
      <c r="AD82" s="3">
        <f t="shared" si="100"/>
        <v>2.0334490612763663</v>
      </c>
      <c r="AE82" s="3">
        <f t="shared" si="101"/>
        <v>2.3693106315311026</v>
      </c>
      <c r="AF82" s="3">
        <f t="shared" si="102"/>
        <v>1.820744142072267</v>
      </c>
      <c r="AG82" s="3">
        <f t="shared" si="103"/>
        <v>3.1722049748014709</v>
      </c>
      <c r="AH82" s="3">
        <f t="shared" si="104"/>
        <v>5.8860000000000001</v>
      </c>
      <c r="AI82" s="3">
        <f t="shared" si="105"/>
        <v>6.6708000000000007</v>
      </c>
      <c r="AJ82" s="3">
        <f t="shared" si="106"/>
        <v>5.3955000000000011</v>
      </c>
      <c r="AK82" s="3">
        <f t="shared" si="107"/>
        <v>8.3384999999999998</v>
      </c>
    </row>
  </sheetData>
  <mergeCells count="38">
    <mergeCell ref="B73:C73"/>
    <mergeCell ref="C3:D3"/>
    <mergeCell ref="C4:D4"/>
    <mergeCell ref="C5:D5"/>
    <mergeCell ref="C6:D6"/>
    <mergeCell ref="C7:D7"/>
    <mergeCell ref="B57:D57"/>
    <mergeCell ref="H30:H31"/>
    <mergeCell ref="I30:I31"/>
    <mergeCell ref="J30:J31"/>
    <mergeCell ref="K30:K31"/>
    <mergeCell ref="H57:H58"/>
    <mergeCell ref="I57:I58"/>
    <mergeCell ref="J57:J58"/>
    <mergeCell ref="K57:K58"/>
    <mergeCell ref="B24:D24"/>
    <mergeCell ref="B15:D15"/>
    <mergeCell ref="B9:D9"/>
    <mergeCell ref="C62:D62"/>
    <mergeCell ref="C61:D61"/>
    <mergeCell ref="B49:F49"/>
    <mergeCell ref="B40:D40"/>
    <mergeCell ref="B30:D30"/>
    <mergeCell ref="L56:AK56"/>
    <mergeCell ref="L29:AK29"/>
    <mergeCell ref="L2:AK2"/>
    <mergeCell ref="H3:H4"/>
    <mergeCell ref="B65:D65"/>
    <mergeCell ref="K3:K4"/>
    <mergeCell ref="J3:J4"/>
    <mergeCell ref="I3:I4"/>
    <mergeCell ref="B2:D2"/>
    <mergeCell ref="C60:D60"/>
    <mergeCell ref="E60:F60"/>
    <mergeCell ref="E63:F63"/>
    <mergeCell ref="E62:F62"/>
    <mergeCell ref="E61:F61"/>
    <mergeCell ref="C63:D6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5A6BE-0913-4EBA-83EB-A017775C9946}">
  <dimension ref="A1:AM72"/>
  <sheetViews>
    <sheetView zoomScale="60" zoomScaleNormal="60" workbookViewId="0">
      <selection activeCell="AG66" sqref="AG66"/>
    </sheetView>
  </sheetViews>
  <sheetFormatPr defaultRowHeight="15.6" x14ac:dyDescent="0.3"/>
  <cols>
    <col min="2" max="2" width="13.09765625" bestFit="1" customWidth="1"/>
    <col min="7" max="7" width="13.09765625" bestFit="1" customWidth="1"/>
  </cols>
  <sheetData>
    <row r="1" spans="1:39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</row>
    <row r="2" spans="1:39" x14ac:dyDescent="0.3">
      <c r="A2" s="63"/>
      <c r="B2" s="22"/>
      <c r="C2" s="22" t="s">
        <v>100</v>
      </c>
      <c r="D2" s="22" t="s">
        <v>101</v>
      </c>
      <c r="E2" s="22" t="s">
        <v>133</v>
      </c>
      <c r="F2" s="63"/>
      <c r="G2" s="64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</row>
    <row r="3" spans="1:39" x14ac:dyDescent="0.3">
      <c r="A3" s="63"/>
      <c r="B3" s="23" t="s">
        <v>102</v>
      </c>
      <c r="C3" s="25" t="s">
        <v>137</v>
      </c>
      <c r="D3" s="23">
        <v>166.45</v>
      </c>
      <c r="E3" s="23" t="s">
        <v>134</v>
      </c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</row>
    <row r="4" spans="1:39" x14ac:dyDescent="0.3">
      <c r="A4" s="63"/>
      <c r="B4" s="24" t="s">
        <v>117</v>
      </c>
      <c r="C4" s="25" t="s">
        <v>137</v>
      </c>
      <c r="D4" s="24">
        <v>12.71</v>
      </c>
      <c r="E4" s="24">
        <v>17.38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</row>
    <row r="5" spans="1:39" x14ac:dyDescent="0.3">
      <c r="A5" s="63"/>
      <c r="B5" s="23" t="s">
        <v>103</v>
      </c>
      <c r="C5" s="25" t="s">
        <v>137</v>
      </c>
      <c r="D5" s="23">
        <v>47.27</v>
      </c>
      <c r="E5" s="23" t="s">
        <v>134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</row>
    <row r="6" spans="1:39" x14ac:dyDescent="0.3">
      <c r="A6" s="63"/>
      <c r="B6" s="24" t="s">
        <v>118</v>
      </c>
      <c r="C6" s="25" t="s">
        <v>137</v>
      </c>
      <c r="D6" s="24">
        <v>17.13</v>
      </c>
      <c r="E6" s="24">
        <v>5.45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</row>
    <row r="7" spans="1:39" x14ac:dyDescent="0.3">
      <c r="A7" s="63"/>
      <c r="B7" s="23" t="s">
        <v>104</v>
      </c>
      <c r="C7" s="25" t="s">
        <v>137</v>
      </c>
      <c r="D7" s="23">
        <v>57.6</v>
      </c>
      <c r="E7" s="23" t="s">
        <v>134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</row>
    <row r="8" spans="1:39" x14ac:dyDescent="0.3">
      <c r="A8" s="63"/>
      <c r="B8" s="24" t="s">
        <v>119</v>
      </c>
      <c r="C8" s="25" t="s">
        <v>137</v>
      </c>
      <c r="D8" s="24">
        <v>13.89</v>
      </c>
      <c r="E8" s="24">
        <v>16.23</v>
      </c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</row>
    <row r="9" spans="1:39" x14ac:dyDescent="0.3">
      <c r="A9" s="63"/>
      <c r="B9" s="23" t="s">
        <v>105</v>
      </c>
      <c r="C9" s="25" t="s">
        <v>137</v>
      </c>
      <c r="D9" s="23">
        <v>16.29</v>
      </c>
      <c r="E9" s="23" t="s">
        <v>134</v>
      </c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</row>
    <row r="10" spans="1:39" x14ac:dyDescent="0.3">
      <c r="A10" s="63"/>
      <c r="B10" s="24" t="s">
        <v>120</v>
      </c>
      <c r="C10" s="26" t="s">
        <v>138</v>
      </c>
      <c r="D10" s="24">
        <v>13.97</v>
      </c>
      <c r="E10" s="24">
        <v>8.89</v>
      </c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</row>
    <row r="11" spans="1:39" x14ac:dyDescent="0.3">
      <c r="A11" s="63"/>
      <c r="B11" s="23" t="s">
        <v>106</v>
      </c>
      <c r="C11" s="26" t="s">
        <v>138</v>
      </c>
      <c r="D11" s="23">
        <v>30.01</v>
      </c>
      <c r="E11" s="23" t="s">
        <v>134</v>
      </c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</row>
    <row r="12" spans="1:39" x14ac:dyDescent="0.3">
      <c r="A12" s="63"/>
      <c r="B12" s="24" t="s">
        <v>121</v>
      </c>
      <c r="C12" s="26" t="s">
        <v>138</v>
      </c>
      <c r="D12" s="24">
        <v>12.1</v>
      </c>
      <c r="E12" s="24">
        <v>7.68</v>
      </c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</row>
    <row r="13" spans="1:39" x14ac:dyDescent="0.3">
      <c r="A13" s="63"/>
      <c r="B13" s="23" t="s">
        <v>107</v>
      </c>
      <c r="C13" s="26" t="s">
        <v>138</v>
      </c>
      <c r="D13" s="23">
        <v>16.260000000000002</v>
      </c>
      <c r="E13" s="23" t="s">
        <v>134</v>
      </c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</row>
    <row r="14" spans="1:39" x14ac:dyDescent="0.3">
      <c r="A14" s="63"/>
      <c r="B14" s="24" t="s">
        <v>122</v>
      </c>
      <c r="C14" s="26" t="s">
        <v>138</v>
      </c>
      <c r="D14" s="24">
        <v>11.1</v>
      </c>
      <c r="E14" s="24">
        <v>6.74</v>
      </c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</row>
    <row r="15" spans="1:39" x14ac:dyDescent="0.3">
      <c r="A15" s="63"/>
      <c r="B15" s="23" t="s">
        <v>108</v>
      </c>
      <c r="C15" s="26" t="s">
        <v>138</v>
      </c>
      <c r="D15" s="23">
        <v>62.16</v>
      </c>
      <c r="E15" s="23" t="s">
        <v>134</v>
      </c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</row>
    <row r="16" spans="1:39" x14ac:dyDescent="0.3">
      <c r="A16" s="63"/>
      <c r="B16" s="24" t="s">
        <v>123</v>
      </c>
      <c r="C16" s="26" t="s">
        <v>138</v>
      </c>
      <c r="D16" s="24">
        <v>10.6</v>
      </c>
      <c r="E16" s="24">
        <v>7.17</v>
      </c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</row>
    <row r="17" spans="1:39" x14ac:dyDescent="0.3">
      <c r="A17" s="63"/>
      <c r="B17" s="23" t="s">
        <v>109</v>
      </c>
      <c r="C17" s="26" t="s">
        <v>138</v>
      </c>
      <c r="D17" s="23">
        <v>38.61</v>
      </c>
      <c r="E17" s="23" t="s">
        <v>134</v>
      </c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</row>
    <row r="18" spans="1:39" x14ac:dyDescent="0.3">
      <c r="A18" s="63"/>
      <c r="B18" s="24" t="s">
        <v>124</v>
      </c>
      <c r="C18" s="26" t="s">
        <v>138</v>
      </c>
      <c r="D18" s="24">
        <v>11.26</v>
      </c>
      <c r="E18" s="24">
        <v>4.7300000000000004</v>
      </c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</row>
    <row r="19" spans="1:39" x14ac:dyDescent="0.3">
      <c r="A19" s="63"/>
      <c r="B19" s="23" t="s">
        <v>110</v>
      </c>
      <c r="C19" s="26" t="s">
        <v>138</v>
      </c>
      <c r="D19" s="23">
        <v>23.1</v>
      </c>
      <c r="E19" s="23" t="s">
        <v>134</v>
      </c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</row>
    <row r="20" spans="1:39" x14ac:dyDescent="0.3">
      <c r="A20" s="63"/>
      <c r="B20" s="24" t="s">
        <v>125</v>
      </c>
      <c r="C20" s="26" t="s">
        <v>138</v>
      </c>
      <c r="D20" s="24">
        <v>14.87</v>
      </c>
      <c r="E20" s="24">
        <v>11.76</v>
      </c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</row>
    <row r="21" spans="1:39" x14ac:dyDescent="0.3">
      <c r="A21" s="63"/>
      <c r="B21" s="23" t="s">
        <v>111</v>
      </c>
      <c r="C21" s="27" t="s">
        <v>139</v>
      </c>
      <c r="D21" s="23">
        <v>123.24</v>
      </c>
      <c r="E21" s="23" t="s">
        <v>134</v>
      </c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</row>
    <row r="22" spans="1:39" x14ac:dyDescent="0.3">
      <c r="A22" s="63"/>
      <c r="B22" s="24" t="s">
        <v>126</v>
      </c>
      <c r="C22" s="27" t="s">
        <v>139</v>
      </c>
      <c r="D22" s="24">
        <v>18.47</v>
      </c>
      <c r="E22" s="24">
        <v>4.3099999999999996</v>
      </c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</row>
    <row r="23" spans="1:39" x14ac:dyDescent="0.3">
      <c r="A23" s="63"/>
      <c r="B23" s="23" t="s">
        <v>112</v>
      </c>
      <c r="C23" s="27" t="s">
        <v>139</v>
      </c>
      <c r="D23" s="23">
        <v>40.85</v>
      </c>
      <c r="E23" s="23" t="s">
        <v>134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</row>
    <row r="24" spans="1:39" x14ac:dyDescent="0.3">
      <c r="A24" s="63"/>
      <c r="B24" s="24" t="s">
        <v>127</v>
      </c>
      <c r="C24" s="27" t="s">
        <v>139</v>
      </c>
      <c r="D24" s="24">
        <v>13.6</v>
      </c>
      <c r="E24" s="24">
        <v>12.52</v>
      </c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</row>
    <row r="25" spans="1:39" x14ac:dyDescent="0.3">
      <c r="A25" s="63"/>
      <c r="B25" s="23" t="s">
        <v>113</v>
      </c>
      <c r="C25" s="27" t="s">
        <v>139</v>
      </c>
      <c r="D25" s="23">
        <v>48.07</v>
      </c>
      <c r="E25" s="23" t="s">
        <v>134</v>
      </c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</row>
    <row r="26" spans="1:39" x14ac:dyDescent="0.3">
      <c r="A26" s="63"/>
      <c r="B26" s="24" t="s">
        <v>128</v>
      </c>
      <c r="C26" s="28" t="s">
        <v>140</v>
      </c>
      <c r="D26" s="24">
        <v>44.98</v>
      </c>
      <c r="E26" s="24">
        <v>16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</row>
    <row r="27" spans="1:39" x14ac:dyDescent="0.3">
      <c r="A27" s="63"/>
      <c r="B27" s="24" t="s">
        <v>129</v>
      </c>
      <c r="C27" s="28" t="s">
        <v>140</v>
      </c>
      <c r="D27" s="24">
        <v>54.61</v>
      </c>
      <c r="E27" s="24">
        <v>9.5</v>
      </c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</row>
    <row r="28" spans="1:39" x14ac:dyDescent="0.3">
      <c r="A28" s="63"/>
      <c r="B28" s="23" t="s">
        <v>114</v>
      </c>
      <c r="C28" s="28" t="s">
        <v>140</v>
      </c>
      <c r="D28" s="23">
        <v>39.64</v>
      </c>
      <c r="E28" s="23" t="s">
        <v>134</v>
      </c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</row>
    <row r="29" spans="1:39" x14ac:dyDescent="0.3">
      <c r="A29" s="63"/>
      <c r="B29" s="24" t="s">
        <v>130</v>
      </c>
      <c r="C29" s="28" t="s">
        <v>140</v>
      </c>
      <c r="D29" s="24">
        <v>14.91</v>
      </c>
      <c r="E29" s="24">
        <v>4.16</v>
      </c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</row>
    <row r="30" spans="1:39" x14ac:dyDescent="0.3">
      <c r="A30" s="63"/>
      <c r="B30" s="23" t="s">
        <v>115</v>
      </c>
      <c r="C30" s="28" t="s">
        <v>140</v>
      </c>
      <c r="D30" s="23">
        <v>16.920000000000002</v>
      </c>
      <c r="E30" s="23" t="s">
        <v>134</v>
      </c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</row>
    <row r="31" spans="1:39" x14ac:dyDescent="0.3">
      <c r="A31" s="63"/>
      <c r="B31" s="24" t="s">
        <v>131</v>
      </c>
      <c r="C31" s="28" t="s">
        <v>140</v>
      </c>
      <c r="D31" s="24">
        <v>6.53</v>
      </c>
      <c r="E31" s="24">
        <v>6.41</v>
      </c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</row>
    <row r="32" spans="1:39" x14ac:dyDescent="0.3">
      <c r="A32" s="63"/>
      <c r="B32" s="23" t="s">
        <v>116</v>
      </c>
      <c r="C32" s="28" t="s">
        <v>140</v>
      </c>
      <c r="D32" s="23">
        <v>28.18</v>
      </c>
      <c r="E32" s="23" t="s">
        <v>134</v>
      </c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</row>
    <row r="33" spans="1:39" x14ac:dyDescent="0.3">
      <c r="A33" s="63"/>
      <c r="B33" s="24" t="s">
        <v>132</v>
      </c>
      <c r="C33" s="28" t="s">
        <v>140</v>
      </c>
      <c r="D33" s="24">
        <v>10.07</v>
      </c>
      <c r="E33" s="24">
        <v>9.2100000000000009</v>
      </c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</row>
    <row r="34" spans="1:39" x14ac:dyDescent="0.3">
      <c r="A34" s="63"/>
      <c r="B34" s="23" t="s">
        <v>135</v>
      </c>
      <c r="C34" s="28" t="s">
        <v>140</v>
      </c>
      <c r="D34" s="23">
        <v>30.45</v>
      </c>
      <c r="E34" s="23" t="s">
        <v>134</v>
      </c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</row>
    <row r="35" spans="1:39" x14ac:dyDescent="0.3">
      <c r="A35" s="63"/>
      <c r="B35" s="24" t="s">
        <v>136</v>
      </c>
      <c r="C35" s="25" t="s">
        <v>137</v>
      </c>
      <c r="D35" s="24">
        <v>14.46</v>
      </c>
      <c r="E35" s="24">
        <v>9.25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</row>
    <row r="36" spans="1:39" x14ac:dyDescent="0.3">
      <c r="A36" s="63"/>
      <c r="B36" s="22" t="s">
        <v>141</v>
      </c>
      <c r="C36" s="30"/>
      <c r="D36" s="29">
        <f>SUM(D3:D35)</f>
        <v>1080.3600000000001</v>
      </c>
      <c r="E36" s="30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</row>
    <row r="37" spans="1:39" x14ac:dyDescent="0.3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</row>
    <row r="38" spans="1:39" x14ac:dyDescent="0.3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</row>
    <row r="39" spans="1:39" x14ac:dyDescent="0.3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</row>
    <row r="40" spans="1:39" x14ac:dyDescent="0.3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</row>
    <row r="41" spans="1:39" x14ac:dyDescent="0.3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</row>
    <row r="42" spans="1:39" x14ac:dyDescent="0.3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</row>
    <row r="43" spans="1:39" x14ac:dyDescent="0.3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</row>
    <row r="44" spans="1:39" x14ac:dyDescent="0.3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</row>
    <row r="45" spans="1:39" x14ac:dyDescent="0.3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</row>
    <row r="46" spans="1:39" x14ac:dyDescent="0.3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</row>
    <row r="47" spans="1:39" x14ac:dyDescent="0.3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</row>
    <row r="48" spans="1:39" x14ac:dyDescent="0.3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</row>
    <row r="49" spans="1:39" x14ac:dyDescent="0.3">
      <c r="A49" s="63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</row>
    <row r="50" spans="1:39" x14ac:dyDescent="0.3">
      <c r="A50" s="63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</row>
    <row r="51" spans="1:39" x14ac:dyDescent="0.3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</row>
    <row r="52" spans="1:39" x14ac:dyDescent="0.3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</row>
    <row r="53" spans="1:39" x14ac:dyDescent="0.3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</row>
    <row r="54" spans="1:39" x14ac:dyDescent="0.3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</row>
    <row r="55" spans="1:39" x14ac:dyDescent="0.3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</row>
    <row r="56" spans="1:39" x14ac:dyDescent="0.3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</row>
    <row r="57" spans="1:39" x14ac:dyDescent="0.3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</row>
    <row r="58" spans="1:39" x14ac:dyDescent="0.3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</row>
    <row r="59" spans="1:39" x14ac:dyDescent="0.3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</row>
    <row r="60" spans="1:39" x14ac:dyDescent="0.3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</row>
    <row r="61" spans="1:39" x14ac:dyDescent="0.3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</row>
    <row r="62" spans="1:39" x14ac:dyDescent="0.3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</row>
    <row r="63" spans="1:39" x14ac:dyDescent="0.3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</row>
    <row r="64" spans="1:39" x14ac:dyDescent="0.3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</row>
    <row r="65" spans="1:39" x14ac:dyDescent="0.3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</row>
    <row r="66" spans="1:39" x14ac:dyDescent="0.3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</row>
    <row r="67" spans="1:39" x14ac:dyDescent="0.3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</row>
    <row r="68" spans="1:39" x14ac:dyDescent="0.3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</row>
    <row r="69" spans="1:39" x14ac:dyDescent="0.3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</row>
    <row r="70" spans="1:39" x14ac:dyDescent="0.3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</row>
    <row r="71" spans="1:39" x14ac:dyDescent="0.3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</row>
    <row r="72" spans="1:39" x14ac:dyDescent="0.3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1F61-B5C7-4C45-BC68-2423F81768E5}">
  <dimension ref="B2:AD26"/>
  <sheetViews>
    <sheetView topLeftCell="B1" zoomScale="70" zoomScaleNormal="70" workbookViewId="0">
      <selection activeCell="Y29" sqref="Y29"/>
    </sheetView>
  </sheetViews>
  <sheetFormatPr defaultRowHeight="15.6" x14ac:dyDescent="0.3"/>
  <cols>
    <col min="2" max="2" width="12.09765625" bestFit="1" customWidth="1"/>
    <col min="31" max="31" width="1.796875" customWidth="1"/>
  </cols>
  <sheetData>
    <row r="2" spans="2:30" x14ac:dyDescent="0.3">
      <c r="B2" s="50" t="s">
        <v>163</v>
      </c>
      <c r="C2" s="24" t="s">
        <v>62</v>
      </c>
      <c r="D2" s="23">
        <v>500</v>
      </c>
      <c r="E2" s="23">
        <v>750</v>
      </c>
      <c r="F2" s="23">
        <v>1000</v>
      </c>
      <c r="G2" s="23">
        <v>1250</v>
      </c>
      <c r="H2" s="23">
        <v>1500</v>
      </c>
      <c r="I2" s="23">
        <v>1750</v>
      </c>
      <c r="J2" s="23">
        <v>2000</v>
      </c>
      <c r="K2" s="23">
        <v>2250</v>
      </c>
      <c r="L2" s="23">
        <v>2500</v>
      </c>
      <c r="M2" s="23">
        <v>2750</v>
      </c>
      <c r="N2" s="23">
        <v>3000</v>
      </c>
      <c r="O2" s="23">
        <v>3250</v>
      </c>
      <c r="P2" s="23">
        <v>3500</v>
      </c>
      <c r="Q2" s="23">
        <v>3750</v>
      </c>
      <c r="R2" s="23">
        <v>4000</v>
      </c>
      <c r="S2" s="23">
        <v>4250</v>
      </c>
      <c r="T2" s="23">
        <v>4500</v>
      </c>
      <c r="U2" s="23">
        <v>4750</v>
      </c>
      <c r="V2" s="23">
        <v>5000</v>
      </c>
      <c r="W2" s="23">
        <v>5250</v>
      </c>
      <c r="X2" s="23">
        <v>5500</v>
      </c>
      <c r="Y2" s="23">
        <v>5750</v>
      </c>
      <c r="Z2" s="23">
        <v>6000</v>
      </c>
      <c r="AA2" s="23">
        <v>6250</v>
      </c>
      <c r="AB2" s="23">
        <v>6500</v>
      </c>
      <c r="AC2" s="23">
        <v>6750</v>
      </c>
      <c r="AD2" s="23">
        <v>7000</v>
      </c>
    </row>
    <row r="3" spans="2:30" x14ac:dyDescent="0.3">
      <c r="B3" s="51" t="s">
        <v>162</v>
      </c>
      <c r="C3" s="51"/>
      <c r="D3" s="52">
        <v>0</v>
      </c>
      <c r="E3" s="52">
        <v>0</v>
      </c>
      <c r="F3" s="52">
        <v>0</v>
      </c>
      <c r="G3" s="52">
        <v>0</v>
      </c>
      <c r="H3" s="52">
        <v>0</v>
      </c>
      <c r="I3" s="52">
        <v>0</v>
      </c>
      <c r="J3" s="52">
        <v>0</v>
      </c>
      <c r="K3" s="52">
        <v>0</v>
      </c>
      <c r="L3" s="52">
        <v>0</v>
      </c>
      <c r="M3" s="52">
        <v>0</v>
      </c>
      <c r="N3" s="52">
        <v>0</v>
      </c>
      <c r="O3" s="52">
        <v>0</v>
      </c>
      <c r="P3" s="52">
        <v>0</v>
      </c>
      <c r="Q3" s="52">
        <v>0</v>
      </c>
      <c r="R3" s="52">
        <v>0</v>
      </c>
      <c r="S3" s="52">
        <v>0</v>
      </c>
      <c r="T3" s="52">
        <v>0</v>
      </c>
      <c r="U3" s="52">
        <v>0</v>
      </c>
      <c r="V3" s="52">
        <v>0</v>
      </c>
      <c r="W3" s="52">
        <v>0</v>
      </c>
      <c r="X3" s="52">
        <v>0</v>
      </c>
      <c r="Y3" s="52">
        <v>0</v>
      </c>
      <c r="Z3" s="52">
        <v>0</v>
      </c>
      <c r="AA3" s="52">
        <v>0</v>
      </c>
      <c r="AB3" s="52">
        <v>0</v>
      </c>
      <c r="AC3" s="52">
        <v>0</v>
      </c>
      <c r="AD3" s="52">
        <v>0</v>
      </c>
    </row>
    <row r="4" spans="2:30" x14ac:dyDescent="0.3">
      <c r="B4" s="53">
        <v>22</v>
      </c>
      <c r="C4" s="53"/>
      <c r="D4" s="52">
        <v>0</v>
      </c>
      <c r="E4" s="52">
        <v>0</v>
      </c>
      <c r="F4" s="52">
        <v>0</v>
      </c>
      <c r="G4" s="52">
        <v>0</v>
      </c>
      <c r="H4" s="52">
        <v>0</v>
      </c>
      <c r="I4" s="52">
        <v>0</v>
      </c>
      <c r="J4" s="52">
        <v>0</v>
      </c>
      <c r="K4" s="52">
        <v>0</v>
      </c>
      <c r="L4" s="52">
        <v>0</v>
      </c>
      <c r="M4" s="52">
        <v>0</v>
      </c>
      <c r="N4" s="52">
        <v>0</v>
      </c>
      <c r="O4" s="52">
        <v>0</v>
      </c>
      <c r="P4" s="52">
        <v>0</v>
      </c>
      <c r="Q4" s="52">
        <v>0</v>
      </c>
      <c r="R4" s="52">
        <v>0</v>
      </c>
      <c r="S4" s="52">
        <v>0</v>
      </c>
      <c r="T4" s="52">
        <v>0</v>
      </c>
      <c r="U4" s="52">
        <v>0</v>
      </c>
      <c r="V4" s="52">
        <v>0</v>
      </c>
      <c r="W4" s="52">
        <v>0</v>
      </c>
      <c r="X4" s="54">
        <v>497.30185104000009</v>
      </c>
      <c r="Y4" s="52">
        <v>0</v>
      </c>
      <c r="Z4" s="52">
        <v>0</v>
      </c>
      <c r="AA4" s="52">
        <v>0</v>
      </c>
      <c r="AB4" s="52">
        <v>0</v>
      </c>
      <c r="AC4" s="52">
        <v>0</v>
      </c>
      <c r="AD4" s="52">
        <v>0</v>
      </c>
    </row>
    <row r="5" spans="2:30" x14ac:dyDescent="0.3">
      <c r="B5" s="53">
        <v>21</v>
      </c>
      <c r="C5" s="53"/>
      <c r="D5" s="52">
        <v>0</v>
      </c>
      <c r="E5" s="52">
        <v>0</v>
      </c>
      <c r="F5" s="52">
        <v>0</v>
      </c>
      <c r="G5" s="52">
        <v>0</v>
      </c>
      <c r="H5" s="52">
        <v>0</v>
      </c>
      <c r="I5" s="52">
        <v>0</v>
      </c>
      <c r="J5" s="52">
        <v>0</v>
      </c>
      <c r="K5" s="52">
        <v>0</v>
      </c>
      <c r="L5" s="52">
        <v>0</v>
      </c>
      <c r="M5" s="52">
        <v>0</v>
      </c>
      <c r="N5" s="52">
        <v>0</v>
      </c>
      <c r="O5" s="52">
        <v>0</v>
      </c>
      <c r="P5" s="52">
        <v>0</v>
      </c>
      <c r="Q5" s="52">
        <v>0</v>
      </c>
      <c r="R5" s="52">
        <v>0</v>
      </c>
      <c r="S5" s="52">
        <v>0</v>
      </c>
      <c r="T5" s="52">
        <v>0</v>
      </c>
      <c r="U5" s="52">
        <v>0</v>
      </c>
      <c r="V5" s="54">
        <v>511.26202608000006</v>
      </c>
      <c r="W5" s="54">
        <v>503.78010608000005</v>
      </c>
      <c r="X5" s="54">
        <v>473.64010188000003</v>
      </c>
      <c r="Y5" s="54">
        <v>499.54048188000007</v>
      </c>
      <c r="Z5" s="52">
        <v>0</v>
      </c>
      <c r="AA5" s="52">
        <v>0</v>
      </c>
      <c r="AB5" s="52">
        <v>0</v>
      </c>
      <c r="AC5" s="52">
        <v>0</v>
      </c>
      <c r="AD5" s="52">
        <v>0</v>
      </c>
    </row>
    <row r="6" spans="2:30" x14ac:dyDescent="0.3">
      <c r="B6" s="53">
        <v>20</v>
      </c>
      <c r="C6" s="53"/>
      <c r="D6" s="52">
        <v>0</v>
      </c>
      <c r="E6" s="52">
        <v>0</v>
      </c>
      <c r="F6" s="52">
        <v>0</v>
      </c>
      <c r="G6" s="52">
        <v>0</v>
      </c>
      <c r="H6" s="52">
        <v>0</v>
      </c>
      <c r="I6" s="52">
        <v>0</v>
      </c>
      <c r="J6" s="52">
        <v>0</v>
      </c>
      <c r="K6" s="52">
        <v>0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  <c r="S6" s="52">
        <v>0</v>
      </c>
      <c r="T6" s="54">
        <v>523.34402495999996</v>
      </c>
      <c r="U6" s="54">
        <v>515.72614495999994</v>
      </c>
      <c r="V6" s="54">
        <v>501.71229455999998</v>
      </c>
      <c r="W6" s="54">
        <v>494.23037455999997</v>
      </c>
      <c r="X6" s="54">
        <v>449.97835272000009</v>
      </c>
      <c r="Y6" s="54">
        <v>475.87873272000013</v>
      </c>
      <c r="Z6" s="54">
        <v>509.84171376000006</v>
      </c>
      <c r="AA6" s="52">
        <v>0</v>
      </c>
      <c r="AB6" s="52">
        <v>0</v>
      </c>
      <c r="AC6" s="52">
        <v>0</v>
      </c>
      <c r="AD6" s="52">
        <v>0</v>
      </c>
    </row>
    <row r="7" spans="2:30" x14ac:dyDescent="0.3">
      <c r="B7" s="53">
        <v>19</v>
      </c>
      <c r="C7" s="53"/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4">
        <v>531.18359392000002</v>
      </c>
      <c r="T7" s="54">
        <v>517.79359392000003</v>
      </c>
      <c r="U7" s="54">
        <v>510.17571392000002</v>
      </c>
      <c r="V7" s="54">
        <v>481.42612320000012</v>
      </c>
      <c r="W7" s="54">
        <v>473.94420320000006</v>
      </c>
      <c r="X7" s="54">
        <v>426.31660356000003</v>
      </c>
      <c r="Y7" s="54">
        <v>452.21698356000002</v>
      </c>
      <c r="Z7" s="54">
        <v>496.76923392000003</v>
      </c>
      <c r="AA7" s="54">
        <v>527.01518392000003</v>
      </c>
      <c r="AB7" s="54">
        <v>548.17145807999998</v>
      </c>
      <c r="AC7" s="52">
        <v>0</v>
      </c>
      <c r="AD7" s="52">
        <v>0</v>
      </c>
    </row>
    <row r="8" spans="2:30" x14ac:dyDescent="0.3">
      <c r="B8" s="53">
        <v>18</v>
      </c>
      <c r="C8" s="53"/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4">
        <v>535.42677137279986</v>
      </c>
      <c r="Q8" s="54">
        <v>535.05340774399997</v>
      </c>
      <c r="R8" s="54">
        <v>533.89024439999992</v>
      </c>
      <c r="S8" s="54">
        <v>521.40025839999998</v>
      </c>
      <c r="T8" s="54">
        <v>508.01025839999994</v>
      </c>
      <c r="U8" s="54">
        <v>500.39237839999993</v>
      </c>
      <c r="V8" s="54">
        <v>464.34499871999998</v>
      </c>
      <c r="W8" s="54">
        <v>456.86307871999998</v>
      </c>
      <c r="X8" s="54">
        <v>402.65485440000015</v>
      </c>
      <c r="Y8" s="54">
        <v>428.55523440000013</v>
      </c>
      <c r="Z8" s="54">
        <v>478.31451791999996</v>
      </c>
      <c r="AA8" s="54">
        <v>508.56046791999995</v>
      </c>
      <c r="AB8" s="54">
        <v>534.66914687999997</v>
      </c>
      <c r="AC8" s="54">
        <v>554.23914688000002</v>
      </c>
      <c r="AD8" s="52">
        <v>0</v>
      </c>
    </row>
    <row r="9" spans="2:30" x14ac:dyDescent="0.3">
      <c r="B9" s="53">
        <v>17</v>
      </c>
      <c r="C9" s="53"/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4">
        <v>549.1276280095999</v>
      </c>
      <c r="P9" s="54">
        <v>539.25301800959994</v>
      </c>
      <c r="Q9" s="54">
        <v>538.03606361600009</v>
      </c>
      <c r="R9" s="54">
        <v>528.49826361600003</v>
      </c>
      <c r="S9" s="54">
        <v>505.65534879999996</v>
      </c>
      <c r="T9" s="54">
        <v>492.26534879999991</v>
      </c>
      <c r="U9" s="54">
        <v>484.6474687999999</v>
      </c>
      <c r="V9" s="54">
        <v>430.81659528000006</v>
      </c>
      <c r="W9" s="54">
        <v>423.33467528000006</v>
      </c>
      <c r="X9" s="54">
        <v>390.82397982000015</v>
      </c>
      <c r="Y9" s="54">
        <v>416.72435982000013</v>
      </c>
      <c r="Z9" s="54">
        <v>439.08773424000009</v>
      </c>
      <c r="AA9" s="54">
        <v>469.33368424000008</v>
      </c>
      <c r="AB9" s="54">
        <v>526.71726671999988</v>
      </c>
      <c r="AC9" s="54">
        <v>546.28726671999993</v>
      </c>
      <c r="AD9" s="54">
        <v>588.10294715999999</v>
      </c>
    </row>
    <row r="10" spans="2:30" x14ac:dyDescent="0.3">
      <c r="B10" s="53">
        <v>16</v>
      </c>
      <c r="C10" s="53"/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4">
        <v>550.89413536000018</v>
      </c>
      <c r="N10" s="54">
        <v>551.04955000000007</v>
      </c>
      <c r="O10" s="54">
        <v>552.9538746464001</v>
      </c>
      <c r="P10" s="54">
        <v>543.07926464640013</v>
      </c>
      <c r="Q10" s="54">
        <v>541.01871948799999</v>
      </c>
      <c r="R10" s="54">
        <v>531.48091948799993</v>
      </c>
      <c r="S10" s="54">
        <v>496.03008532000007</v>
      </c>
      <c r="T10" s="54">
        <v>482.64008532000003</v>
      </c>
      <c r="U10" s="54">
        <v>475.02220532000001</v>
      </c>
      <c r="V10" s="54">
        <v>400.88880815999994</v>
      </c>
      <c r="W10" s="54">
        <v>393.40688815999994</v>
      </c>
      <c r="X10" s="54">
        <v>378.99310524000009</v>
      </c>
      <c r="Y10" s="54">
        <v>404.89348524000013</v>
      </c>
      <c r="Z10" s="54">
        <v>399.86095056000005</v>
      </c>
      <c r="AA10" s="54">
        <v>430.10690056000004</v>
      </c>
      <c r="AB10" s="54">
        <v>521.85830352000005</v>
      </c>
      <c r="AC10" s="54">
        <v>541.4283035200001</v>
      </c>
      <c r="AD10" s="54">
        <v>576.43598471999996</v>
      </c>
    </row>
    <row r="11" spans="2:30" x14ac:dyDescent="0.3">
      <c r="B11" s="53">
        <v>15</v>
      </c>
      <c r="C11" s="53"/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4">
        <v>560.72867424000003</v>
      </c>
      <c r="M11" s="54">
        <v>555.13371424000002</v>
      </c>
      <c r="N11" s="54">
        <v>550.28230382399988</v>
      </c>
      <c r="O11" s="54">
        <v>543.26697085759986</v>
      </c>
      <c r="P11" s="54">
        <v>533.3923608575999</v>
      </c>
      <c r="Q11" s="54">
        <v>544.00137536</v>
      </c>
      <c r="R11" s="54">
        <v>534.46357536000005</v>
      </c>
      <c r="S11" s="54">
        <v>490.90380127600002</v>
      </c>
      <c r="T11" s="54">
        <v>477.51380127600004</v>
      </c>
      <c r="U11" s="54">
        <v>469.89592127600002</v>
      </c>
      <c r="V11" s="54">
        <v>379.82707151999995</v>
      </c>
      <c r="W11" s="54">
        <v>372.34515151999994</v>
      </c>
      <c r="X11" s="54">
        <v>353.30834543999998</v>
      </c>
      <c r="Y11" s="54">
        <v>379.20872544000002</v>
      </c>
      <c r="Z11" s="54">
        <v>364.41051180899996</v>
      </c>
      <c r="AA11" s="54">
        <v>394.65646180900001</v>
      </c>
      <c r="AB11" s="54">
        <v>478.77238176000009</v>
      </c>
      <c r="AC11" s="54">
        <v>498.34238176000008</v>
      </c>
      <c r="AD11" s="54">
        <v>524.29444932299998</v>
      </c>
    </row>
    <row r="12" spans="2:30" x14ac:dyDescent="0.3">
      <c r="B12" s="53">
        <v>14</v>
      </c>
      <c r="C12" s="53"/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4">
        <v>588.19269312000006</v>
      </c>
      <c r="L12" s="54">
        <v>564.9682531200001</v>
      </c>
      <c r="M12" s="54">
        <v>559.37329312000008</v>
      </c>
      <c r="N12" s="54">
        <v>554.48125785599996</v>
      </c>
      <c r="O12" s="54">
        <v>533.58006706879996</v>
      </c>
      <c r="P12" s="54">
        <v>523.70545706879989</v>
      </c>
      <c r="Q12" s="54">
        <v>524.75269776499999</v>
      </c>
      <c r="R12" s="54">
        <v>515.21489776500005</v>
      </c>
      <c r="S12" s="54">
        <v>454.59068242000001</v>
      </c>
      <c r="T12" s="54">
        <v>441.20068242000002</v>
      </c>
      <c r="U12" s="54">
        <v>433.58280242000001</v>
      </c>
      <c r="V12" s="54">
        <v>358.76533488000001</v>
      </c>
      <c r="W12" s="54">
        <v>351.28341488000001</v>
      </c>
      <c r="X12" s="54">
        <v>331.66960692000004</v>
      </c>
      <c r="Y12" s="54">
        <v>357.56998692000002</v>
      </c>
      <c r="Z12" s="54">
        <v>357.37616976000015</v>
      </c>
      <c r="AA12" s="54">
        <v>387.62211976000015</v>
      </c>
      <c r="AB12" s="54">
        <v>463.96188816</v>
      </c>
      <c r="AC12" s="54">
        <v>483.53188815999999</v>
      </c>
      <c r="AD12" s="54">
        <v>516.62816952000003</v>
      </c>
    </row>
    <row r="13" spans="2:30" x14ac:dyDescent="0.3">
      <c r="B13" s="53">
        <v>13</v>
      </c>
      <c r="C13" s="53"/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4">
        <v>625.39159631999996</v>
      </c>
      <c r="K13" s="54">
        <v>607.64222844000005</v>
      </c>
      <c r="L13" s="54">
        <v>584.41778843999998</v>
      </c>
      <c r="M13" s="54">
        <v>578.82282843999997</v>
      </c>
      <c r="N13" s="54">
        <v>558.68021188800003</v>
      </c>
      <c r="O13" s="54">
        <v>523.89316327999995</v>
      </c>
      <c r="P13" s="54">
        <v>514.01855327999999</v>
      </c>
      <c r="Q13" s="54">
        <v>505.50402017000005</v>
      </c>
      <c r="R13" s="54">
        <v>495.96622017000004</v>
      </c>
      <c r="S13" s="54">
        <v>430.07978272000008</v>
      </c>
      <c r="T13" s="54">
        <v>416.6897827200001</v>
      </c>
      <c r="U13" s="54">
        <v>409.07190272000008</v>
      </c>
      <c r="V13" s="54">
        <v>337.70359823999996</v>
      </c>
      <c r="W13" s="54">
        <v>330.22167823999996</v>
      </c>
      <c r="X13" s="54">
        <v>308.00785775999998</v>
      </c>
      <c r="Y13" s="54">
        <v>333.90823775999996</v>
      </c>
      <c r="Z13" s="54">
        <v>352.0655721600001</v>
      </c>
      <c r="AA13" s="54">
        <v>382.31152216000015</v>
      </c>
      <c r="AB13" s="54">
        <v>489.84053927999992</v>
      </c>
      <c r="AC13" s="54">
        <v>509.41053927999991</v>
      </c>
      <c r="AD13" s="54">
        <v>565.13733792000005</v>
      </c>
    </row>
    <row r="14" spans="2:30" x14ac:dyDescent="0.3">
      <c r="B14" s="53">
        <v>12</v>
      </c>
      <c r="C14" s="53"/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4">
        <v>626.42405184000017</v>
      </c>
      <c r="J14" s="54">
        <v>642.18305184000008</v>
      </c>
      <c r="K14" s="54">
        <v>627.09176376000016</v>
      </c>
      <c r="L14" s="54">
        <v>603.8673237600002</v>
      </c>
      <c r="M14" s="54">
        <v>598.27236376000019</v>
      </c>
      <c r="N14" s="54">
        <v>565.55159567999999</v>
      </c>
      <c r="O14" s="54">
        <v>542.56279495999991</v>
      </c>
      <c r="P14" s="54">
        <v>532.68818495999994</v>
      </c>
      <c r="Q14" s="54">
        <v>508.86266167999992</v>
      </c>
      <c r="R14" s="54">
        <v>499.32486167999991</v>
      </c>
      <c r="S14" s="54">
        <v>479.35153839999998</v>
      </c>
      <c r="T14" s="54">
        <v>465.96153839999999</v>
      </c>
      <c r="U14" s="54">
        <v>458.34365839999998</v>
      </c>
      <c r="V14" s="54">
        <v>318.35184288000005</v>
      </c>
      <c r="W14" s="54">
        <v>310.86992287999999</v>
      </c>
      <c r="X14" s="54">
        <v>332.55340872000005</v>
      </c>
      <c r="Y14" s="54">
        <v>358.45378872000009</v>
      </c>
      <c r="Z14" s="54">
        <v>346.75497456000016</v>
      </c>
      <c r="AA14" s="54">
        <v>377.00092456000021</v>
      </c>
      <c r="AB14" s="54">
        <v>515.71919039999977</v>
      </c>
      <c r="AC14" s="54">
        <v>535.28919039999982</v>
      </c>
      <c r="AD14" s="54">
        <v>581.50830624000002</v>
      </c>
    </row>
    <row r="15" spans="2:30" x14ac:dyDescent="0.3">
      <c r="B15" s="53">
        <v>11</v>
      </c>
      <c r="C15" s="53"/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4">
        <v>637.75664908800013</v>
      </c>
      <c r="J15" s="54">
        <v>653.51564908800015</v>
      </c>
      <c r="K15" s="54">
        <v>647.82801216000007</v>
      </c>
      <c r="L15" s="54">
        <v>624.60357216000011</v>
      </c>
      <c r="M15" s="54">
        <v>619.0086121600001</v>
      </c>
      <c r="N15" s="54">
        <v>595.54479191999997</v>
      </c>
      <c r="O15" s="54">
        <v>562.66208312000003</v>
      </c>
      <c r="P15" s="54">
        <v>552.78747312000007</v>
      </c>
      <c r="Q15" s="54">
        <v>522.15823334000004</v>
      </c>
      <c r="R15" s="54">
        <v>512.62043333999998</v>
      </c>
      <c r="S15" s="54">
        <v>485.84339356000004</v>
      </c>
      <c r="T15" s="54">
        <v>472.45339356000005</v>
      </c>
      <c r="U15" s="54">
        <v>464.83551356000004</v>
      </c>
      <c r="V15" s="54">
        <v>382.01827703999999</v>
      </c>
      <c r="W15" s="54">
        <v>374.53635703999998</v>
      </c>
      <c r="X15" s="54">
        <v>373.41697776000001</v>
      </c>
      <c r="Y15" s="54">
        <v>399.31735776000005</v>
      </c>
      <c r="Z15" s="54">
        <v>341.44437696000017</v>
      </c>
      <c r="AA15" s="54">
        <v>371.69032696000016</v>
      </c>
      <c r="AB15" s="54">
        <v>541.59784151999975</v>
      </c>
      <c r="AC15" s="54">
        <v>561.1678415199998</v>
      </c>
      <c r="AD15" s="54">
        <v>587.00059584000007</v>
      </c>
    </row>
    <row r="16" spans="2:30" x14ac:dyDescent="0.3">
      <c r="B16" s="53">
        <v>10</v>
      </c>
      <c r="C16" s="53"/>
      <c r="D16" s="52">
        <v>0</v>
      </c>
      <c r="E16" s="52">
        <v>0</v>
      </c>
      <c r="F16" s="52">
        <v>0</v>
      </c>
      <c r="G16" s="52">
        <v>0</v>
      </c>
      <c r="H16" s="54">
        <v>651.73278335999987</v>
      </c>
      <c r="I16" s="54">
        <v>646.7102232000002</v>
      </c>
      <c r="J16" s="54">
        <v>662.4692232000001</v>
      </c>
      <c r="K16" s="54">
        <v>668.56426056000021</v>
      </c>
      <c r="L16" s="54">
        <v>645.33982056000025</v>
      </c>
      <c r="M16" s="54">
        <v>639.74486056000023</v>
      </c>
      <c r="N16" s="54">
        <v>628.21041791999994</v>
      </c>
      <c r="O16" s="54">
        <v>576.62225816</v>
      </c>
      <c r="P16" s="54">
        <v>566.74764815999993</v>
      </c>
      <c r="Q16" s="54">
        <v>548.43985136000003</v>
      </c>
      <c r="R16" s="54">
        <v>538.90205136000009</v>
      </c>
      <c r="S16" s="54">
        <v>524.44645456000001</v>
      </c>
      <c r="T16" s="54">
        <v>511.05645456000002</v>
      </c>
      <c r="U16" s="54">
        <v>503.43857456000001</v>
      </c>
      <c r="V16" s="54">
        <v>405.54842928000005</v>
      </c>
      <c r="W16" s="54">
        <v>398.06650928000005</v>
      </c>
      <c r="X16" s="54">
        <v>390.90924528000011</v>
      </c>
      <c r="Y16" s="54">
        <v>416.80962528000015</v>
      </c>
      <c r="Z16" s="54">
        <v>336.13377936000029</v>
      </c>
      <c r="AA16" s="54">
        <v>366.37972936000028</v>
      </c>
      <c r="AB16" s="54">
        <v>548.20649867999975</v>
      </c>
      <c r="AC16" s="54">
        <v>567.77649867999969</v>
      </c>
      <c r="AD16" s="54">
        <v>582.38042783999902</v>
      </c>
    </row>
    <row r="17" spans="2:30" x14ac:dyDescent="0.3">
      <c r="B17" s="53">
        <v>9</v>
      </c>
      <c r="C17" s="53"/>
      <c r="D17" s="52">
        <v>0</v>
      </c>
      <c r="E17" s="52">
        <v>0</v>
      </c>
      <c r="F17" s="52">
        <v>0</v>
      </c>
      <c r="G17" s="52">
        <v>0</v>
      </c>
      <c r="H17" s="54">
        <v>665.92967711999984</v>
      </c>
      <c r="I17" s="54">
        <v>657.60551376000001</v>
      </c>
      <c r="J17" s="54">
        <v>673.36451376000002</v>
      </c>
      <c r="K17" s="54">
        <v>680.55057913500002</v>
      </c>
      <c r="L17" s="54">
        <v>657.32613913500006</v>
      </c>
      <c r="M17" s="54">
        <v>651.73117913500005</v>
      </c>
      <c r="N17" s="54">
        <v>641.2877645100001</v>
      </c>
      <c r="O17" s="54">
        <v>635.12399988499999</v>
      </c>
      <c r="P17" s="54">
        <v>625.24938988499991</v>
      </c>
      <c r="Q17" s="54">
        <v>589.20739942250009</v>
      </c>
      <c r="R17" s="54">
        <v>579.66959942250014</v>
      </c>
      <c r="S17" s="54">
        <v>547.47980896000013</v>
      </c>
      <c r="T17" s="54">
        <v>534.08980896000014</v>
      </c>
      <c r="U17" s="54">
        <v>526.47192896000013</v>
      </c>
      <c r="V17" s="54">
        <v>429.07858152000011</v>
      </c>
      <c r="W17" s="54">
        <v>421.59666152000005</v>
      </c>
      <c r="X17" s="54">
        <v>436.11629136000005</v>
      </c>
      <c r="Y17" s="54">
        <v>462.01667136000009</v>
      </c>
      <c r="Z17" s="54">
        <v>455.62689743999994</v>
      </c>
      <c r="AA17" s="54">
        <v>485.87284743999999</v>
      </c>
      <c r="AB17" s="54">
        <v>554.81515583999965</v>
      </c>
      <c r="AC17" s="54">
        <v>574.3851558399997</v>
      </c>
      <c r="AD17" s="54">
        <v>600.88497935999897</v>
      </c>
    </row>
    <row r="18" spans="2:30" x14ac:dyDescent="0.3">
      <c r="B18" s="53">
        <v>8</v>
      </c>
      <c r="C18" s="53"/>
      <c r="D18" s="52">
        <v>0</v>
      </c>
      <c r="E18" s="52">
        <v>0</v>
      </c>
      <c r="F18" s="52">
        <v>0</v>
      </c>
      <c r="G18" s="54">
        <v>704.53757087999998</v>
      </c>
      <c r="H18" s="54">
        <v>680.12657087999992</v>
      </c>
      <c r="I18" s="54">
        <v>688.8991056000001</v>
      </c>
      <c r="J18" s="54">
        <v>704.65810560000011</v>
      </c>
      <c r="K18" s="54">
        <v>704.49772668187506</v>
      </c>
      <c r="L18" s="54">
        <v>681.27328668187511</v>
      </c>
      <c r="M18" s="54">
        <v>675.67832668187509</v>
      </c>
      <c r="N18" s="54">
        <v>657.88846776374999</v>
      </c>
      <c r="O18" s="54">
        <v>644.37825884562506</v>
      </c>
      <c r="P18" s="54">
        <v>634.50364884562509</v>
      </c>
      <c r="Q18" s="54">
        <v>592.72151534468765</v>
      </c>
      <c r="R18" s="54">
        <v>583.1837153446877</v>
      </c>
      <c r="S18" s="54">
        <v>545.25378184375018</v>
      </c>
      <c r="T18" s="54">
        <v>531.86378184375019</v>
      </c>
      <c r="U18" s="54">
        <v>524.24590184375018</v>
      </c>
      <c r="V18" s="54">
        <v>452.60873376000018</v>
      </c>
      <c r="W18" s="54">
        <v>445.12681376000012</v>
      </c>
      <c r="X18" s="54">
        <v>467.46594815999998</v>
      </c>
      <c r="Y18" s="54">
        <v>493.36632816000002</v>
      </c>
      <c r="Z18" s="54">
        <v>536.94444983999961</v>
      </c>
      <c r="AA18" s="54">
        <v>567.1903998399996</v>
      </c>
      <c r="AB18" s="54">
        <v>611.80518768000013</v>
      </c>
      <c r="AC18" s="54">
        <v>631.37518768000007</v>
      </c>
      <c r="AD18" s="54">
        <v>683.07776807999994</v>
      </c>
    </row>
    <row r="19" spans="2:30" x14ac:dyDescent="0.3">
      <c r="B19" s="53">
        <v>7</v>
      </c>
      <c r="C19" s="53"/>
      <c r="D19" s="52">
        <v>0</v>
      </c>
      <c r="E19" s="52">
        <v>0</v>
      </c>
      <c r="F19" s="52">
        <v>0</v>
      </c>
      <c r="G19" s="54">
        <v>718.73446464000006</v>
      </c>
      <c r="H19" s="54">
        <v>694.32346464</v>
      </c>
      <c r="I19" s="54">
        <v>731.36831280000013</v>
      </c>
      <c r="J19" s="54">
        <v>747.12731280000014</v>
      </c>
      <c r="K19" s="54">
        <v>742.21181495999997</v>
      </c>
      <c r="L19" s="54">
        <v>718.98737496000001</v>
      </c>
      <c r="M19" s="54">
        <v>713.39241496</v>
      </c>
      <c r="N19" s="54">
        <v>681.12016656000003</v>
      </c>
      <c r="O19" s="54">
        <v>678.76168334281249</v>
      </c>
      <c r="P19" s="54">
        <v>668.88707334281253</v>
      </c>
      <c r="Q19" s="54">
        <v>643.24825376374997</v>
      </c>
      <c r="R19" s="54">
        <v>633.71045376374991</v>
      </c>
      <c r="S19" s="54">
        <v>583.988719601875</v>
      </c>
      <c r="T19" s="54">
        <v>570.59871960187502</v>
      </c>
      <c r="U19" s="54">
        <v>562.98083960187512</v>
      </c>
      <c r="V19" s="54">
        <v>498.98379984000002</v>
      </c>
      <c r="W19" s="54">
        <v>491.50187984000002</v>
      </c>
      <c r="X19" s="54">
        <v>505.06217591999979</v>
      </c>
      <c r="Y19" s="54">
        <v>530.96255591999977</v>
      </c>
      <c r="Z19" s="54">
        <v>585.83776704000013</v>
      </c>
      <c r="AA19" s="54">
        <v>616.08371704000012</v>
      </c>
      <c r="AB19" s="54">
        <v>647.38774896000007</v>
      </c>
      <c r="AC19" s="54">
        <v>666.95774896</v>
      </c>
      <c r="AD19" s="54">
        <v>721.75480368000001</v>
      </c>
    </row>
    <row r="20" spans="2:30" x14ac:dyDescent="0.3">
      <c r="B20" s="53">
        <v>6</v>
      </c>
      <c r="C20" s="53"/>
      <c r="D20" s="52">
        <v>0</v>
      </c>
      <c r="E20" s="52">
        <v>0</v>
      </c>
      <c r="F20" s="54">
        <v>665.59951679999995</v>
      </c>
      <c r="G20" s="54">
        <v>724.47260700000004</v>
      </c>
      <c r="H20" s="54">
        <v>736.91414592000001</v>
      </c>
      <c r="I20" s="54">
        <v>774.68783856000005</v>
      </c>
      <c r="J20" s="54">
        <v>790.44683855999995</v>
      </c>
      <c r="K20" s="54">
        <v>766.43654976000005</v>
      </c>
      <c r="L20" s="54">
        <v>743.21210976000009</v>
      </c>
      <c r="M20" s="54">
        <v>737.61714976000007</v>
      </c>
      <c r="N20" s="54">
        <v>690.92228773500005</v>
      </c>
      <c r="O20" s="54">
        <v>713.14510783999992</v>
      </c>
      <c r="P20" s="54">
        <v>703.27049783999985</v>
      </c>
      <c r="Q20" s="54">
        <v>665.83987760000002</v>
      </c>
      <c r="R20" s="54">
        <v>656.30207759999996</v>
      </c>
      <c r="S20" s="54">
        <v>622.72365735999995</v>
      </c>
      <c r="T20" s="54">
        <v>609.33365735999996</v>
      </c>
      <c r="U20" s="54">
        <v>601.71577736000006</v>
      </c>
      <c r="V20" s="54">
        <v>545.35886592000008</v>
      </c>
      <c r="W20" s="54">
        <v>537.87694592000014</v>
      </c>
      <c r="X20" s="54">
        <v>530.996892</v>
      </c>
      <c r="Y20" s="54">
        <v>556.89727199999993</v>
      </c>
      <c r="Z20" s="54">
        <v>638.74440096000001</v>
      </c>
      <c r="AA20" s="54">
        <v>668.99035096</v>
      </c>
      <c r="AB20" s="54">
        <v>657.50747423999996</v>
      </c>
      <c r="AC20" s="54">
        <v>677.0774742399999</v>
      </c>
      <c r="AD20" s="54">
        <v>735.59350463999999</v>
      </c>
    </row>
    <row r="21" spans="2:30" x14ac:dyDescent="0.3">
      <c r="B21" s="53">
        <v>5</v>
      </c>
      <c r="C21" s="53"/>
      <c r="D21" s="52">
        <v>0</v>
      </c>
      <c r="E21" s="54">
        <v>752.79097792000005</v>
      </c>
      <c r="F21" s="54">
        <v>738.78297792000001</v>
      </c>
      <c r="G21" s="54">
        <v>774.72467136000012</v>
      </c>
      <c r="H21" s="54">
        <v>750.31367136000006</v>
      </c>
      <c r="I21" s="54">
        <v>794.14237968000009</v>
      </c>
      <c r="J21" s="54">
        <v>809.90137967999999</v>
      </c>
      <c r="K21" s="54">
        <v>812.64030623999997</v>
      </c>
      <c r="L21" s="54">
        <v>789.41586624000001</v>
      </c>
      <c r="M21" s="54">
        <v>783.82090624</v>
      </c>
      <c r="N21" s="54">
        <v>768.93035280000015</v>
      </c>
      <c r="O21" s="54">
        <v>758.31944936000025</v>
      </c>
      <c r="P21" s="54">
        <v>748.44483936000017</v>
      </c>
      <c r="Q21" s="54">
        <v>717.62209759999996</v>
      </c>
      <c r="R21" s="54">
        <v>708.08429760000001</v>
      </c>
      <c r="S21" s="54">
        <v>687.40237552000008</v>
      </c>
      <c r="T21" s="54">
        <v>674.01237552000009</v>
      </c>
      <c r="U21" s="54">
        <v>666.39449552000008</v>
      </c>
      <c r="V21" s="54">
        <v>639.94045343999983</v>
      </c>
      <c r="W21" s="54">
        <v>632.45853343999988</v>
      </c>
      <c r="X21" s="54">
        <v>621.13533143999996</v>
      </c>
      <c r="Y21" s="54">
        <v>647.03571144</v>
      </c>
      <c r="Z21" s="54">
        <v>680.39132208000001</v>
      </c>
      <c r="AA21" s="54">
        <v>710.63727208</v>
      </c>
      <c r="AB21" s="54">
        <v>737.59004015999983</v>
      </c>
      <c r="AC21" s="54">
        <v>757.16004015999988</v>
      </c>
      <c r="AD21" s="54">
        <v>796.16027327999996</v>
      </c>
    </row>
    <row r="22" spans="2:30" x14ac:dyDescent="0.3">
      <c r="B22" s="53">
        <v>4</v>
      </c>
      <c r="C22" s="53"/>
      <c r="D22" s="54">
        <v>727.74441023999998</v>
      </c>
      <c r="E22" s="54">
        <v>787.57461352000007</v>
      </c>
      <c r="F22" s="54">
        <v>773.56661352000003</v>
      </c>
      <c r="G22" s="54">
        <v>795.95460288000015</v>
      </c>
      <c r="H22" s="54">
        <v>771.54360288000009</v>
      </c>
      <c r="I22" s="54">
        <v>825.52941312000007</v>
      </c>
      <c r="J22" s="54">
        <v>841.28841311999997</v>
      </c>
      <c r="K22" s="54">
        <v>867.11329824000018</v>
      </c>
      <c r="L22" s="54">
        <v>843.88885824000022</v>
      </c>
      <c r="M22" s="54">
        <v>838.2938982400002</v>
      </c>
      <c r="N22" s="54">
        <v>822.38344704000008</v>
      </c>
      <c r="O22" s="54">
        <v>789.30468391999989</v>
      </c>
      <c r="P22" s="54">
        <v>779.43007391999993</v>
      </c>
      <c r="Q22" s="54">
        <v>769.40431760000001</v>
      </c>
      <c r="R22" s="54">
        <v>759.86651759999995</v>
      </c>
      <c r="S22" s="54">
        <v>752.08109368000009</v>
      </c>
      <c r="T22" s="54">
        <v>738.69109368000011</v>
      </c>
      <c r="U22" s="54">
        <v>731.07321368000009</v>
      </c>
      <c r="V22" s="54">
        <v>717.51566975999992</v>
      </c>
      <c r="W22" s="54">
        <v>710.03374975999998</v>
      </c>
      <c r="X22" s="54">
        <v>711.27377087999992</v>
      </c>
      <c r="Y22" s="54">
        <v>737.17415087999984</v>
      </c>
      <c r="Z22" s="54">
        <v>754.90632599999992</v>
      </c>
      <c r="AA22" s="54">
        <v>785.15227599999992</v>
      </c>
      <c r="AB22" s="54">
        <v>800.52607247999993</v>
      </c>
      <c r="AC22" s="54">
        <v>820.09607247999998</v>
      </c>
      <c r="AD22" s="54">
        <v>844.82102471999997</v>
      </c>
    </row>
    <row r="23" spans="2:30" x14ac:dyDescent="0.3">
      <c r="B23" s="53">
        <v>3</v>
      </c>
      <c r="C23" s="53"/>
      <c r="D23" s="54">
        <v>943.43189170987625</v>
      </c>
      <c r="E23" s="54">
        <v>941.65513984000006</v>
      </c>
      <c r="F23" s="54">
        <v>927.64713984000002</v>
      </c>
      <c r="G23" s="54">
        <v>936.53749008000011</v>
      </c>
      <c r="H23" s="54">
        <v>912.12649008000005</v>
      </c>
      <c r="I23" s="54">
        <v>855.94153920000042</v>
      </c>
      <c r="J23" s="54">
        <v>871.70053920000043</v>
      </c>
      <c r="K23" s="54">
        <v>921.58629024000027</v>
      </c>
      <c r="L23" s="54">
        <v>898.36185024000031</v>
      </c>
      <c r="M23" s="54">
        <v>892.76689024000029</v>
      </c>
      <c r="N23" s="54">
        <v>875.83654128000001</v>
      </c>
      <c r="O23" s="54">
        <v>829.80227336000007</v>
      </c>
      <c r="P23" s="54">
        <v>819.92766336000011</v>
      </c>
      <c r="Q23" s="54">
        <v>821.18653759999995</v>
      </c>
      <c r="R23" s="54">
        <v>811.6487376</v>
      </c>
      <c r="S23" s="54">
        <v>816.75981184</v>
      </c>
      <c r="T23" s="54">
        <v>803.36981184000001</v>
      </c>
      <c r="U23" s="54">
        <v>795.75193184000011</v>
      </c>
      <c r="V23" s="54">
        <v>795.0908860799999</v>
      </c>
      <c r="W23" s="54">
        <v>787.60896607999996</v>
      </c>
      <c r="X23" s="54">
        <v>786.81196032000003</v>
      </c>
      <c r="Y23" s="54">
        <v>812.71234031999995</v>
      </c>
      <c r="Z23" s="54">
        <v>829.42132992000006</v>
      </c>
      <c r="AA23" s="54">
        <v>859.66727992000006</v>
      </c>
      <c r="AB23" s="54">
        <v>847.54290065999999</v>
      </c>
      <c r="AC23" s="54">
        <v>867.11290066000004</v>
      </c>
      <c r="AD23" s="54">
        <v>881.9896706400001</v>
      </c>
    </row>
    <row r="24" spans="2:30" x14ac:dyDescent="0.3">
      <c r="B24" s="53">
        <v>2</v>
      </c>
      <c r="C24" s="53"/>
      <c r="D24" s="54">
        <v>1178.8393592448017</v>
      </c>
      <c r="E24" s="54">
        <v>1095.7356661600004</v>
      </c>
      <c r="F24" s="54">
        <v>1081.7276661600004</v>
      </c>
      <c r="G24" s="54">
        <v>1017.0270460800002</v>
      </c>
      <c r="H24" s="54">
        <v>992.61604608000016</v>
      </c>
      <c r="I24" s="54">
        <v>960.62104896000073</v>
      </c>
      <c r="J24" s="54">
        <v>976.38004896000075</v>
      </c>
      <c r="K24" s="54">
        <v>976.05928224000047</v>
      </c>
      <c r="L24" s="54">
        <v>952.83484224000051</v>
      </c>
      <c r="M24" s="54">
        <v>947.2398822400005</v>
      </c>
      <c r="N24" s="54">
        <v>929.28963552000016</v>
      </c>
      <c r="O24" s="54">
        <v>915.61903879999988</v>
      </c>
      <c r="P24" s="54">
        <v>905.74442879999992</v>
      </c>
      <c r="Q24" s="54">
        <v>928.43257663999975</v>
      </c>
      <c r="R24" s="54">
        <v>918.89477663999969</v>
      </c>
      <c r="S24" s="54">
        <v>913.43656767999983</v>
      </c>
      <c r="T24" s="54">
        <v>900.04656767999984</v>
      </c>
      <c r="U24" s="54">
        <v>892.42868767999994</v>
      </c>
      <c r="V24" s="54">
        <v>881.19835871999999</v>
      </c>
      <c r="W24" s="54">
        <v>873.71643872000004</v>
      </c>
      <c r="X24" s="54">
        <v>862.35014976000002</v>
      </c>
      <c r="Y24" s="54">
        <v>888.25052976000006</v>
      </c>
      <c r="Z24" s="54">
        <v>881.66816232000019</v>
      </c>
      <c r="AA24" s="54">
        <v>911.91411232000019</v>
      </c>
      <c r="AB24" s="54">
        <v>894.55972883999993</v>
      </c>
      <c r="AC24" s="54">
        <v>914.12972883999998</v>
      </c>
      <c r="AD24" s="54">
        <v>911.73559271999989</v>
      </c>
    </row>
    <row r="25" spans="2:30" x14ac:dyDescent="0.3">
      <c r="B25" s="53">
        <v>1</v>
      </c>
      <c r="C25" s="53"/>
      <c r="D25" s="54">
        <v>1317.0833828685195</v>
      </c>
      <c r="E25" s="54">
        <v>1249.8161924800004</v>
      </c>
      <c r="F25" s="54">
        <v>1235.8081924800006</v>
      </c>
      <c r="G25" s="54">
        <v>1183.9594262400005</v>
      </c>
      <c r="H25" s="54">
        <v>1159.5484262400005</v>
      </c>
      <c r="I25" s="54">
        <v>1065.3005587200012</v>
      </c>
      <c r="J25" s="54">
        <v>1081.059558720001</v>
      </c>
      <c r="K25" s="54">
        <v>1088.6727913600007</v>
      </c>
      <c r="L25" s="54">
        <v>1065.4483513600007</v>
      </c>
      <c r="M25" s="54">
        <v>1059.8533913600008</v>
      </c>
      <c r="N25" s="54">
        <v>1049.8371440000003</v>
      </c>
      <c r="O25" s="54">
        <v>1044.1005466399997</v>
      </c>
      <c r="P25" s="54">
        <v>1034.2259366399996</v>
      </c>
      <c r="Q25" s="54">
        <v>1035.6786156799997</v>
      </c>
      <c r="R25" s="54">
        <v>1026.1408156799998</v>
      </c>
      <c r="S25" s="54">
        <v>1010.1133235199997</v>
      </c>
      <c r="T25" s="54">
        <v>996.72332351999967</v>
      </c>
      <c r="U25" s="54">
        <v>989.10544351999977</v>
      </c>
      <c r="V25" s="54">
        <v>967.30583135999973</v>
      </c>
      <c r="W25" s="54">
        <v>959.82391135999978</v>
      </c>
      <c r="X25" s="54">
        <v>937.88833920000002</v>
      </c>
      <c r="Y25" s="54">
        <v>963.78871919999995</v>
      </c>
      <c r="Z25" s="54">
        <v>933.91499472000044</v>
      </c>
      <c r="AA25" s="54">
        <v>964.16094472000054</v>
      </c>
      <c r="AB25" s="54">
        <v>925.65735288000019</v>
      </c>
      <c r="AC25" s="54">
        <v>945.22735288000013</v>
      </c>
      <c r="AD25" s="54">
        <v>920.25590927999997</v>
      </c>
    </row>
    <row r="26" spans="2:30" x14ac:dyDescent="0.3">
      <c r="B26" s="53">
        <v>0.5</v>
      </c>
      <c r="C26" s="53"/>
      <c r="D26" s="54">
        <v>1609.1001168</v>
      </c>
      <c r="E26" s="54">
        <v>1534.8680992</v>
      </c>
      <c r="F26" s="54">
        <v>1520.8600992000001</v>
      </c>
      <c r="G26" s="54">
        <v>1457.0310816000001</v>
      </c>
      <c r="H26" s="54">
        <v>1432.6200816</v>
      </c>
      <c r="I26" s="54">
        <v>1328.6210640000002</v>
      </c>
      <c r="J26" s="54">
        <v>1344.3800639999999</v>
      </c>
      <c r="K26" s="54">
        <v>1279.3644864</v>
      </c>
      <c r="L26" s="54">
        <v>1256.1400464000001</v>
      </c>
      <c r="M26" s="54">
        <v>1250.5450863999999</v>
      </c>
      <c r="N26" s="54">
        <v>1208.3913888</v>
      </c>
      <c r="O26" s="54">
        <v>1170.5173412000001</v>
      </c>
      <c r="P26" s="54">
        <v>1160.6427312000001</v>
      </c>
      <c r="Q26" s="54">
        <v>1122.4318736000005</v>
      </c>
      <c r="R26" s="54">
        <v>1112.8940736000004</v>
      </c>
      <c r="S26" s="54">
        <v>1086.0252793599998</v>
      </c>
      <c r="T26" s="54">
        <v>1072.6352793599997</v>
      </c>
      <c r="U26" s="54">
        <v>1065.0173993599999</v>
      </c>
      <c r="V26" s="54">
        <v>1032.6485039999998</v>
      </c>
      <c r="W26" s="54">
        <v>1025.1665839999998</v>
      </c>
      <c r="X26" s="54">
        <v>992.66172863999998</v>
      </c>
      <c r="Y26" s="54">
        <v>1018.56210864</v>
      </c>
      <c r="Z26" s="54">
        <v>986.16182712000057</v>
      </c>
      <c r="AA26" s="54">
        <v>1016.4077771200006</v>
      </c>
      <c r="AB26" s="54">
        <v>956.75497692000044</v>
      </c>
      <c r="AC26" s="54">
        <v>976.32497692000038</v>
      </c>
      <c r="AD26" s="54">
        <v>942.61942584000099</v>
      </c>
    </row>
  </sheetData>
  <mergeCells count="24">
    <mergeCell ref="B25:C25"/>
    <mergeCell ref="B26:C26"/>
    <mergeCell ref="B3:C3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conditionalFormatting sqref="D22:D26 E21:E26 F20:F26 G18:G26 H16:H26 I14:I26 J13:J26 K12:K26 L11:L26 M10:N26 O9:O26 P8:R26 S7:S26 T6:U26 V5:W26 X4:X26 Y5:Y26 Z6:Z26 AA7:AB26 AC9:AD26 AC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FD40-4176-40A1-8CE8-0ACC2F6EC8B1}">
  <dimension ref="A1:AQ1132"/>
  <sheetViews>
    <sheetView zoomScale="80" zoomScaleNormal="80" zoomScaleSheetLayoutView="50" workbookViewId="0">
      <selection activeCell="AF17" sqref="AF17"/>
    </sheetView>
  </sheetViews>
  <sheetFormatPr defaultRowHeight="15.6" x14ac:dyDescent="0.3"/>
  <cols>
    <col min="1" max="1" width="0.296875" customWidth="1"/>
    <col min="3" max="3" width="9.09765625" bestFit="1" customWidth="1"/>
    <col min="4" max="4" width="11" bestFit="1" customWidth="1"/>
    <col min="5" max="5" width="10.59765625" bestFit="1" customWidth="1"/>
    <col min="6" max="6" width="7.5" bestFit="1" customWidth="1"/>
    <col min="7" max="7" width="18.3984375" bestFit="1" customWidth="1"/>
    <col min="8" max="8" width="12.59765625" bestFit="1" customWidth="1"/>
    <col min="9" max="9" width="18" bestFit="1" customWidth="1"/>
    <col min="10" max="10" width="17.19921875" bestFit="1" customWidth="1"/>
    <col min="11" max="11" width="19.09765625" bestFit="1" customWidth="1"/>
    <col min="12" max="12" width="8.69921875" bestFit="1" customWidth="1"/>
    <col min="13" max="13" width="15.19921875" bestFit="1" customWidth="1"/>
    <col min="14" max="14" width="16.69921875" bestFit="1" customWidth="1"/>
    <col min="15" max="16" width="19.09765625" customWidth="1"/>
    <col min="17" max="17" width="21.3984375" bestFit="1" customWidth="1"/>
    <col min="18" max="18" width="14.796875" bestFit="1" customWidth="1"/>
    <col min="19" max="19" width="24.8984375" bestFit="1" customWidth="1"/>
    <col min="20" max="20" width="18" bestFit="1" customWidth="1"/>
    <col min="21" max="21" width="15.8984375" bestFit="1" customWidth="1"/>
    <col min="22" max="22" width="14.296875" bestFit="1" customWidth="1"/>
    <col min="23" max="23" width="14.5" bestFit="1" customWidth="1"/>
    <col min="24" max="24" width="14.5" customWidth="1"/>
    <col min="25" max="25" width="20.59765625" bestFit="1" customWidth="1"/>
    <col min="26" max="26" width="16" bestFit="1" customWidth="1"/>
    <col min="27" max="27" width="12.3984375" bestFit="1" customWidth="1"/>
    <col min="28" max="28" width="20.8984375" bestFit="1" customWidth="1"/>
    <col min="29" max="30" width="20.59765625" bestFit="1" customWidth="1"/>
    <col min="31" max="32" width="16" bestFit="1" customWidth="1"/>
    <col min="33" max="33" width="12.59765625" bestFit="1" customWidth="1"/>
    <col min="34" max="34" width="9.59765625" bestFit="1" customWidth="1"/>
    <col min="35" max="35" width="10" bestFit="1" customWidth="1"/>
    <col min="36" max="36" width="4.59765625" bestFit="1" customWidth="1"/>
    <col min="37" max="37" width="11" bestFit="1" customWidth="1"/>
    <col min="38" max="38" width="4.8984375" bestFit="1" customWidth="1"/>
    <col min="39" max="39" width="8.5" bestFit="1" customWidth="1"/>
    <col min="40" max="40" width="11.3984375" bestFit="1" customWidth="1"/>
    <col min="41" max="41" width="12.59765625" bestFit="1" customWidth="1"/>
    <col min="42" max="42" width="16.8984375" bestFit="1" customWidth="1"/>
    <col min="43" max="43" width="12.09765625" bestFit="1" customWidth="1"/>
    <col min="44" max="44" width="16.8984375" bestFit="1" customWidth="1"/>
  </cols>
  <sheetData>
    <row r="1" spans="1:4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43" x14ac:dyDescent="0.3">
      <c r="A2" s="55"/>
      <c r="B2" s="49"/>
      <c r="C2" s="92" t="s">
        <v>101</v>
      </c>
      <c r="D2" s="93" t="s">
        <v>146</v>
      </c>
      <c r="E2" s="92" t="s">
        <v>147</v>
      </c>
      <c r="F2" s="92" t="s">
        <v>148</v>
      </c>
      <c r="G2" s="92" t="s">
        <v>155</v>
      </c>
      <c r="H2" s="92" t="s">
        <v>156</v>
      </c>
      <c r="I2" s="92" t="s">
        <v>157</v>
      </c>
      <c r="J2" s="92" t="s">
        <v>149</v>
      </c>
      <c r="K2" s="92" t="s">
        <v>150</v>
      </c>
      <c r="L2" s="92" t="s">
        <v>152</v>
      </c>
      <c r="M2" s="92" t="s">
        <v>153</v>
      </c>
      <c r="N2" s="92" t="s">
        <v>154</v>
      </c>
      <c r="O2" s="92" t="s">
        <v>80</v>
      </c>
      <c r="P2" s="92" t="s">
        <v>159</v>
      </c>
      <c r="Q2" s="92" t="s">
        <v>158</v>
      </c>
      <c r="R2" s="92" t="s">
        <v>164</v>
      </c>
      <c r="S2" s="92" t="s">
        <v>168</v>
      </c>
      <c r="T2" s="92" t="s">
        <v>160</v>
      </c>
      <c r="U2" s="92" t="s">
        <v>165</v>
      </c>
      <c r="V2" s="92" t="s">
        <v>151</v>
      </c>
      <c r="W2" s="92" t="s">
        <v>161</v>
      </c>
      <c r="X2" s="92" t="s">
        <v>169</v>
      </c>
      <c r="Y2" s="92" t="s">
        <v>166</v>
      </c>
      <c r="Z2" s="92" t="s">
        <v>167</v>
      </c>
      <c r="AA2" s="92" t="s">
        <v>178</v>
      </c>
      <c r="AB2" s="85"/>
      <c r="AC2" s="1"/>
      <c r="AD2" s="1"/>
      <c r="AE2" s="1"/>
      <c r="AF2" s="5"/>
      <c r="AG2" s="5"/>
      <c r="AH2" s="5"/>
      <c r="AI2" s="5"/>
      <c r="AJ2" s="5"/>
      <c r="AK2" s="5"/>
      <c r="AL2" s="5"/>
      <c r="AM2" s="5"/>
      <c r="AN2" s="31"/>
      <c r="AO2" s="31"/>
      <c r="AP2" s="31"/>
      <c r="AQ2" s="31"/>
    </row>
    <row r="3" spans="1:43" x14ac:dyDescent="0.3">
      <c r="A3" s="55">
        <v>1</v>
      </c>
      <c r="B3" s="56" t="s">
        <v>102</v>
      </c>
      <c r="C3" s="56">
        <v>0</v>
      </c>
      <c r="D3" s="56">
        <f>E3*2.237</f>
        <v>0</v>
      </c>
      <c r="E3" s="56">
        <v>0</v>
      </c>
      <c r="F3" s="56">
        <v>0</v>
      </c>
      <c r="G3" s="56">
        <v>0</v>
      </c>
      <c r="H3" s="56">
        <v>1</v>
      </c>
      <c r="I3" s="56">
        <v>0</v>
      </c>
      <c r="J3" s="56">
        <f>(0.5*VEHICLE!$C$71*VEHICLE!$C$28*VEHICLE!$C$27*'Drive Cycle'!E3^2)</f>
        <v>0</v>
      </c>
      <c r="K3" s="56">
        <v>0</v>
      </c>
      <c r="L3" s="56">
        <v>0</v>
      </c>
      <c r="M3" s="56">
        <v>0</v>
      </c>
      <c r="N3" s="56">
        <f>DEGREES(ATAN(M3/$C$4))</f>
        <v>0</v>
      </c>
      <c r="O3" s="56">
        <f>9.81*SIN(RADIANS(N3))*($C$47)</f>
        <v>0</v>
      </c>
      <c r="P3" s="56">
        <f>J3+K3+O3</f>
        <v>0</v>
      </c>
      <c r="Q3" s="56">
        <f>IF(H3=1,I3*VEHICLE!C68,IF(H3=2,VEHICLE!C69*I3,IF(H3=3,VEHICLE!C70*I3,0)))</f>
        <v>0</v>
      </c>
      <c r="R3" s="56">
        <f>(J3+K3+O3+Q3)</f>
        <v>0</v>
      </c>
      <c r="S3" s="56">
        <f>ABS(R3)</f>
        <v>0</v>
      </c>
      <c r="T3" s="56">
        <v>0</v>
      </c>
      <c r="U3" s="56">
        <f>ROUNDUP(T3,0)</f>
        <v>0</v>
      </c>
      <c r="V3" s="56">
        <v>0</v>
      </c>
      <c r="W3" s="56">
        <f>R3*V3/3600</f>
        <v>0</v>
      </c>
      <c r="X3" s="56">
        <f>ABS(W3)</f>
        <v>0</v>
      </c>
      <c r="Y3" s="56">
        <f>W3*3.09</f>
        <v>0</v>
      </c>
      <c r="Z3" s="60">
        <f>SUM(W3:W1111)</f>
        <v>88.45693928295394</v>
      </c>
      <c r="AA3" s="60">
        <f>(SUM(Y3:Y1111))</f>
        <v>273.3319423843281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43" x14ac:dyDescent="0.3">
      <c r="A4" s="55">
        <v>1</v>
      </c>
      <c r="B4" s="56" t="s">
        <v>102</v>
      </c>
      <c r="C4" s="56">
        <f>C3+1</f>
        <v>1</v>
      </c>
      <c r="D4" s="56">
        <f t="shared" ref="D4:D67" si="0">E4*2.237</f>
        <v>2.2370000000000001</v>
      </c>
      <c r="E4" s="56">
        <v>1</v>
      </c>
      <c r="F4" s="94">
        <f>$C$4/E4</f>
        <v>1</v>
      </c>
      <c r="G4" s="56">
        <v>750</v>
      </c>
      <c r="H4" s="56">
        <v>1</v>
      </c>
      <c r="I4" s="94">
        <f>E4-E3</f>
        <v>1</v>
      </c>
      <c r="J4" s="56">
        <f>(0.5*VEHICLE!$C$71*VEHICLE!$C$28*VEHICLE!$C$27*'Drive Cycle'!E4^2)</f>
        <v>0.8896040999999999</v>
      </c>
      <c r="K4" s="56">
        <f>IF(A4=1,VEHICLE!$S$5,IF(A4=2,VEHICLE!$Q$5,IF(A4=3,VEHICLE!$R$5,IF(A4=4,VEHICLE!$P$5,1))))</f>
        <v>72.351594900000009</v>
      </c>
      <c r="L4" s="56">
        <v>0</v>
      </c>
      <c r="M4" s="56">
        <f>L4-L3</f>
        <v>0</v>
      </c>
      <c r="N4" s="56">
        <f t="shared" ref="N4:N67" si="1">DEGREES(ATAN(M4/$C$4))</f>
        <v>0</v>
      </c>
      <c r="O4" s="56">
        <f t="shared" ref="O4:O67" si="2">9.81*SIN(RADIANS(N4))*($C$47)</f>
        <v>0</v>
      </c>
      <c r="P4" s="56">
        <f t="shared" ref="P4:P67" si="3">J4+K4+O4</f>
        <v>73.241199000000009</v>
      </c>
      <c r="Q4" s="56">
        <f>IF(H4=1,I4*VEHICLE!$C$69,IF(H4=2,VEHICLE!$C$70*I4,IF(H4=3,VEHICLE!$C$71*I4,0)))</f>
        <v>587.32023542819468</v>
      </c>
      <c r="R4" s="56">
        <f>(J4+K4+O4+Q4)</f>
        <v>660.56143442819473</v>
      </c>
      <c r="S4" s="56">
        <f t="shared" ref="S4:S67" si="4">ABS(R4)</f>
        <v>660.56143442819473</v>
      </c>
      <c r="T4" s="56">
        <f>ABS((R4)/((2*PI()*G4)/60))</f>
        <v>8.4105294004096063</v>
      </c>
      <c r="U4" s="56">
        <f t="shared" ref="U4:U67" si="5">ROUNDUP(T4,0)</f>
        <v>9</v>
      </c>
      <c r="V4" s="56">
        <f>INDEX(BSFC!$D$4:$AD$26,MATCH(U4,BSFC!$B$4:$B$26,0),MATCH(G4,BSFC!$D$2:$AD$2,0))</f>
        <v>0</v>
      </c>
      <c r="W4" s="56">
        <f>(R4*V4/3600)/1000</f>
        <v>0</v>
      </c>
      <c r="X4" s="56">
        <f t="shared" ref="X4:X67" si="6">ABS(W4)</f>
        <v>0</v>
      </c>
      <c r="Y4" s="56">
        <f t="shared" ref="Y4:Y67" si="7">W4*3.09</f>
        <v>0</v>
      </c>
      <c r="Z4" s="79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43" x14ac:dyDescent="0.3">
      <c r="A5" s="55">
        <v>1</v>
      </c>
      <c r="B5" s="56" t="s">
        <v>102</v>
      </c>
      <c r="C5" s="56">
        <f t="shared" ref="C5:C68" si="8">C4+1</f>
        <v>2</v>
      </c>
      <c r="D5" s="56">
        <f t="shared" si="0"/>
        <v>4.4740000000000002</v>
      </c>
      <c r="E5" s="56">
        <v>2</v>
      </c>
      <c r="F5" s="94">
        <f>($C$4/E5)+F4</f>
        <v>1.5</v>
      </c>
      <c r="G5" s="56">
        <f>G4+750</f>
        <v>1500</v>
      </c>
      <c r="H5" s="56">
        <v>1</v>
      </c>
      <c r="I5" s="94">
        <f>E5-E4</f>
        <v>1</v>
      </c>
      <c r="J5" s="56">
        <f>(0.5*VEHICLE!$C$71*VEHICLE!$C$28*VEHICLE!$C$27*'Drive Cycle'!E5^2)</f>
        <v>3.5584163999999996</v>
      </c>
      <c r="K5" s="56">
        <f>IF(A5=1,VEHICLE!$S$5,IF(A5=2,VEHICLE!$Q$5,IF(A5=3,VEHICLE!$R$5,IF(A5=4,VEHICLE!$P$5,1))))</f>
        <v>72.351594900000009</v>
      </c>
      <c r="L5" s="56">
        <v>0</v>
      </c>
      <c r="M5" s="56">
        <f t="shared" ref="M5:M68" si="9">L5-L4</f>
        <v>0</v>
      </c>
      <c r="N5" s="56">
        <f t="shared" si="1"/>
        <v>0</v>
      </c>
      <c r="O5" s="56">
        <f t="shared" si="2"/>
        <v>0</v>
      </c>
      <c r="P5" s="56">
        <f t="shared" si="3"/>
        <v>75.910011300000008</v>
      </c>
      <c r="Q5" s="56">
        <f>IF(H5=1,I5*VEHICLE!$C$69,IF(H5=2,VEHICLE!$C$70*I5,IF(H5=3,VEHICLE!$C$71*I5,0)))</f>
        <v>587.32023542819468</v>
      </c>
      <c r="R5" s="56">
        <f>(J5+K5+O5+Q5)</f>
        <v>663.23024672819474</v>
      </c>
      <c r="S5" s="56">
        <f t="shared" si="4"/>
        <v>663.23024672819474</v>
      </c>
      <c r="T5" s="56">
        <f>ABS((R5)/((2*PI()*G5)/60))</f>
        <v>4.2222548869939818</v>
      </c>
      <c r="U5" s="56">
        <f t="shared" si="5"/>
        <v>5</v>
      </c>
      <c r="V5" s="56">
        <f>INDEX(BSFC!$D$4:$AD$26,MATCH(U5,BSFC!$B$4:$B$26,0),MATCH(G5,BSFC!$D$2:$AD$2,0))</f>
        <v>750.31367136000006</v>
      </c>
      <c r="W5" s="56">
        <f t="shared" ref="W5:W68" si="10">(R5*V5/3600)/1000</f>
        <v>0.13823075593878625</v>
      </c>
      <c r="X5" s="56">
        <f t="shared" si="6"/>
        <v>0.13823075593878625</v>
      </c>
      <c r="Y5" s="56">
        <f t="shared" si="7"/>
        <v>0.4271330358508495</v>
      </c>
      <c r="Z5" s="79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43" x14ac:dyDescent="0.3">
      <c r="A6" s="55">
        <v>1</v>
      </c>
      <c r="B6" s="56" t="s">
        <v>102</v>
      </c>
      <c r="C6" s="56">
        <f t="shared" si="8"/>
        <v>3</v>
      </c>
      <c r="D6" s="56">
        <f t="shared" si="0"/>
        <v>6.7110000000000003</v>
      </c>
      <c r="E6" s="56">
        <v>3</v>
      </c>
      <c r="F6" s="94">
        <f>($C$4/E6)+F5</f>
        <v>1.8333333333333333</v>
      </c>
      <c r="G6" s="56">
        <f t="shared" ref="G6:G12" si="11">G5+750</f>
        <v>2250</v>
      </c>
      <c r="H6" s="56">
        <v>1</v>
      </c>
      <c r="I6" s="94">
        <f>E6-E5</f>
        <v>1</v>
      </c>
      <c r="J6" s="56">
        <f>(0.5*VEHICLE!$C$71*VEHICLE!$C$28*VEHICLE!$C$27*'Drive Cycle'!E6^2)</f>
        <v>8.0064368999999989</v>
      </c>
      <c r="K6" s="56">
        <f>IF(A6=1,VEHICLE!$S$5,IF(A6=2,VEHICLE!$Q$5,IF(A6=3,VEHICLE!$R$5,IF(A6=4,VEHICLE!$P$5,1))))</f>
        <v>72.351594900000009</v>
      </c>
      <c r="L6" s="56">
        <v>0</v>
      </c>
      <c r="M6" s="56">
        <f t="shared" si="9"/>
        <v>0</v>
      </c>
      <c r="N6" s="56">
        <f t="shared" si="1"/>
        <v>0</v>
      </c>
      <c r="O6" s="56">
        <f t="shared" si="2"/>
        <v>0</v>
      </c>
      <c r="P6" s="56">
        <f t="shared" si="3"/>
        <v>80.358031800000006</v>
      </c>
      <c r="Q6" s="56">
        <f>IF(H6=1,I6*VEHICLE!$C$69,IF(H6=2,VEHICLE!$C$70*I6,IF(H6=3,VEHICLE!$C$71*I6,0)))</f>
        <v>587.32023542819468</v>
      </c>
      <c r="R6" s="56">
        <f>(J6+K6+O6+Q6)</f>
        <v>667.67826722819473</v>
      </c>
      <c r="S6" s="56">
        <f t="shared" si="4"/>
        <v>667.67826722819473</v>
      </c>
      <c r="T6" s="56">
        <f>ABS((R6)/((2*PI()*G6)/60))</f>
        <v>2.8337145766506295</v>
      </c>
      <c r="U6" s="56">
        <f t="shared" si="5"/>
        <v>3</v>
      </c>
      <c r="V6" s="56">
        <f>INDEX(BSFC!$D$4:$AD$26,MATCH(U6,BSFC!$B$4:$B$26,0),MATCH(G6,BSFC!$D$2:$AD$2,0))</f>
        <v>921.58629024000027</v>
      </c>
      <c r="W6" s="56">
        <f t="shared" si="10"/>
        <v>0.17092309371352873</v>
      </c>
      <c r="X6" s="56">
        <f t="shared" si="6"/>
        <v>0.17092309371352873</v>
      </c>
      <c r="Y6" s="56">
        <f t="shared" si="7"/>
        <v>0.52815235957480378</v>
      </c>
      <c r="Z6" s="79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43" x14ac:dyDescent="0.3">
      <c r="A7" s="55">
        <v>1</v>
      </c>
      <c r="B7" s="56" t="s">
        <v>102</v>
      </c>
      <c r="C7" s="56">
        <f t="shared" si="8"/>
        <v>4</v>
      </c>
      <c r="D7" s="56">
        <f t="shared" si="0"/>
        <v>8.9480000000000004</v>
      </c>
      <c r="E7" s="56">
        <v>4</v>
      </c>
      <c r="F7" s="94">
        <f>($C$4/E7)+F6</f>
        <v>2.083333333333333</v>
      </c>
      <c r="G7" s="56">
        <f t="shared" si="11"/>
        <v>3000</v>
      </c>
      <c r="H7" s="56">
        <v>1</v>
      </c>
      <c r="I7" s="94">
        <f>E7-E6</f>
        <v>1</v>
      </c>
      <c r="J7" s="56">
        <f>(0.5*VEHICLE!$C$71*VEHICLE!$C$28*VEHICLE!$C$27*'Drive Cycle'!E7^2)</f>
        <v>14.233665599999998</v>
      </c>
      <c r="K7" s="56">
        <f>IF(A7=1,VEHICLE!$S$5,IF(A7=2,VEHICLE!$Q$5,IF(A7=3,VEHICLE!$R$5,IF(A7=4,VEHICLE!$P$5,1))))</f>
        <v>72.351594900000009</v>
      </c>
      <c r="L7" s="56">
        <v>0</v>
      </c>
      <c r="M7" s="56">
        <f t="shared" si="9"/>
        <v>0</v>
      </c>
      <c r="N7" s="56">
        <f t="shared" si="1"/>
        <v>0</v>
      </c>
      <c r="O7" s="56">
        <f t="shared" si="2"/>
        <v>0</v>
      </c>
      <c r="P7" s="56">
        <f t="shared" si="3"/>
        <v>86.585260500000004</v>
      </c>
      <c r="Q7" s="56">
        <f>IF(H7=1,I7*VEHICLE!$C$69,IF(H7=2,VEHICLE!$C$70*I7,IF(H7=3,VEHICLE!$C$71*I7,0)))</f>
        <v>587.32023542819468</v>
      </c>
      <c r="R7" s="56">
        <f>(J7+K7+O7+Q7)</f>
        <v>673.90549592819468</v>
      </c>
      <c r="S7" s="56">
        <f t="shared" si="4"/>
        <v>673.90549592819468</v>
      </c>
      <c r="T7" s="56">
        <f>ABS((R7)/((2*PI()*G7)/60))</f>
        <v>2.1451078170753464</v>
      </c>
      <c r="U7" s="56">
        <f t="shared" si="5"/>
        <v>3</v>
      </c>
      <c r="V7" s="56">
        <f>INDEX(BSFC!$D$4:$AD$26,MATCH(U7,BSFC!$B$4:$B$26,0),MATCH(G7,BSFC!$D$2:$AD$2,0))</f>
        <v>875.83654128000001</v>
      </c>
      <c r="W7" s="56">
        <f t="shared" si="10"/>
        <v>0.16395307186203698</v>
      </c>
      <c r="X7" s="56">
        <f t="shared" si="6"/>
        <v>0.16395307186203698</v>
      </c>
      <c r="Y7" s="56">
        <f t="shared" si="7"/>
        <v>0.5066149920536942</v>
      </c>
      <c r="Z7" s="79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43" x14ac:dyDescent="0.3">
      <c r="A8" s="55">
        <v>1</v>
      </c>
      <c r="B8" s="56" t="s">
        <v>102</v>
      </c>
      <c r="C8" s="56">
        <f t="shared" si="8"/>
        <v>5</v>
      </c>
      <c r="D8" s="56">
        <f t="shared" si="0"/>
        <v>11.185</v>
      </c>
      <c r="E8" s="56">
        <v>5</v>
      </c>
      <c r="F8" s="94">
        <f>($C$4/E8)+F7</f>
        <v>2.2833333333333332</v>
      </c>
      <c r="G8" s="56">
        <f t="shared" si="11"/>
        <v>3750</v>
      </c>
      <c r="H8" s="56">
        <v>1</v>
      </c>
      <c r="I8" s="94">
        <f>E8-E7</f>
        <v>1</v>
      </c>
      <c r="J8" s="56">
        <f>(0.5*VEHICLE!$C$71*VEHICLE!$C$28*VEHICLE!$C$27*'Drive Cycle'!E8^2)</f>
        <v>22.240102499999999</v>
      </c>
      <c r="K8" s="56">
        <f>IF(A8=1,VEHICLE!$S$5,IF(A8=2,VEHICLE!$Q$5,IF(A8=3,VEHICLE!$R$5,IF(A8=4,VEHICLE!$P$5,1))))</f>
        <v>72.351594900000009</v>
      </c>
      <c r="L8" s="56">
        <v>0</v>
      </c>
      <c r="M8" s="56">
        <f t="shared" si="9"/>
        <v>0</v>
      </c>
      <c r="N8" s="56">
        <f t="shared" si="1"/>
        <v>0</v>
      </c>
      <c r="O8" s="56">
        <f t="shared" si="2"/>
        <v>0</v>
      </c>
      <c r="P8" s="56">
        <f t="shared" si="3"/>
        <v>94.591697400000015</v>
      </c>
      <c r="Q8" s="56">
        <f>IF(H8=1,I8*VEHICLE!$C$69,IF(H8=2,VEHICLE!$C$70*I8,IF(H8=3,VEHICLE!$C$71*I8,0)))</f>
        <v>587.32023542819468</v>
      </c>
      <c r="R8" s="56">
        <f>(J8+K8+O8+Q8)</f>
        <v>681.91193282819472</v>
      </c>
      <c r="S8" s="56">
        <f t="shared" si="4"/>
        <v>681.91193282819472</v>
      </c>
      <c r="T8" s="56">
        <f>ABS((R8)/((2*PI()*G8)/60))</f>
        <v>1.7364744778072909</v>
      </c>
      <c r="U8" s="56">
        <f t="shared" si="5"/>
        <v>2</v>
      </c>
      <c r="V8" s="56">
        <f>INDEX(BSFC!$D$4:$AD$26,MATCH(U8,BSFC!$B$4:$B$26,0),MATCH(G8,BSFC!$D$2:$AD$2,0))</f>
        <v>928.43257663999975</v>
      </c>
      <c r="W8" s="56">
        <f t="shared" si="10"/>
        <v>0.17586368134367869</v>
      </c>
      <c r="X8" s="56">
        <f t="shared" si="6"/>
        <v>0.17586368134367869</v>
      </c>
      <c r="Y8" s="56">
        <f t="shared" si="7"/>
        <v>0.54341877535196714</v>
      </c>
      <c r="Z8" s="79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43" x14ac:dyDescent="0.3">
      <c r="A9" s="55">
        <v>1</v>
      </c>
      <c r="B9" s="56" t="s">
        <v>102</v>
      </c>
      <c r="C9" s="56">
        <f t="shared" si="8"/>
        <v>6</v>
      </c>
      <c r="D9" s="56">
        <f t="shared" si="0"/>
        <v>13.422000000000001</v>
      </c>
      <c r="E9" s="56">
        <v>6</v>
      </c>
      <c r="F9" s="94">
        <f>($C$4/E9)+F8</f>
        <v>2.4499999999999997</v>
      </c>
      <c r="G9" s="56">
        <f t="shared" si="11"/>
        <v>4500</v>
      </c>
      <c r="H9" s="56">
        <v>1</v>
      </c>
      <c r="I9" s="94">
        <f>E9-E8</f>
        <v>1</v>
      </c>
      <c r="J9" s="56">
        <f>(0.5*VEHICLE!$C$71*VEHICLE!$C$28*VEHICLE!$C$27*'Drive Cycle'!E9^2)</f>
        <v>32.025747599999995</v>
      </c>
      <c r="K9" s="56">
        <f>IF(A9=1,VEHICLE!$S$5,IF(A9=2,VEHICLE!$Q$5,IF(A9=3,VEHICLE!$R$5,IF(A9=4,VEHICLE!$P$5,1))))</f>
        <v>72.351594900000009</v>
      </c>
      <c r="L9" s="56">
        <v>0</v>
      </c>
      <c r="M9" s="56">
        <f t="shared" si="9"/>
        <v>0</v>
      </c>
      <c r="N9" s="56">
        <f t="shared" si="1"/>
        <v>0</v>
      </c>
      <c r="O9" s="56">
        <f t="shared" si="2"/>
        <v>0</v>
      </c>
      <c r="P9" s="56">
        <f t="shared" si="3"/>
        <v>104.3773425</v>
      </c>
      <c r="Q9" s="56">
        <f>IF(H9=1,I9*VEHICLE!$C$69,IF(H9=2,VEHICLE!$C$70*I9,IF(H9=3,VEHICLE!$C$71*I9,0)))</f>
        <v>587.32023542819468</v>
      </c>
      <c r="R9" s="56">
        <f>(J9+K9+O9+Q9)</f>
        <v>691.69757792819473</v>
      </c>
      <c r="S9" s="56">
        <f t="shared" si="4"/>
        <v>691.69757792819473</v>
      </c>
      <c r="T9" s="56">
        <f>ABS((R9)/((2*PI()*G9)/60))</f>
        <v>1.4678278486928489</v>
      </c>
      <c r="U9" s="56">
        <f t="shared" si="5"/>
        <v>2</v>
      </c>
      <c r="V9" s="56">
        <f>INDEX(BSFC!$D$4:$AD$26,MATCH(U9,BSFC!$B$4:$B$26,0),MATCH(G9,BSFC!$D$2:$AD$2,0))</f>
        <v>900.04656767999984</v>
      </c>
      <c r="W9" s="56">
        <f t="shared" si="10"/>
        <v>0.17293334191301135</v>
      </c>
      <c r="X9" s="56">
        <f t="shared" si="6"/>
        <v>0.17293334191301135</v>
      </c>
      <c r="Y9" s="56">
        <f t="shared" si="7"/>
        <v>0.53436402651120507</v>
      </c>
      <c r="Z9" s="79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43" x14ac:dyDescent="0.3">
      <c r="A10" s="55">
        <v>1</v>
      </c>
      <c r="B10" s="56" t="s">
        <v>102</v>
      </c>
      <c r="C10" s="56">
        <f t="shared" si="8"/>
        <v>7</v>
      </c>
      <c r="D10" s="56">
        <f t="shared" si="0"/>
        <v>15.659000000000001</v>
      </c>
      <c r="E10" s="56">
        <v>7</v>
      </c>
      <c r="F10" s="94">
        <f>($C$4/E10)+F9</f>
        <v>2.5928571428571425</v>
      </c>
      <c r="G10" s="56">
        <f t="shared" si="11"/>
        <v>5250</v>
      </c>
      <c r="H10" s="56">
        <v>2</v>
      </c>
      <c r="I10" s="94">
        <f>E10-E9</f>
        <v>1</v>
      </c>
      <c r="J10" s="56">
        <f>(0.5*VEHICLE!$C$71*VEHICLE!$C$28*VEHICLE!$C$27*'Drive Cycle'!E10^2)</f>
        <v>43.590600899999998</v>
      </c>
      <c r="K10" s="56">
        <f>IF(A10=1,VEHICLE!$S$5,IF(A10=2,VEHICLE!$Q$5,IF(A10=3,VEHICLE!$R$5,IF(A10=4,VEHICLE!$P$5,1))))</f>
        <v>72.351594900000009</v>
      </c>
      <c r="L10" s="56">
        <v>0</v>
      </c>
      <c r="M10" s="56">
        <f t="shared" si="9"/>
        <v>0</v>
      </c>
      <c r="N10" s="56">
        <f t="shared" si="1"/>
        <v>0</v>
      </c>
      <c r="O10" s="56">
        <f t="shared" si="2"/>
        <v>0</v>
      </c>
      <c r="P10" s="56">
        <f t="shared" si="3"/>
        <v>115.94219580000001</v>
      </c>
      <c r="Q10" s="56">
        <f>IF(H10=1,I10*VEHICLE!$C$69,IF(H10=2,VEHICLE!$C$70*I10,IF(H10=3,VEHICLE!$C$71*I10,0)))</f>
        <v>585.14848653011734</v>
      </c>
      <c r="R10" s="56">
        <f>(J10+K10+O10+Q10)</f>
        <v>701.09068233011737</v>
      </c>
      <c r="S10" s="56">
        <f t="shared" si="4"/>
        <v>701.09068233011737</v>
      </c>
      <c r="T10" s="56">
        <f>ABS((R10)/((2*PI()*G10)/60))</f>
        <v>1.2752234016972332</v>
      </c>
      <c r="U10" s="56">
        <f t="shared" si="5"/>
        <v>2</v>
      </c>
      <c r="V10" s="56">
        <f>INDEX(BSFC!$D$4:$AD$26,MATCH(U10,BSFC!$B$4:$B$26,0),MATCH(G10,BSFC!$D$2:$AD$2,0))</f>
        <v>873.71643872000004</v>
      </c>
      <c r="W10" s="56">
        <f t="shared" si="10"/>
        <v>0.17015401505145694</v>
      </c>
      <c r="X10" s="56">
        <f t="shared" si="6"/>
        <v>0.17015401505145694</v>
      </c>
      <c r="Y10" s="56">
        <f t="shared" si="7"/>
        <v>0.52577590650900197</v>
      </c>
      <c r="Z10" s="79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43" x14ac:dyDescent="0.3">
      <c r="A11" s="55">
        <v>1</v>
      </c>
      <c r="B11" s="56" t="s">
        <v>102</v>
      </c>
      <c r="C11" s="56">
        <f t="shared" si="8"/>
        <v>8</v>
      </c>
      <c r="D11" s="56">
        <f t="shared" si="0"/>
        <v>17.896000000000001</v>
      </c>
      <c r="E11" s="56">
        <v>8</v>
      </c>
      <c r="F11" s="94">
        <f>($C$4/E11)+F10</f>
        <v>2.7178571428571425</v>
      </c>
      <c r="G11" s="56">
        <f t="shared" si="11"/>
        <v>6000</v>
      </c>
      <c r="H11" s="56">
        <v>2</v>
      </c>
      <c r="I11" s="94">
        <f>E11-E10</f>
        <v>1</v>
      </c>
      <c r="J11" s="56">
        <f>(0.5*VEHICLE!$C$71*VEHICLE!$C$28*VEHICLE!$C$27*'Drive Cycle'!E11^2)</f>
        <v>56.934662399999993</v>
      </c>
      <c r="K11" s="56">
        <f>IF(A11=1,VEHICLE!$S$5,IF(A11=2,VEHICLE!$Q$5,IF(A11=3,VEHICLE!$R$5,IF(A11=4,VEHICLE!$P$5,1))))</f>
        <v>72.351594900000009</v>
      </c>
      <c r="L11" s="56">
        <v>0</v>
      </c>
      <c r="M11" s="56">
        <f t="shared" si="9"/>
        <v>0</v>
      </c>
      <c r="N11" s="56">
        <f t="shared" si="1"/>
        <v>0</v>
      </c>
      <c r="O11" s="56">
        <f t="shared" si="2"/>
        <v>0</v>
      </c>
      <c r="P11" s="56">
        <f t="shared" si="3"/>
        <v>129.28625729999999</v>
      </c>
      <c r="Q11" s="56">
        <f>IF(H11=1,I11*VEHICLE!$C$69,IF(H11=2,VEHICLE!$C$70*I11,IF(H11=3,VEHICLE!$C$71*I11,0)))</f>
        <v>585.14848653011734</v>
      </c>
      <c r="R11" s="56">
        <f>(J11+K11+O11+Q11)</f>
        <v>714.43474383011733</v>
      </c>
      <c r="S11" s="56">
        <f t="shared" si="4"/>
        <v>714.43474383011733</v>
      </c>
      <c r="T11" s="56">
        <f>ABS((R11)/((2*PI()*G11)/60))</f>
        <v>1.1370582099715514</v>
      </c>
      <c r="U11" s="56">
        <f t="shared" si="5"/>
        <v>2</v>
      </c>
      <c r="V11" s="56">
        <f>INDEX(BSFC!$D$4:$AD$26,MATCH(U11,BSFC!$B$4:$B$26,0),MATCH(G11,BSFC!$D$2:$AD$2,0))</f>
        <v>881.66816232000019</v>
      </c>
      <c r="W11" s="56">
        <f t="shared" si="10"/>
        <v>0.17497065769173878</v>
      </c>
      <c r="X11" s="56">
        <f t="shared" si="6"/>
        <v>0.17497065769173878</v>
      </c>
      <c r="Y11" s="56">
        <f t="shared" si="7"/>
        <v>0.54065933226747276</v>
      </c>
      <c r="Z11" s="79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43" x14ac:dyDescent="0.3">
      <c r="A12" s="55">
        <v>1</v>
      </c>
      <c r="B12" s="56" t="s">
        <v>102</v>
      </c>
      <c r="C12" s="56">
        <f t="shared" si="8"/>
        <v>9</v>
      </c>
      <c r="D12" s="56">
        <f t="shared" si="0"/>
        <v>20.133000000000003</v>
      </c>
      <c r="E12" s="56">
        <v>9</v>
      </c>
      <c r="F12" s="94">
        <f>($C$4/E12)+F11</f>
        <v>2.8289682539682537</v>
      </c>
      <c r="G12" s="56">
        <f t="shared" si="11"/>
        <v>6750</v>
      </c>
      <c r="H12" s="56">
        <v>2</v>
      </c>
      <c r="I12" s="94">
        <f>E12-E11</f>
        <v>1</v>
      </c>
      <c r="J12" s="56">
        <f>(0.5*VEHICLE!$C$71*VEHICLE!$C$28*VEHICLE!$C$27*'Drive Cycle'!E12^2)</f>
        <v>72.057932099999988</v>
      </c>
      <c r="K12" s="56">
        <f>IF(A12=1,VEHICLE!$S$5,IF(A12=2,VEHICLE!$Q$5,IF(A12=3,VEHICLE!$R$5,IF(A12=4,VEHICLE!$P$5,1))))</f>
        <v>72.351594900000009</v>
      </c>
      <c r="L12" s="56">
        <v>0</v>
      </c>
      <c r="M12" s="56">
        <f t="shared" si="9"/>
        <v>0</v>
      </c>
      <c r="N12" s="56">
        <f t="shared" si="1"/>
        <v>0</v>
      </c>
      <c r="O12" s="56">
        <f t="shared" si="2"/>
        <v>0</v>
      </c>
      <c r="P12" s="56">
        <f t="shared" si="3"/>
        <v>144.409527</v>
      </c>
      <c r="Q12" s="56">
        <f>IF(H12=1,I12*VEHICLE!$C$69,IF(H12=2,VEHICLE!$C$70*I12,IF(H12=3,VEHICLE!$C$71*I12,0)))</f>
        <v>585.14848653011734</v>
      </c>
      <c r="R12" s="56">
        <f>(J12+K12+O12+Q12)</f>
        <v>729.55801353011736</v>
      </c>
      <c r="S12" s="56">
        <f t="shared" si="4"/>
        <v>729.55801353011736</v>
      </c>
      <c r="T12" s="56">
        <f>ABS((R12)/((2*PI()*G12)/60))</f>
        <v>1.0321134588944181</v>
      </c>
      <c r="U12" s="56">
        <f t="shared" si="5"/>
        <v>2</v>
      </c>
      <c r="V12" s="56">
        <f>INDEX(BSFC!$D$4:$AD$26,MATCH(U12,BSFC!$B$4:$B$26,0),MATCH(G12,BSFC!$D$2:$AD$2,0))</f>
        <v>914.12972883999998</v>
      </c>
      <c r="W12" s="56">
        <f t="shared" si="10"/>
        <v>0.18525296363370422</v>
      </c>
      <c r="X12" s="56">
        <f t="shared" si="6"/>
        <v>0.18525296363370422</v>
      </c>
      <c r="Y12" s="56">
        <f t="shared" si="7"/>
        <v>0.57243165762814596</v>
      </c>
      <c r="Z12" s="79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43" x14ac:dyDescent="0.3">
      <c r="A13" s="55">
        <v>1</v>
      </c>
      <c r="B13" s="56" t="s">
        <v>102</v>
      </c>
      <c r="C13" s="56">
        <f t="shared" si="8"/>
        <v>10</v>
      </c>
      <c r="D13" s="56">
        <f t="shared" si="0"/>
        <v>22.37</v>
      </c>
      <c r="E13" s="56">
        <v>10</v>
      </c>
      <c r="F13" s="94">
        <f>($C$4/E13)+F12</f>
        <v>2.9289682539682538</v>
      </c>
      <c r="G13" s="56">
        <v>7000</v>
      </c>
      <c r="H13" s="56">
        <v>2</v>
      </c>
      <c r="I13" s="94">
        <f>E13-E12</f>
        <v>1</v>
      </c>
      <c r="J13" s="56">
        <f>(0.5*VEHICLE!$C$71*VEHICLE!$C$28*VEHICLE!$C$27*'Drive Cycle'!E13^2)</f>
        <v>88.960409999999996</v>
      </c>
      <c r="K13" s="56">
        <f>IF(A13=1,VEHICLE!$S$5,IF(A13=2,VEHICLE!$Q$5,IF(A13=3,VEHICLE!$R$5,IF(A13=4,VEHICLE!$P$5,1))))</f>
        <v>72.351594900000009</v>
      </c>
      <c r="L13" s="56">
        <v>0</v>
      </c>
      <c r="M13" s="56">
        <f t="shared" si="9"/>
        <v>0</v>
      </c>
      <c r="N13" s="56">
        <f t="shared" si="1"/>
        <v>0</v>
      </c>
      <c r="O13" s="56">
        <f t="shared" si="2"/>
        <v>0</v>
      </c>
      <c r="P13" s="56">
        <f t="shared" si="3"/>
        <v>161.31200490000001</v>
      </c>
      <c r="Q13" s="56">
        <f>IF(H13=1,I13*VEHICLE!$C$69,IF(H13=2,VEHICLE!$C$70*I13,IF(H13=3,VEHICLE!$C$71*I13,0)))</f>
        <v>585.14848653011734</v>
      </c>
      <c r="R13" s="56">
        <f>(J13+K13+O13+Q13)</f>
        <v>746.46049143011737</v>
      </c>
      <c r="S13" s="56">
        <f t="shared" si="4"/>
        <v>746.46049143011737</v>
      </c>
      <c r="T13" s="56">
        <f>ABS((R13)/((2*PI()*G13)/60))</f>
        <v>1.0183103745763591</v>
      </c>
      <c r="U13" s="56">
        <f t="shared" si="5"/>
        <v>2</v>
      </c>
      <c r="V13" s="56">
        <f>INDEX(BSFC!$D$4:$AD$26,MATCH(U13,BSFC!$B$4:$B$26,0),MATCH(G13,BSFC!$D$2:$AD$2,0))</f>
        <v>911.73559271999989</v>
      </c>
      <c r="W13" s="56">
        <f t="shared" si="10"/>
        <v>0.1890484996100279</v>
      </c>
      <c r="X13" s="56">
        <f t="shared" si="6"/>
        <v>0.1890484996100279</v>
      </c>
      <c r="Y13" s="56">
        <f t="shared" si="7"/>
        <v>0.58415986379498619</v>
      </c>
      <c r="Z13" s="79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43" x14ac:dyDescent="0.3">
      <c r="A14" s="55">
        <v>1</v>
      </c>
      <c r="B14" s="56" t="s">
        <v>102</v>
      </c>
      <c r="C14" s="56">
        <f t="shared" si="8"/>
        <v>11</v>
      </c>
      <c r="D14" s="56">
        <f t="shared" si="0"/>
        <v>24.606999999999999</v>
      </c>
      <c r="E14" s="56">
        <v>11</v>
      </c>
      <c r="F14" s="94">
        <f>($C$4/E14)+F13</f>
        <v>3.0198773448773446</v>
      </c>
      <c r="G14" s="56">
        <v>7000</v>
      </c>
      <c r="H14" s="56">
        <v>3</v>
      </c>
      <c r="I14" s="94">
        <f>E14-E13</f>
        <v>1</v>
      </c>
      <c r="J14" s="56">
        <f>(0.5*VEHICLE!$C$71*VEHICLE!$C$28*VEHICLE!$C$27*'Drive Cycle'!E14^2)</f>
        <v>107.64209609999999</v>
      </c>
      <c r="K14" s="56">
        <f>IF(A14=1,VEHICLE!$S$5,IF(A14=2,VEHICLE!$Q$5,IF(A14=3,VEHICLE!$R$5,IF(A14=4,VEHICLE!$P$5,1))))</f>
        <v>72.351594900000009</v>
      </c>
      <c r="L14" s="56">
        <v>0</v>
      </c>
      <c r="M14" s="56">
        <f t="shared" si="9"/>
        <v>0</v>
      </c>
      <c r="N14" s="56">
        <f t="shared" si="1"/>
        <v>0</v>
      </c>
      <c r="O14" s="56">
        <f t="shared" si="2"/>
        <v>0</v>
      </c>
      <c r="P14" s="56">
        <f t="shared" si="3"/>
        <v>179.99369100000001</v>
      </c>
      <c r="Q14" s="56">
        <f>IF(H14=1,I14*VEHICLE!$C$69,IF(H14=2,VEHICLE!$C$70*I14,IF(H14=3,VEHICLE!$C$71*I14,0)))</f>
        <v>1.167</v>
      </c>
      <c r="R14" s="56">
        <f>(J14+K14+O14+Q14)</f>
        <v>181.16069100000001</v>
      </c>
      <c r="S14" s="56">
        <f t="shared" si="4"/>
        <v>181.16069100000001</v>
      </c>
      <c r="T14" s="56">
        <f>ABS((R14)/((2*PI()*G14)/60))</f>
        <v>0.24713673828508664</v>
      </c>
      <c r="U14" s="56">
        <f t="shared" si="5"/>
        <v>1</v>
      </c>
      <c r="V14" s="56">
        <f>INDEX(BSFC!$D$4:$AD$26,MATCH(U14,BSFC!$B$4:$B$26,0),MATCH(G14,BSFC!$D$2:$AD$2,0))</f>
        <v>920.25590927999997</v>
      </c>
      <c r="W14" s="56">
        <f t="shared" si="10"/>
        <v>4.6309499006110581E-2</v>
      </c>
      <c r="X14" s="56">
        <f t="shared" si="6"/>
        <v>4.6309499006110581E-2</v>
      </c>
      <c r="Y14" s="56">
        <f t="shared" si="7"/>
        <v>0.14309635192888168</v>
      </c>
      <c r="Z14" s="79"/>
      <c r="AA14" s="95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43" x14ac:dyDescent="0.3">
      <c r="A15" s="55">
        <v>1</v>
      </c>
      <c r="B15" s="56" t="s">
        <v>102</v>
      </c>
      <c r="C15" s="56">
        <f t="shared" si="8"/>
        <v>12</v>
      </c>
      <c r="D15" s="56">
        <f t="shared" si="0"/>
        <v>26.844000000000001</v>
      </c>
      <c r="E15" s="56">
        <v>12</v>
      </c>
      <c r="F15" s="94">
        <f>($C$4/E15)+F14</f>
        <v>3.1032106782106781</v>
      </c>
      <c r="G15" s="56">
        <v>7000</v>
      </c>
      <c r="H15" s="56">
        <v>3</v>
      </c>
      <c r="I15" s="94">
        <f>E15-E14</f>
        <v>1</v>
      </c>
      <c r="J15" s="56">
        <f>(0.5*VEHICLE!$C$71*VEHICLE!$C$28*VEHICLE!$C$27*'Drive Cycle'!E15^2)</f>
        <v>128.10299039999998</v>
      </c>
      <c r="K15" s="56">
        <f>IF(A15=1,VEHICLE!$S$5,IF(A15=2,VEHICLE!$Q$5,IF(A15=3,VEHICLE!$R$5,IF(A15=4,VEHICLE!$P$5,1))))</f>
        <v>72.351594900000009</v>
      </c>
      <c r="L15" s="56">
        <v>0</v>
      </c>
      <c r="M15" s="56">
        <f t="shared" si="9"/>
        <v>0</v>
      </c>
      <c r="N15" s="56">
        <f t="shared" si="1"/>
        <v>0</v>
      </c>
      <c r="O15" s="56">
        <f t="shared" si="2"/>
        <v>0</v>
      </c>
      <c r="P15" s="56">
        <f t="shared" si="3"/>
        <v>200.45458529999999</v>
      </c>
      <c r="Q15" s="56">
        <f>IF(H15=1,I15*VEHICLE!$C$69,IF(H15=2,VEHICLE!$C$70*I15,IF(H15=3,VEHICLE!$C$71*I15,0)))</f>
        <v>1.167</v>
      </c>
      <c r="R15" s="56">
        <f>(J15+K15+O15+Q15)</f>
        <v>201.62158529999999</v>
      </c>
      <c r="S15" s="56">
        <f t="shared" si="4"/>
        <v>201.62158529999999</v>
      </c>
      <c r="T15" s="56">
        <f>ABS((R15)/((2*PI()*G15)/60))</f>
        <v>0.27504918801016476</v>
      </c>
      <c r="U15" s="56">
        <f t="shared" si="5"/>
        <v>1</v>
      </c>
      <c r="V15" s="56">
        <f>INDEX(BSFC!$D$4:$AD$26,MATCH(U15,BSFC!$B$4:$B$26,0),MATCH(G15,BSFC!$D$2:$AD$2,0))</f>
        <v>920.25590927999997</v>
      </c>
      <c r="W15" s="56">
        <f t="shared" si="10"/>
        <v>5.1539848697424048E-2</v>
      </c>
      <c r="X15" s="56">
        <f t="shared" si="6"/>
        <v>5.1539848697424048E-2</v>
      </c>
      <c r="Y15" s="56">
        <f t="shared" si="7"/>
        <v>0.15925813247504031</v>
      </c>
      <c r="Z15" s="79"/>
      <c r="AA15" s="95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43" x14ac:dyDescent="0.3">
      <c r="A16" s="55">
        <v>1</v>
      </c>
      <c r="B16" s="56" t="s">
        <v>102</v>
      </c>
      <c r="C16" s="56">
        <f t="shared" si="8"/>
        <v>13</v>
      </c>
      <c r="D16" s="56">
        <f t="shared" si="0"/>
        <v>29.081000000000003</v>
      </c>
      <c r="E16" s="94">
        <v>13</v>
      </c>
      <c r="F16" s="94">
        <f>($C$4/E16)+F15</f>
        <v>3.1801337551337552</v>
      </c>
      <c r="G16" s="56">
        <v>7000</v>
      </c>
      <c r="H16" s="56">
        <v>3</v>
      </c>
      <c r="I16" s="94">
        <f>E16-E15</f>
        <v>1</v>
      </c>
      <c r="J16" s="56">
        <f>(0.5*VEHICLE!$C$71*VEHICLE!$C$28*VEHICLE!$C$27*'Drive Cycle'!E16^2)</f>
        <v>150.34309289999999</v>
      </c>
      <c r="K16" s="56">
        <f>IF(A16=1,VEHICLE!$S$5,IF(A16=2,VEHICLE!$Q$5,IF(A16=3,VEHICLE!$R$5,IF(A16=4,VEHICLE!$P$5,1))))</f>
        <v>72.351594900000009</v>
      </c>
      <c r="L16" s="56">
        <v>0</v>
      </c>
      <c r="M16" s="56">
        <f t="shared" si="9"/>
        <v>0</v>
      </c>
      <c r="N16" s="56">
        <f t="shared" si="1"/>
        <v>0</v>
      </c>
      <c r="O16" s="56">
        <f t="shared" si="2"/>
        <v>0</v>
      </c>
      <c r="P16" s="56">
        <f t="shared" si="3"/>
        <v>222.6946878</v>
      </c>
      <c r="Q16" s="56">
        <f>IF(H16=1,I16*VEHICLE!$C$69,IF(H16=2,VEHICLE!$C$70*I16,IF(H16=3,VEHICLE!$C$71*I16,0)))</f>
        <v>1.167</v>
      </c>
      <c r="R16" s="56">
        <f>(J16+K16+O16+Q16)</f>
        <v>223.8616878</v>
      </c>
      <c r="S16" s="56">
        <f t="shared" si="4"/>
        <v>223.8616878</v>
      </c>
      <c r="T16" s="56">
        <f>ABS((R16)/((2*PI()*G16)/60))</f>
        <v>0.3053888072765541</v>
      </c>
      <c r="U16" s="56">
        <f t="shared" si="5"/>
        <v>1</v>
      </c>
      <c r="V16" s="56">
        <f>INDEX(BSFC!$D$4:$AD$26,MATCH(U16,BSFC!$B$4:$B$26,0),MATCH(G16,BSFC!$D$2:$AD$2,0))</f>
        <v>920.25590927999997</v>
      </c>
      <c r="W16" s="56">
        <f t="shared" si="10"/>
        <v>5.7225011405373463E-2</v>
      </c>
      <c r="X16" s="56">
        <f t="shared" si="6"/>
        <v>5.7225011405373463E-2</v>
      </c>
      <c r="Y16" s="56">
        <f t="shared" si="7"/>
        <v>0.17682528524260399</v>
      </c>
      <c r="Z16" s="79"/>
      <c r="AA16" s="95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x14ac:dyDescent="0.3">
      <c r="A17" s="55">
        <v>1</v>
      </c>
      <c r="B17" s="56" t="s">
        <v>102</v>
      </c>
      <c r="C17" s="56">
        <f t="shared" si="8"/>
        <v>14</v>
      </c>
      <c r="D17" s="56">
        <f t="shared" si="0"/>
        <v>29.998170000000002</v>
      </c>
      <c r="E17" s="94">
        <v>13.41</v>
      </c>
      <c r="F17" s="94">
        <f>($C$4/E17)+F16</f>
        <v>3.2547049706445681</v>
      </c>
      <c r="G17" s="56">
        <v>7000</v>
      </c>
      <c r="H17" s="56">
        <v>3</v>
      </c>
      <c r="I17" s="94">
        <f>E17-E16</f>
        <v>0.41000000000000014</v>
      </c>
      <c r="J17" s="56">
        <f>(0.5*VEHICLE!$C$71*VEHICLE!$C$28*VEHICLE!$C$27*'Drive Cycle'!E17^2)</f>
        <v>159.97581505520998</v>
      </c>
      <c r="K17" s="56">
        <f>IF(A17=1,VEHICLE!$S$5,IF(A17=2,VEHICLE!$Q$5,IF(A17=3,VEHICLE!$R$5,IF(A17=4,VEHICLE!$P$5,1))))</f>
        <v>72.351594900000009</v>
      </c>
      <c r="L17" s="56">
        <v>0</v>
      </c>
      <c r="M17" s="56">
        <f t="shared" si="9"/>
        <v>0</v>
      </c>
      <c r="N17" s="56">
        <f t="shared" si="1"/>
        <v>0</v>
      </c>
      <c r="O17" s="56">
        <f t="shared" si="2"/>
        <v>0</v>
      </c>
      <c r="P17" s="56">
        <f t="shared" si="3"/>
        <v>232.32740995520999</v>
      </c>
      <c r="Q17" s="56">
        <f>IF(H17=1,I17*VEHICLE!$C$69,IF(H17=2,VEHICLE!$C$70*I17,IF(H17=3,VEHICLE!$C$71*I17,0)))</f>
        <v>0.47847000000000017</v>
      </c>
      <c r="R17" s="56">
        <f>(J17+K17+O17+Q17)</f>
        <v>232.80587995520997</v>
      </c>
      <c r="S17" s="56">
        <f t="shared" si="4"/>
        <v>232.80587995520997</v>
      </c>
      <c r="T17" s="56">
        <f>ABS((R17)/((2*PI()*G17)/60))</f>
        <v>0.31759034207768627</v>
      </c>
      <c r="U17" s="56">
        <f t="shared" si="5"/>
        <v>1</v>
      </c>
      <c r="V17" s="56">
        <f>INDEX(BSFC!$D$4:$AD$26,MATCH(U17,BSFC!$B$4:$B$26,0),MATCH(G17,BSFC!$D$2:$AD$2,0))</f>
        <v>920.25590927999997</v>
      </c>
      <c r="W17" s="56">
        <f t="shared" si="10"/>
        <v>5.95113852066423E-2</v>
      </c>
      <c r="X17" s="56">
        <f t="shared" si="6"/>
        <v>5.95113852066423E-2</v>
      </c>
      <c r="Y17" s="56">
        <f t="shared" si="7"/>
        <v>0.18389018028852469</v>
      </c>
      <c r="Z17" s="79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x14ac:dyDescent="0.3">
      <c r="A18" s="55">
        <v>1</v>
      </c>
      <c r="B18" s="56" t="s">
        <v>102</v>
      </c>
      <c r="C18" s="56">
        <f t="shared" si="8"/>
        <v>15</v>
      </c>
      <c r="D18" s="56">
        <f t="shared" si="0"/>
        <v>29.998170000000002</v>
      </c>
      <c r="E18" s="94">
        <v>13.41</v>
      </c>
      <c r="F18" s="94">
        <f>($C$4/E18)+F17</f>
        <v>3.329276186155381</v>
      </c>
      <c r="G18" s="56">
        <v>7000</v>
      </c>
      <c r="H18" s="56">
        <v>3</v>
      </c>
      <c r="I18" s="94">
        <f>E18-E17</f>
        <v>0</v>
      </c>
      <c r="J18" s="56">
        <f>(0.5*VEHICLE!$C$71*VEHICLE!$C$28*VEHICLE!$C$27*'Drive Cycle'!E18^2)</f>
        <v>159.97581505520998</v>
      </c>
      <c r="K18" s="56">
        <f>IF(A18=1,VEHICLE!$S$5,IF(A18=2,VEHICLE!$Q$5,IF(A18=3,VEHICLE!$R$5,IF(A18=4,VEHICLE!$P$5,1))))</f>
        <v>72.351594900000009</v>
      </c>
      <c r="L18" s="56">
        <v>0</v>
      </c>
      <c r="M18" s="56">
        <f t="shared" si="9"/>
        <v>0</v>
      </c>
      <c r="N18" s="56">
        <f t="shared" si="1"/>
        <v>0</v>
      </c>
      <c r="O18" s="56">
        <f t="shared" si="2"/>
        <v>0</v>
      </c>
      <c r="P18" s="56">
        <f t="shared" si="3"/>
        <v>232.32740995520999</v>
      </c>
      <c r="Q18" s="56">
        <f>IF(H18=1,I18*VEHICLE!$C$69,IF(H18=2,VEHICLE!$C$70*I18,IF(H18=3,VEHICLE!$C$71*I18,0)))</f>
        <v>0</v>
      </c>
      <c r="R18" s="56">
        <f>(J18+K18+O18+Q18)</f>
        <v>232.32740995520999</v>
      </c>
      <c r="S18" s="56">
        <f t="shared" si="4"/>
        <v>232.32740995520999</v>
      </c>
      <c r="T18" s="56">
        <f>ABS((R18)/((2*PI()*G18)/60))</f>
        <v>0.31693762037236189</v>
      </c>
      <c r="U18" s="56">
        <f t="shared" si="5"/>
        <v>1</v>
      </c>
      <c r="V18" s="56">
        <f>INDEX(BSFC!$D$4:$AD$26,MATCH(U18,BSFC!$B$4:$B$26,0),MATCH(G18,BSFC!$D$2:$AD$2,0))</f>
        <v>920.25590927999997</v>
      </c>
      <c r="W18" s="56">
        <f t="shared" si="10"/>
        <v>5.9389075527499745E-2</v>
      </c>
      <c r="X18" s="56">
        <f t="shared" si="6"/>
        <v>5.9389075527499745E-2</v>
      </c>
      <c r="Y18" s="56">
        <f t="shared" si="7"/>
        <v>0.18351224337997421</v>
      </c>
      <c r="Z18" s="79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3">
      <c r="A19" s="55">
        <v>1</v>
      </c>
      <c r="B19" s="56" t="s">
        <v>102</v>
      </c>
      <c r="C19" s="56">
        <f t="shared" si="8"/>
        <v>16</v>
      </c>
      <c r="D19" s="56">
        <f t="shared" si="0"/>
        <v>29.998170000000002</v>
      </c>
      <c r="E19" s="94">
        <v>13.41</v>
      </c>
      <c r="F19" s="94">
        <f>($C$4/E19)+F18</f>
        <v>3.4038474016661939</v>
      </c>
      <c r="G19" s="56">
        <v>7000</v>
      </c>
      <c r="H19" s="56">
        <v>3</v>
      </c>
      <c r="I19" s="94">
        <f>E19-E18</f>
        <v>0</v>
      </c>
      <c r="J19" s="56">
        <f>(0.5*VEHICLE!$C$71*VEHICLE!$C$28*VEHICLE!$C$27*'Drive Cycle'!E19^2)</f>
        <v>159.97581505520998</v>
      </c>
      <c r="K19" s="56">
        <f>IF(A19=1,VEHICLE!$S$5,IF(A19=2,VEHICLE!$Q$5,IF(A19=3,VEHICLE!$R$5,IF(A19=4,VEHICLE!$P$5,1))))</f>
        <v>72.351594900000009</v>
      </c>
      <c r="L19" s="56">
        <v>0</v>
      </c>
      <c r="M19" s="56">
        <f t="shared" si="9"/>
        <v>0</v>
      </c>
      <c r="N19" s="56">
        <f t="shared" si="1"/>
        <v>0</v>
      </c>
      <c r="O19" s="56">
        <f t="shared" si="2"/>
        <v>0</v>
      </c>
      <c r="P19" s="56">
        <f t="shared" si="3"/>
        <v>232.32740995520999</v>
      </c>
      <c r="Q19" s="56">
        <f>IF(H19=1,I19*VEHICLE!$C$69,IF(H19=2,VEHICLE!$C$70*I19,IF(H19=3,VEHICLE!$C$71*I19,0)))</f>
        <v>0</v>
      </c>
      <c r="R19" s="56">
        <f>(J19+K19+O19+Q19)</f>
        <v>232.32740995520999</v>
      </c>
      <c r="S19" s="56">
        <f t="shared" si="4"/>
        <v>232.32740995520999</v>
      </c>
      <c r="T19" s="56">
        <f>ABS((R19)/((2*PI()*G19)/60))</f>
        <v>0.31693762037236189</v>
      </c>
      <c r="U19" s="56">
        <f t="shared" si="5"/>
        <v>1</v>
      </c>
      <c r="V19" s="56">
        <f>INDEX(BSFC!$D$4:$AD$26,MATCH(U19,BSFC!$B$4:$B$26,0),MATCH(G19,BSFC!$D$2:$AD$2,0))</f>
        <v>920.25590927999997</v>
      </c>
      <c r="W19" s="56">
        <f t="shared" si="10"/>
        <v>5.9389075527499745E-2</v>
      </c>
      <c r="X19" s="56">
        <f t="shared" si="6"/>
        <v>5.9389075527499745E-2</v>
      </c>
      <c r="Y19" s="56">
        <f t="shared" si="7"/>
        <v>0.18351224337997421</v>
      </c>
      <c r="Z19" s="79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3">
      <c r="A20" s="55">
        <v>1</v>
      </c>
      <c r="B20" s="56" t="s">
        <v>102</v>
      </c>
      <c r="C20" s="56">
        <f t="shared" si="8"/>
        <v>17</v>
      </c>
      <c r="D20" s="56">
        <f t="shared" si="0"/>
        <v>29.998170000000002</v>
      </c>
      <c r="E20" s="94">
        <v>13.41</v>
      </c>
      <c r="F20" s="94">
        <f>($C$4/E20)+F19</f>
        <v>3.4784186171770068</v>
      </c>
      <c r="G20" s="56">
        <v>7000</v>
      </c>
      <c r="H20" s="56">
        <v>3</v>
      </c>
      <c r="I20" s="94">
        <f>E20-E19</f>
        <v>0</v>
      </c>
      <c r="J20" s="56">
        <f>(0.5*VEHICLE!$C$71*VEHICLE!$C$28*VEHICLE!$C$27*'Drive Cycle'!E20^2)</f>
        <v>159.97581505520998</v>
      </c>
      <c r="K20" s="56">
        <f>IF(A20=1,VEHICLE!$S$5,IF(A20=2,VEHICLE!$Q$5,IF(A20=3,VEHICLE!$R$5,IF(A20=4,VEHICLE!$P$5,1))))</f>
        <v>72.351594900000009</v>
      </c>
      <c r="L20" s="56">
        <v>0</v>
      </c>
      <c r="M20" s="56">
        <f t="shared" si="9"/>
        <v>0</v>
      </c>
      <c r="N20" s="56">
        <f t="shared" si="1"/>
        <v>0</v>
      </c>
      <c r="O20" s="56">
        <f t="shared" si="2"/>
        <v>0</v>
      </c>
      <c r="P20" s="56">
        <f t="shared" si="3"/>
        <v>232.32740995520999</v>
      </c>
      <c r="Q20" s="56">
        <f>IF(H20=1,I20*VEHICLE!$C$69,IF(H20=2,VEHICLE!$C$70*I20,IF(H20=3,VEHICLE!$C$71*I20,0)))</f>
        <v>0</v>
      </c>
      <c r="R20" s="56">
        <f>(J20+K20+O20+Q20)</f>
        <v>232.32740995520999</v>
      </c>
      <c r="S20" s="56">
        <f t="shared" si="4"/>
        <v>232.32740995520999</v>
      </c>
      <c r="T20" s="56">
        <f>ABS((R20)/((2*PI()*G20)/60))</f>
        <v>0.31693762037236189</v>
      </c>
      <c r="U20" s="56">
        <f t="shared" si="5"/>
        <v>1</v>
      </c>
      <c r="V20" s="56">
        <f>INDEX(BSFC!$D$4:$AD$26,MATCH(U20,BSFC!$B$4:$B$26,0),MATCH(G20,BSFC!$D$2:$AD$2,0))</f>
        <v>920.25590927999997</v>
      </c>
      <c r="W20" s="56">
        <f t="shared" si="10"/>
        <v>5.9389075527499745E-2</v>
      </c>
      <c r="X20" s="56">
        <f t="shared" si="6"/>
        <v>5.9389075527499745E-2</v>
      </c>
      <c r="Y20" s="56">
        <f t="shared" si="7"/>
        <v>0.18351224337997421</v>
      </c>
      <c r="Z20" s="79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3">
      <c r="A21" s="55">
        <v>1</v>
      </c>
      <c r="B21" s="56" t="s">
        <v>102</v>
      </c>
      <c r="C21" s="56">
        <f t="shared" si="8"/>
        <v>18</v>
      </c>
      <c r="D21" s="56">
        <f t="shared" si="0"/>
        <v>29.998170000000002</v>
      </c>
      <c r="E21" s="94">
        <v>13.41</v>
      </c>
      <c r="F21" s="94">
        <f>($C$4/E21)+F20</f>
        <v>3.5529898326878198</v>
      </c>
      <c r="G21" s="56">
        <v>7000</v>
      </c>
      <c r="H21" s="56">
        <v>3</v>
      </c>
      <c r="I21" s="94">
        <f>E21-E20</f>
        <v>0</v>
      </c>
      <c r="J21" s="56">
        <f>(0.5*VEHICLE!$C$71*VEHICLE!$C$28*VEHICLE!$C$27*'Drive Cycle'!E21^2)</f>
        <v>159.97581505520998</v>
      </c>
      <c r="K21" s="56">
        <f>IF(A21=1,VEHICLE!$S$5,IF(A21=2,VEHICLE!$Q$5,IF(A21=3,VEHICLE!$R$5,IF(A21=4,VEHICLE!$P$5,1))))</f>
        <v>72.351594900000009</v>
      </c>
      <c r="L21" s="56">
        <v>0</v>
      </c>
      <c r="M21" s="56">
        <f t="shared" si="9"/>
        <v>0</v>
      </c>
      <c r="N21" s="56">
        <f t="shared" si="1"/>
        <v>0</v>
      </c>
      <c r="O21" s="56">
        <f t="shared" si="2"/>
        <v>0</v>
      </c>
      <c r="P21" s="56">
        <f t="shared" si="3"/>
        <v>232.32740995520999</v>
      </c>
      <c r="Q21" s="56">
        <f>IF(H21=1,I21*VEHICLE!$C$69,IF(H21=2,VEHICLE!$C$70*I21,IF(H21=3,VEHICLE!$C$71*I21,0)))</f>
        <v>0</v>
      </c>
      <c r="R21" s="56">
        <f>(J21+K21+O21+Q21)</f>
        <v>232.32740995520999</v>
      </c>
      <c r="S21" s="56">
        <f t="shared" si="4"/>
        <v>232.32740995520999</v>
      </c>
      <c r="T21" s="56">
        <f>ABS((R21)/((2*PI()*G21)/60))</f>
        <v>0.31693762037236189</v>
      </c>
      <c r="U21" s="56">
        <f t="shared" si="5"/>
        <v>1</v>
      </c>
      <c r="V21" s="56">
        <f>INDEX(BSFC!$D$4:$AD$26,MATCH(U21,BSFC!$B$4:$B$26,0),MATCH(G21,BSFC!$D$2:$AD$2,0))</f>
        <v>920.25590927999997</v>
      </c>
      <c r="W21" s="56">
        <f t="shared" si="10"/>
        <v>5.9389075527499745E-2</v>
      </c>
      <c r="X21" s="56">
        <f t="shared" si="6"/>
        <v>5.9389075527499745E-2</v>
      </c>
      <c r="Y21" s="56">
        <f t="shared" si="7"/>
        <v>0.18351224337997421</v>
      </c>
      <c r="Z21" s="79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3">
      <c r="A22" s="55">
        <v>1</v>
      </c>
      <c r="B22" s="56" t="s">
        <v>102</v>
      </c>
      <c r="C22" s="56">
        <f t="shared" si="8"/>
        <v>19</v>
      </c>
      <c r="D22" s="56">
        <f t="shared" si="0"/>
        <v>29.998170000000002</v>
      </c>
      <c r="E22" s="94">
        <v>13.41</v>
      </c>
      <c r="F22" s="94">
        <f>($C$4/E22)+F21</f>
        <v>3.6275610481986327</v>
      </c>
      <c r="G22" s="56">
        <v>7000</v>
      </c>
      <c r="H22" s="56">
        <v>3</v>
      </c>
      <c r="I22" s="94">
        <f>E22-E21</f>
        <v>0</v>
      </c>
      <c r="J22" s="56">
        <f>(0.5*VEHICLE!$C$71*VEHICLE!$C$28*VEHICLE!$C$27*'Drive Cycle'!E22^2)</f>
        <v>159.97581505520998</v>
      </c>
      <c r="K22" s="56">
        <f>IF(A22=1,VEHICLE!$S$5,IF(A22=2,VEHICLE!$Q$5,IF(A22=3,VEHICLE!$R$5,IF(A22=4,VEHICLE!$P$5,1))))</f>
        <v>72.351594900000009</v>
      </c>
      <c r="L22" s="56">
        <v>0</v>
      </c>
      <c r="M22" s="56">
        <f t="shared" si="9"/>
        <v>0</v>
      </c>
      <c r="N22" s="56">
        <f t="shared" si="1"/>
        <v>0</v>
      </c>
      <c r="O22" s="56">
        <f t="shared" si="2"/>
        <v>0</v>
      </c>
      <c r="P22" s="56">
        <f t="shared" si="3"/>
        <v>232.32740995520999</v>
      </c>
      <c r="Q22" s="56">
        <f>IF(H22=1,I22*VEHICLE!$C$69,IF(H22=2,VEHICLE!$C$70*I22,IF(H22=3,VEHICLE!$C$71*I22,0)))</f>
        <v>0</v>
      </c>
      <c r="R22" s="56">
        <f>(J22+K22+O22+Q22)</f>
        <v>232.32740995520999</v>
      </c>
      <c r="S22" s="56">
        <f t="shared" si="4"/>
        <v>232.32740995520999</v>
      </c>
      <c r="T22" s="56">
        <f>ABS((R22)/((2*PI()*G22)/60))</f>
        <v>0.31693762037236189</v>
      </c>
      <c r="U22" s="56">
        <f t="shared" si="5"/>
        <v>1</v>
      </c>
      <c r="V22" s="56">
        <f>INDEX(BSFC!$D$4:$AD$26,MATCH(U22,BSFC!$B$4:$B$26,0),MATCH(G22,BSFC!$D$2:$AD$2,0))</f>
        <v>920.25590927999997</v>
      </c>
      <c r="W22" s="56">
        <f t="shared" si="10"/>
        <v>5.9389075527499745E-2</v>
      </c>
      <c r="X22" s="56">
        <f t="shared" si="6"/>
        <v>5.9389075527499745E-2</v>
      </c>
      <c r="Y22" s="56">
        <f t="shared" si="7"/>
        <v>0.18351224337997421</v>
      </c>
      <c r="Z22" s="79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3">
      <c r="A23" s="55">
        <v>1</v>
      </c>
      <c r="B23" s="56" t="s">
        <v>102</v>
      </c>
      <c r="C23" s="56">
        <f t="shared" si="8"/>
        <v>20</v>
      </c>
      <c r="D23" s="56">
        <f t="shared" si="0"/>
        <v>29.998170000000002</v>
      </c>
      <c r="E23" s="94">
        <v>13.41</v>
      </c>
      <c r="F23" s="94">
        <f>($C$4/E23)+F22</f>
        <v>3.7021322637094456</v>
      </c>
      <c r="G23" s="56">
        <v>7000</v>
      </c>
      <c r="H23" s="56">
        <v>3</v>
      </c>
      <c r="I23" s="94">
        <f>E23-E22</f>
        <v>0</v>
      </c>
      <c r="J23" s="56">
        <f>(0.5*VEHICLE!$C$71*VEHICLE!$C$28*VEHICLE!$C$27*'Drive Cycle'!E23^2)</f>
        <v>159.97581505520998</v>
      </c>
      <c r="K23" s="56">
        <f>IF(A23=1,VEHICLE!$S$5,IF(A23=2,VEHICLE!$Q$5,IF(A23=3,VEHICLE!$R$5,IF(A23=4,VEHICLE!$P$5,1))))</f>
        <v>72.351594900000009</v>
      </c>
      <c r="L23" s="56">
        <v>0</v>
      </c>
      <c r="M23" s="56">
        <f t="shared" si="9"/>
        <v>0</v>
      </c>
      <c r="N23" s="56">
        <f t="shared" si="1"/>
        <v>0</v>
      </c>
      <c r="O23" s="56">
        <f t="shared" si="2"/>
        <v>0</v>
      </c>
      <c r="P23" s="56">
        <f t="shared" si="3"/>
        <v>232.32740995520999</v>
      </c>
      <c r="Q23" s="56">
        <f>IF(H23=1,I23*VEHICLE!$C$69,IF(H23=2,VEHICLE!$C$70*I23,IF(H23=3,VEHICLE!$C$71*I23,0)))</f>
        <v>0</v>
      </c>
      <c r="R23" s="56">
        <f>(J23+K23+O23+Q23)</f>
        <v>232.32740995520999</v>
      </c>
      <c r="S23" s="56">
        <f t="shared" si="4"/>
        <v>232.32740995520999</v>
      </c>
      <c r="T23" s="56">
        <f>ABS((R23)/((2*PI()*G23)/60))</f>
        <v>0.31693762037236189</v>
      </c>
      <c r="U23" s="56">
        <f t="shared" si="5"/>
        <v>1</v>
      </c>
      <c r="V23" s="56">
        <f>INDEX(BSFC!$D$4:$AD$26,MATCH(U23,BSFC!$B$4:$B$26,0),MATCH(G23,BSFC!$D$2:$AD$2,0))</f>
        <v>920.25590927999997</v>
      </c>
      <c r="W23" s="56">
        <f t="shared" si="10"/>
        <v>5.9389075527499745E-2</v>
      </c>
      <c r="X23" s="56">
        <f t="shared" si="6"/>
        <v>5.9389075527499745E-2</v>
      </c>
      <c r="Y23" s="56">
        <f t="shared" si="7"/>
        <v>0.18351224337997421</v>
      </c>
      <c r="Z23" s="79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3">
      <c r="A24" s="55">
        <v>1</v>
      </c>
      <c r="B24" s="56" t="s">
        <v>102</v>
      </c>
      <c r="C24" s="56">
        <f t="shared" si="8"/>
        <v>21</v>
      </c>
      <c r="D24" s="56">
        <f t="shared" si="0"/>
        <v>29.998170000000002</v>
      </c>
      <c r="E24" s="94">
        <v>13.41</v>
      </c>
      <c r="F24" s="94">
        <f>($C$4/E24)+F23</f>
        <v>3.7767034792202585</v>
      </c>
      <c r="G24" s="56">
        <v>7000</v>
      </c>
      <c r="H24" s="56">
        <v>3</v>
      </c>
      <c r="I24" s="94">
        <f>E24-E23</f>
        <v>0</v>
      </c>
      <c r="J24" s="56">
        <f>(0.5*VEHICLE!$C$71*VEHICLE!$C$28*VEHICLE!$C$27*'Drive Cycle'!E24^2)</f>
        <v>159.97581505520998</v>
      </c>
      <c r="K24" s="56">
        <f>IF(A24=1,VEHICLE!$S$5,IF(A24=2,VEHICLE!$Q$5,IF(A24=3,VEHICLE!$R$5,IF(A24=4,VEHICLE!$P$5,1))))</f>
        <v>72.351594900000009</v>
      </c>
      <c r="L24" s="56">
        <v>0</v>
      </c>
      <c r="M24" s="56">
        <f t="shared" si="9"/>
        <v>0</v>
      </c>
      <c r="N24" s="56">
        <f t="shared" si="1"/>
        <v>0</v>
      </c>
      <c r="O24" s="56">
        <f t="shared" si="2"/>
        <v>0</v>
      </c>
      <c r="P24" s="56">
        <f t="shared" si="3"/>
        <v>232.32740995520999</v>
      </c>
      <c r="Q24" s="56">
        <f>IF(H24=1,I24*VEHICLE!$C$69,IF(H24=2,VEHICLE!$C$70*I24,IF(H24=3,VEHICLE!$C$71*I24,0)))</f>
        <v>0</v>
      </c>
      <c r="R24" s="56">
        <f>(J24+K24+O24+Q24)</f>
        <v>232.32740995520999</v>
      </c>
      <c r="S24" s="56">
        <f t="shared" si="4"/>
        <v>232.32740995520999</v>
      </c>
      <c r="T24" s="56">
        <f>ABS((R24)/((2*PI()*G24)/60))</f>
        <v>0.31693762037236189</v>
      </c>
      <c r="U24" s="56">
        <f t="shared" si="5"/>
        <v>1</v>
      </c>
      <c r="V24" s="56">
        <f>INDEX(BSFC!$D$4:$AD$26,MATCH(U24,BSFC!$B$4:$B$26,0),MATCH(G24,BSFC!$D$2:$AD$2,0))</f>
        <v>920.25590927999997</v>
      </c>
      <c r="W24" s="56">
        <f t="shared" si="10"/>
        <v>5.9389075527499745E-2</v>
      </c>
      <c r="X24" s="56">
        <f t="shared" si="6"/>
        <v>5.9389075527499745E-2</v>
      </c>
      <c r="Y24" s="56">
        <f t="shared" si="7"/>
        <v>0.18351224337997421</v>
      </c>
      <c r="Z24" s="79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3">
      <c r="A25" s="55">
        <v>1</v>
      </c>
      <c r="B25" s="56" t="s">
        <v>102</v>
      </c>
      <c r="C25" s="56">
        <f t="shared" si="8"/>
        <v>22</v>
      </c>
      <c r="D25" s="56">
        <f t="shared" si="0"/>
        <v>29.998170000000002</v>
      </c>
      <c r="E25" s="94">
        <v>13.41</v>
      </c>
      <c r="F25" s="94">
        <f>($C$4/E25)+F24</f>
        <v>3.8512746947310714</v>
      </c>
      <c r="G25" s="56">
        <v>7000</v>
      </c>
      <c r="H25" s="56">
        <v>3</v>
      </c>
      <c r="I25" s="94">
        <f>E25-E24</f>
        <v>0</v>
      </c>
      <c r="J25" s="56">
        <f>(0.5*VEHICLE!$C$71*VEHICLE!$C$28*VEHICLE!$C$27*'Drive Cycle'!E25^2)</f>
        <v>159.97581505520998</v>
      </c>
      <c r="K25" s="56">
        <f>IF(A25=1,VEHICLE!$S$5,IF(A25=2,VEHICLE!$Q$5,IF(A25=3,VEHICLE!$R$5,IF(A25=4,VEHICLE!$P$5,1))))</f>
        <v>72.351594900000009</v>
      </c>
      <c r="L25" s="56">
        <v>0</v>
      </c>
      <c r="M25" s="56">
        <f t="shared" si="9"/>
        <v>0</v>
      </c>
      <c r="N25" s="56">
        <f t="shared" si="1"/>
        <v>0</v>
      </c>
      <c r="O25" s="56">
        <f t="shared" si="2"/>
        <v>0</v>
      </c>
      <c r="P25" s="56">
        <f t="shared" si="3"/>
        <v>232.32740995520999</v>
      </c>
      <c r="Q25" s="56">
        <f>IF(H25=1,I25*VEHICLE!$C$69,IF(H25=2,VEHICLE!$C$70*I25,IF(H25=3,VEHICLE!$C$71*I25,0)))</f>
        <v>0</v>
      </c>
      <c r="R25" s="56">
        <f>(J25+K25+O25+Q25)</f>
        <v>232.32740995520999</v>
      </c>
      <c r="S25" s="56">
        <f t="shared" si="4"/>
        <v>232.32740995520999</v>
      </c>
      <c r="T25" s="56">
        <f>ABS((R25)/((2*PI()*G25)/60))</f>
        <v>0.31693762037236189</v>
      </c>
      <c r="U25" s="56">
        <f t="shared" si="5"/>
        <v>1</v>
      </c>
      <c r="V25" s="56">
        <f>INDEX(BSFC!$D$4:$AD$26,MATCH(U25,BSFC!$B$4:$B$26,0),MATCH(G25,BSFC!$D$2:$AD$2,0))</f>
        <v>920.25590927999997</v>
      </c>
      <c r="W25" s="56">
        <f t="shared" si="10"/>
        <v>5.9389075527499745E-2</v>
      </c>
      <c r="X25" s="56">
        <f t="shared" si="6"/>
        <v>5.9389075527499745E-2</v>
      </c>
      <c r="Y25" s="56">
        <f t="shared" si="7"/>
        <v>0.18351224337997421</v>
      </c>
      <c r="Z25" s="79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3">
      <c r="A26" s="55">
        <v>1</v>
      </c>
      <c r="B26" s="56" t="s">
        <v>102</v>
      </c>
      <c r="C26" s="56">
        <f t="shared" si="8"/>
        <v>23</v>
      </c>
      <c r="D26" s="56">
        <f t="shared" si="0"/>
        <v>29.998170000000002</v>
      </c>
      <c r="E26" s="94">
        <v>13.41</v>
      </c>
      <c r="F26" s="94">
        <f>($C$4/E26)+F25</f>
        <v>3.9258459102418843</v>
      </c>
      <c r="G26" s="56">
        <v>7000</v>
      </c>
      <c r="H26" s="56">
        <v>3</v>
      </c>
      <c r="I26" s="94">
        <f>E26-E25</f>
        <v>0</v>
      </c>
      <c r="J26" s="56">
        <f>(0.5*VEHICLE!$C$71*VEHICLE!$C$28*VEHICLE!$C$27*'Drive Cycle'!E26^2)</f>
        <v>159.97581505520998</v>
      </c>
      <c r="K26" s="56">
        <f>IF(A26=1,VEHICLE!$S$5,IF(A26=2,VEHICLE!$Q$5,IF(A26=3,VEHICLE!$R$5,IF(A26=4,VEHICLE!$P$5,1))))</f>
        <v>72.351594900000009</v>
      </c>
      <c r="L26" s="56">
        <v>0</v>
      </c>
      <c r="M26" s="56">
        <f t="shared" si="9"/>
        <v>0</v>
      </c>
      <c r="N26" s="56">
        <f t="shared" si="1"/>
        <v>0</v>
      </c>
      <c r="O26" s="56">
        <f t="shared" si="2"/>
        <v>0</v>
      </c>
      <c r="P26" s="56">
        <f t="shared" si="3"/>
        <v>232.32740995520999</v>
      </c>
      <c r="Q26" s="56">
        <f>IF(H26=1,I26*VEHICLE!$C$69,IF(H26=2,VEHICLE!$C$70*I26,IF(H26=3,VEHICLE!$C$71*I26,0)))</f>
        <v>0</v>
      </c>
      <c r="R26" s="56">
        <f>(J26+K26+O26+Q26)</f>
        <v>232.32740995520999</v>
      </c>
      <c r="S26" s="56">
        <f t="shared" si="4"/>
        <v>232.32740995520999</v>
      </c>
      <c r="T26" s="56">
        <f>ABS((R26)/((2*PI()*G26)/60))</f>
        <v>0.31693762037236189</v>
      </c>
      <c r="U26" s="56">
        <f t="shared" si="5"/>
        <v>1</v>
      </c>
      <c r="V26" s="56">
        <f>INDEX(BSFC!$D$4:$AD$26,MATCH(U26,BSFC!$B$4:$B$26,0),MATCH(G26,BSFC!$D$2:$AD$2,0))</f>
        <v>920.25590927999997</v>
      </c>
      <c r="W26" s="56">
        <f t="shared" si="10"/>
        <v>5.9389075527499745E-2</v>
      </c>
      <c r="X26" s="56">
        <f t="shared" si="6"/>
        <v>5.9389075527499745E-2</v>
      </c>
      <c r="Y26" s="56">
        <f t="shared" si="7"/>
        <v>0.18351224337997421</v>
      </c>
      <c r="Z26" s="79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3">
      <c r="A27" s="55">
        <v>1</v>
      </c>
      <c r="B27" s="56" t="s">
        <v>102</v>
      </c>
      <c r="C27" s="56">
        <f t="shared" si="8"/>
        <v>24</v>
      </c>
      <c r="D27" s="56">
        <f t="shared" si="0"/>
        <v>29.998170000000002</v>
      </c>
      <c r="E27" s="94">
        <v>13.41</v>
      </c>
      <c r="F27" s="94">
        <f>($C$4/E27)+F26</f>
        <v>4.0004171257526968</v>
      </c>
      <c r="G27" s="56">
        <v>7000</v>
      </c>
      <c r="H27" s="56">
        <v>3</v>
      </c>
      <c r="I27" s="94">
        <f>E27-E26</f>
        <v>0</v>
      </c>
      <c r="J27" s="56">
        <f>(0.5*VEHICLE!$C$71*VEHICLE!$C$28*VEHICLE!$C$27*'Drive Cycle'!E27^2)</f>
        <v>159.97581505520998</v>
      </c>
      <c r="K27" s="56">
        <f>IF(A27=1,VEHICLE!$S$5,IF(A27=2,VEHICLE!$Q$5,IF(A27=3,VEHICLE!$R$5,IF(A27=4,VEHICLE!$P$5,1))))</f>
        <v>72.351594900000009</v>
      </c>
      <c r="L27" s="56">
        <v>0</v>
      </c>
      <c r="M27" s="56">
        <f t="shared" si="9"/>
        <v>0</v>
      </c>
      <c r="N27" s="56">
        <f t="shared" si="1"/>
        <v>0</v>
      </c>
      <c r="O27" s="56">
        <f t="shared" si="2"/>
        <v>0</v>
      </c>
      <c r="P27" s="56">
        <f t="shared" si="3"/>
        <v>232.32740995520999</v>
      </c>
      <c r="Q27" s="56">
        <f>IF(H27=1,I27*VEHICLE!$C$69,IF(H27=2,VEHICLE!$C$70*I27,IF(H27=3,VEHICLE!$C$71*I27,0)))</f>
        <v>0</v>
      </c>
      <c r="R27" s="56">
        <f>(J27+K27+O27+Q27)</f>
        <v>232.32740995520999</v>
      </c>
      <c r="S27" s="56">
        <f t="shared" si="4"/>
        <v>232.32740995520999</v>
      </c>
      <c r="T27" s="56">
        <f>ABS((R27)/((2*PI()*G27)/60))</f>
        <v>0.31693762037236189</v>
      </c>
      <c r="U27" s="56">
        <f t="shared" si="5"/>
        <v>1</v>
      </c>
      <c r="V27" s="56">
        <f>INDEX(BSFC!$D$4:$AD$26,MATCH(U27,BSFC!$B$4:$B$26,0),MATCH(G27,BSFC!$D$2:$AD$2,0))</f>
        <v>920.25590927999997</v>
      </c>
      <c r="W27" s="56">
        <f t="shared" si="10"/>
        <v>5.9389075527499745E-2</v>
      </c>
      <c r="X27" s="56">
        <f t="shared" si="6"/>
        <v>5.9389075527499745E-2</v>
      </c>
      <c r="Y27" s="56">
        <f t="shared" si="7"/>
        <v>0.18351224337997421</v>
      </c>
      <c r="Z27" s="79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3">
      <c r="A28" s="55">
        <v>1</v>
      </c>
      <c r="B28" s="56" t="s">
        <v>102</v>
      </c>
      <c r="C28" s="56">
        <f t="shared" si="8"/>
        <v>25</v>
      </c>
      <c r="D28" s="56">
        <f t="shared" si="0"/>
        <v>29.998170000000002</v>
      </c>
      <c r="E28" s="94">
        <v>13.41</v>
      </c>
      <c r="F28" s="94">
        <f>($C$4/E28)+F27</f>
        <v>4.0749883412635093</v>
      </c>
      <c r="G28" s="56">
        <v>7000</v>
      </c>
      <c r="H28" s="56">
        <v>3</v>
      </c>
      <c r="I28" s="94">
        <f>E28-E27</f>
        <v>0</v>
      </c>
      <c r="J28" s="56">
        <f>(0.5*VEHICLE!$C$71*VEHICLE!$C$28*VEHICLE!$C$27*'Drive Cycle'!E28^2)</f>
        <v>159.97581505520998</v>
      </c>
      <c r="K28" s="56">
        <f>IF(A28=1,VEHICLE!$S$5,IF(A28=2,VEHICLE!$Q$5,IF(A28=3,VEHICLE!$R$5,IF(A28=4,VEHICLE!$P$5,1))))</f>
        <v>72.351594900000009</v>
      </c>
      <c r="L28" s="56">
        <v>0</v>
      </c>
      <c r="M28" s="56">
        <f t="shared" si="9"/>
        <v>0</v>
      </c>
      <c r="N28" s="56">
        <f t="shared" si="1"/>
        <v>0</v>
      </c>
      <c r="O28" s="56">
        <f t="shared" si="2"/>
        <v>0</v>
      </c>
      <c r="P28" s="56">
        <f t="shared" si="3"/>
        <v>232.32740995520999</v>
      </c>
      <c r="Q28" s="56">
        <f>IF(H28=1,I28*VEHICLE!$C$69,IF(H28=2,VEHICLE!$C$70*I28,IF(H28=3,VEHICLE!$C$71*I28,0)))</f>
        <v>0</v>
      </c>
      <c r="R28" s="56">
        <f>(J28+K28+O28+Q28)</f>
        <v>232.32740995520999</v>
      </c>
      <c r="S28" s="56">
        <f t="shared" si="4"/>
        <v>232.32740995520999</v>
      </c>
      <c r="T28" s="56">
        <f>ABS((R28)/((2*PI()*G28)/60))</f>
        <v>0.31693762037236189</v>
      </c>
      <c r="U28" s="56">
        <f t="shared" si="5"/>
        <v>1</v>
      </c>
      <c r="V28" s="56">
        <f>INDEX(BSFC!$D$4:$AD$26,MATCH(U28,BSFC!$B$4:$B$26,0),MATCH(G28,BSFC!$D$2:$AD$2,0))</f>
        <v>920.25590927999997</v>
      </c>
      <c r="W28" s="56">
        <f t="shared" si="10"/>
        <v>5.9389075527499745E-2</v>
      </c>
      <c r="X28" s="56">
        <f t="shared" si="6"/>
        <v>5.9389075527499745E-2</v>
      </c>
      <c r="Y28" s="56">
        <f t="shared" si="7"/>
        <v>0.18351224337997421</v>
      </c>
      <c r="Z28" s="79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3">
      <c r="A29" s="55">
        <v>1</v>
      </c>
      <c r="B29" s="56" t="s">
        <v>102</v>
      </c>
      <c r="C29" s="56">
        <f t="shared" si="8"/>
        <v>26</v>
      </c>
      <c r="D29" s="56">
        <f t="shared" si="0"/>
        <v>29.998170000000002</v>
      </c>
      <c r="E29" s="94">
        <v>13.41</v>
      </c>
      <c r="F29" s="94">
        <f>($C$4/E29)+F28</f>
        <v>4.1495595567743218</v>
      </c>
      <c r="G29" s="56">
        <v>7000</v>
      </c>
      <c r="H29" s="56">
        <v>3</v>
      </c>
      <c r="I29" s="94">
        <f>E29-E28</f>
        <v>0</v>
      </c>
      <c r="J29" s="56">
        <f>(0.5*VEHICLE!$C$71*VEHICLE!$C$28*VEHICLE!$C$27*'Drive Cycle'!E29^2)</f>
        <v>159.97581505520998</v>
      </c>
      <c r="K29" s="56">
        <f>IF(A29=1,VEHICLE!$S$5,IF(A29=2,VEHICLE!$Q$5,IF(A29=3,VEHICLE!$R$5,IF(A29=4,VEHICLE!$P$5,1))))</f>
        <v>72.351594900000009</v>
      </c>
      <c r="L29" s="56">
        <v>0</v>
      </c>
      <c r="M29" s="56">
        <f t="shared" si="9"/>
        <v>0</v>
      </c>
      <c r="N29" s="56">
        <f t="shared" si="1"/>
        <v>0</v>
      </c>
      <c r="O29" s="56">
        <f t="shared" si="2"/>
        <v>0</v>
      </c>
      <c r="P29" s="56">
        <f t="shared" si="3"/>
        <v>232.32740995520999</v>
      </c>
      <c r="Q29" s="56">
        <f>IF(H29=1,I29*VEHICLE!$C$69,IF(H29=2,VEHICLE!$C$70*I29,IF(H29=3,VEHICLE!$C$71*I29,0)))</f>
        <v>0</v>
      </c>
      <c r="R29" s="56">
        <f>(J29+K29+O29+Q29)</f>
        <v>232.32740995520999</v>
      </c>
      <c r="S29" s="56">
        <f t="shared" si="4"/>
        <v>232.32740995520999</v>
      </c>
      <c r="T29" s="56">
        <f>ABS((R29)/((2*PI()*G29)/60))</f>
        <v>0.31693762037236189</v>
      </c>
      <c r="U29" s="56">
        <f t="shared" si="5"/>
        <v>1</v>
      </c>
      <c r="V29" s="56">
        <f>INDEX(BSFC!$D$4:$AD$26,MATCH(U29,BSFC!$B$4:$B$26,0),MATCH(G29,BSFC!$D$2:$AD$2,0))</f>
        <v>920.25590927999997</v>
      </c>
      <c r="W29" s="56">
        <f t="shared" si="10"/>
        <v>5.9389075527499745E-2</v>
      </c>
      <c r="X29" s="56">
        <f t="shared" si="6"/>
        <v>5.9389075527499745E-2</v>
      </c>
      <c r="Y29" s="56">
        <f t="shared" si="7"/>
        <v>0.18351224337997421</v>
      </c>
      <c r="Z29" s="79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3">
      <c r="A30" s="55">
        <v>1</v>
      </c>
      <c r="B30" s="56" t="s">
        <v>102</v>
      </c>
      <c r="C30" s="56">
        <f t="shared" si="8"/>
        <v>27</v>
      </c>
      <c r="D30" s="56">
        <f t="shared" si="0"/>
        <v>29.998170000000002</v>
      </c>
      <c r="E30" s="94">
        <v>13.41</v>
      </c>
      <c r="F30" s="94">
        <f>($C$4/E30)+F29</f>
        <v>4.2241307722851342</v>
      </c>
      <c r="G30" s="56">
        <v>7000</v>
      </c>
      <c r="H30" s="56">
        <v>3</v>
      </c>
      <c r="I30" s="94">
        <f>E30-E29</f>
        <v>0</v>
      </c>
      <c r="J30" s="56">
        <f>(0.5*VEHICLE!$C$71*VEHICLE!$C$28*VEHICLE!$C$27*'Drive Cycle'!E30^2)</f>
        <v>159.97581505520998</v>
      </c>
      <c r="K30" s="56">
        <f>IF(A30=1,VEHICLE!$S$5,IF(A30=2,VEHICLE!$Q$5,IF(A30=3,VEHICLE!$R$5,IF(A30=4,VEHICLE!$P$5,1))))</f>
        <v>72.351594900000009</v>
      </c>
      <c r="L30" s="56">
        <v>0</v>
      </c>
      <c r="M30" s="56">
        <f t="shared" si="9"/>
        <v>0</v>
      </c>
      <c r="N30" s="56">
        <f t="shared" si="1"/>
        <v>0</v>
      </c>
      <c r="O30" s="56">
        <f t="shared" si="2"/>
        <v>0</v>
      </c>
      <c r="P30" s="56">
        <f t="shared" si="3"/>
        <v>232.32740995520999</v>
      </c>
      <c r="Q30" s="56">
        <f>IF(H30=1,I30*VEHICLE!$C$69,IF(H30=2,VEHICLE!$C$70*I30,IF(H30=3,VEHICLE!$C$71*I30,0)))</f>
        <v>0</v>
      </c>
      <c r="R30" s="56">
        <f>(J30+K30+O30+Q30)</f>
        <v>232.32740995520999</v>
      </c>
      <c r="S30" s="56">
        <f t="shared" si="4"/>
        <v>232.32740995520999</v>
      </c>
      <c r="T30" s="56">
        <f>ABS((R30)/((2*PI()*G30)/60))</f>
        <v>0.31693762037236189</v>
      </c>
      <c r="U30" s="56">
        <f t="shared" si="5"/>
        <v>1</v>
      </c>
      <c r="V30" s="56">
        <f>INDEX(BSFC!$D$4:$AD$26,MATCH(U30,BSFC!$B$4:$B$26,0),MATCH(G30,BSFC!$D$2:$AD$2,0))</f>
        <v>920.25590927999997</v>
      </c>
      <c r="W30" s="56">
        <f t="shared" si="10"/>
        <v>5.9389075527499745E-2</v>
      </c>
      <c r="X30" s="56">
        <f t="shared" si="6"/>
        <v>5.9389075527499745E-2</v>
      </c>
      <c r="Y30" s="56">
        <f t="shared" si="7"/>
        <v>0.18351224337997421</v>
      </c>
      <c r="Z30" s="79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3">
      <c r="A31" s="55">
        <v>1</v>
      </c>
      <c r="B31" s="56" t="s">
        <v>102</v>
      </c>
      <c r="C31" s="56">
        <f t="shared" si="8"/>
        <v>28</v>
      </c>
      <c r="D31" s="56">
        <f t="shared" si="0"/>
        <v>29.998170000000002</v>
      </c>
      <c r="E31" s="94">
        <v>13.41</v>
      </c>
      <c r="F31" s="94">
        <f>($C$4/E31)+F30</f>
        <v>4.2987019877959467</v>
      </c>
      <c r="G31" s="56">
        <v>7000</v>
      </c>
      <c r="H31" s="56">
        <v>3</v>
      </c>
      <c r="I31" s="94">
        <f>E31-E30</f>
        <v>0</v>
      </c>
      <c r="J31" s="56">
        <f>(0.5*VEHICLE!$C$71*VEHICLE!$C$28*VEHICLE!$C$27*'Drive Cycle'!E31^2)</f>
        <v>159.97581505520998</v>
      </c>
      <c r="K31" s="56">
        <f>IF(A31=1,VEHICLE!$S$5,IF(A31=2,VEHICLE!$Q$5,IF(A31=3,VEHICLE!$R$5,IF(A31=4,VEHICLE!$P$5,1))))</f>
        <v>72.351594900000009</v>
      </c>
      <c r="L31" s="56">
        <v>0</v>
      </c>
      <c r="M31" s="56">
        <f t="shared" si="9"/>
        <v>0</v>
      </c>
      <c r="N31" s="56">
        <f t="shared" si="1"/>
        <v>0</v>
      </c>
      <c r="O31" s="56">
        <f t="shared" si="2"/>
        <v>0</v>
      </c>
      <c r="P31" s="56">
        <f t="shared" si="3"/>
        <v>232.32740995520999</v>
      </c>
      <c r="Q31" s="56">
        <f>IF(H31=1,I31*VEHICLE!$C$69,IF(H31=2,VEHICLE!$C$70*I31,IF(H31=3,VEHICLE!$C$71*I31,0)))</f>
        <v>0</v>
      </c>
      <c r="R31" s="56">
        <f>(J31+K31+O31+Q31)</f>
        <v>232.32740995520999</v>
      </c>
      <c r="S31" s="56">
        <f t="shared" si="4"/>
        <v>232.32740995520999</v>
      </c>
      <c r="T31" s="56">
        <f>ABS((R31)/((2*PI()*G31)/60))</f>
        <v>0.31693762037236189</v>
      </c>
      <c r="U31" s="56">
        <f t="shared" si="5"/>
        <v>1</v>
      </c>
      <c r="V31" s="56">
        <f>INDEX(BSFC!$D$4:$AD$26,MATCH(U31,BSFC!$B$4:$B$26,0),MATCH(G31,BSFC!$D$2:$AD$2,0))</f>
        <v>920.25590927999997</v>
      </c>
      <c r="W31" s="56">
        <f t="shared" si="10"/>
        <v>5.9389075527499745E-2</v>
      </c>
      <c r="X31" s="56">
        <f t="shared" si="6"/>
        <v>5.9389075527499745E-2</v>
      </c>
      <c r="Y31" s="56">
        <f t="shared" si="7"/>
        <v>0.18351224337997421</v>
      </c>
      <c r="Z31" s="79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3">
      <c r="A32" s="55">
        <v>1</v>
      </c>
      <c r="B32" s="56" t="s">
        <v>102</v>
      </c>
      <c r="C32" s="56">
        <f t="shared" si="8"/>
        <v>29</v>
      </c>
      <c r="D32" s="56">
        <f t="shared" si="0"/>
        <v>29.998170000000002</v>
      </c>
      <c r="E32" s="94">
        <v>13.41</v>
      </c>
      <c r="F32" s="94">
        <f>($C$4/E32)+F31</f>
        <v>4.3732732033067592</v>
      </c>
      <c r="G32" s="56">
        <v>7000</v>
      </c>
      <c r="H32" s="56">
        <v>3</v>
      </c>
      <c r="I32" s="94">
        <f>E32-E31</f>
        <v>0</v>
      </c>
      <c r="J32" s="56">
        <f>(0.5*VEHICLE!$C$71*VEHICLE!$C$28*VEHICLE!$C$27*'Drive Cycle'!E32^2)</f>
        <v>159.97581505520998</v>
      </c>
      <c r="K32" s="56">
        <f>IF(A32=1,VEHICLE!$S$5,IF(A32=2,VEHICLE!$Q$5,IF(A32=3,VEHICLE!$R$5,IF(A32=4,VEHICLE!$P$5,1))))</f>
        <v>72.351594900000009</v>
      </c>
      <c r="L32" s="56">
        <v>0</v>
      </c>
      <c r="M32" s="56">
        <f t="shared" si="9"/>
        <v>0</v>
      </c>
      <c r="N32" s="56">
        <f t="shared" si="1"/>
        <v>0</v>
      </c>
      <c r="O32" s="56">
        <f t="shared" si="2"/>
        <v>0</v>
      </c>
      <c r="P32" s="56">
        <f t="shared" si="3"/>
        <v>232.32740995520999</v>
      </c>
      <c r="Q32" s="56">
        <f>IF(H32=1,I32*VEHICLE!$C$69,IF(H32=2,VEHICLE!$C$70*I32,IF(H32=3,VEHICLE!$C$71*I32,0)))</f>
        <v>0</v>
      </c>
      <c r="R32" s="56">
        <f>(J32+K32+O32+Q32)</f>
        <v>232.32740995520999</v>
      </c>
      <c r="S32" s="56">
        <f t="shared" si="4"/>
        <v>232.32740995520999</v>
      </c>
      <c r="T32" s="56">
        <f>ABS((R32)/((2*PI()*G32)/60))</f>
        <v>0.31693762037236189</v>
      </c>
      <c r="U32" s="56">
        <f t="shared" si="5"/>
        <v>1</v>
      </c>
      <c r="V32" s="56">
        <f>INDEX(BSFC!$D$4:$AD$26,MATCH(U32,BSFC!$B$4:$B$26,0),MATCH(G32,BSFC!$D$2:$AD$2,0))</f>
        <v>920.25590927999997</v>
      </c>
      <c r="W32" s="56">
        <f t="shared" si="10"/>
        <v>5.9389075527499745E-2</v>
      </c>
      <c r="X32" s="56">
        <f t="shared" si="6"/>
        <v>5.9389075527499745E-2</v>
      </c>
      <c r="Y32" s="56">
        <f t="shared" si="7"/>
        <v>0.18351224337997421</v>
      </c>
      <c r="Z32" s="79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3">
      <c r="A33" s="55">
        <v>1</v>
      </c>
      <c r="B33" s="56" t="s">
        <v>102</v>
      </c>
      <c r="C33" s="56">
        <f t="shared" si="8"/>
        <v>30</v>
      </c>
      <c r="D33" s="56">
        <f t="shared" si="0"/>
        <v>29.998170000000002</v>
      </c>
      <c r="E33" s="94">
        <v>13.41</v>
      </c>
      <c r="F33" s="94">
        <f>($C$4/E33)+F32</f>
        <v>4.4478444188175716</v>
      </c>
      <c r="G33" s="56">
        <v>7000</v>
      </c>
      <c r="H33" s="56">
        <v>3</v>
      </c>
      <c r="I33" s="94">
        <f>E33-E32</f>
        <v>0</v>
      </c>
      <c r="J33" s="56">
        <f>(0.5*VEHICLE!$C$71*VEHICLE!$C$28*VEHICLE!$C$27*'Drive Cycle'!E33^2)</f>
        <v>159.97581505520998</v>
      </c>
      <c r="K33" s="56">
        <f>IF(A33=1,VEHICLE!$S$5,IF(A33=2,VEHICLE!$Q$5,IF(A33=3,VEHICLE!$R$5,IF(A33=4,VEHICLE!$P$5,1))))</f>
        <v>72.351594900000009</v>
      </c>
      <c r="L33" s="56">
        <v>0</v>
      </c>
      <c r="M33" s="56">
        <f t="shared" si="9"/>
        <v>0</v>
      </c>
      <c r="N33" s="56">
        <f t="shared" si="1"/>
        <v>0</v>
      </c>
      <c r="O33" s="56">
        <f t="shared" si="2"/>
        <v>0</v>
      </c>
      <c r="P33" s="56">
        <f t="shared" si="3"/>
        <v>232.32740995520999</v>
      </c>
      <c r="Q33" s="56">
        <f>IF(H33=1,I33*VEHICLE!$C$69,IF(H33=2,VEHICLE!$C$70*I33,IF(H33=3,VEHICLE!$C$71*I33,0)))</f>
        <v>0</v>
      </c>
      <c r="R33" s="56">
        <f>(J33+K33+O33+Q33)</f>
        <v>232.32740995520999</v>
      </c>
      <c r="S33" s="56">
        <f t="shared" si="4"/>
        <v>232.32740995520999</v>
      </c>
      <c r="T33" s="56">
        <f>ABS((R33)/((2*PI()*G33)/60))</f>
        <v>0.31693762037236189</v>
      </c>
      <c r="U33" s="56">
        <f t="shared" si="5"/>
        <v>1</v>
      </c>
      <c r="V33" s="56">
        <f>INDEX(BSFC!$D$4:$AD$26,MATCH(U33,BSFC!$B$4:$B$26,0),MATCH(G33,BSFC!$D$2:$AD$2,0))</f>
        <v>920.25590927999997</v>
      </c>
      <c r="W33" s="56">
        <f t="shared" si="10"/>
        <v>5.9389075527499745E-2</v>
      </c>
      <c r="X33" s="56">
        <f t="shared" si="6"/>
        <v>5.9389075527499745E-2</v>
      </c>
      <c r="Y33" s="56">
        <f t="shared" si="7"/>
        <v>0.18351224337997421</v>
      </c>
      <c r="Z33" s="79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x14ac:dyDescent="0.3">
      <c r="A34" s="55">
        <v>1</v>
      </c>
      <c r="B34" s="56" t="s">
        <v>102</v>
      </c>
      <c r="C34" s="56">
        <f t="shared" si="8"/>
        <v>31</v>
      </c>
      <c r="D34" s="56">
        <f t="shared" si="0"/>
        <v>29.998170000000002</v>
      </c>
      <c r="E34" s="94">
        <v>13.41</v>
      </c>
      <c r="F34" s="94">
        <f>($C$4/E34)+F33</f>
        <v>4.5224156343283841</v>
      </c>
      <c r="G34" s="56">
        <v>7000</v>
      </c>
      <c r="H34" s="56">
        <v>3</v>
      </c>
      <c r="I34" s="94">
        <f>E34-E33</f>
        <v>0</v>
      </c>
      <c r="J34" s="56">
        <f>(0.5*VEHICLE!$C$71*VEHICLE!$C$28*VEHICLE!$C$27*'Drive Cycle'!E34^2)</f>
        <v>159.97581505520998</v>
      </c>
      <c r="K34" s="56">
        <f>IF(A34=1,VEHICLE!$S$5,IF(A34=2,VEHICLE!$Q$5,IF(A34=3,VEHICLE!$R$5,IF(A34=4,VEHICLE!$P$5,1))))</f>
        <v>72.351594900000009</v>
      </c>
      <c r="L34" s="56">
        <v>0</v>
      </c>
      <c r="M34" s="56">
        <f t="shared" si="9"/>
        <v>0</v>
      </c>
      <c r="N34" s="56">
        <f t="shared" si="1"/>
        <v>0</v>
      </c>
      <c r="O34" s="56">
        <f t="shared" si="2"/>
        <v>0</v>
      </c>
      <c r="P34" s="56">
        <f t="shared" si="3"/>
        <v>232.32740995520999</v>
      </c>
      <c r="Q34" s="56">
        <f>IF(H34=1,I34*VEHICLE!$C$69,IF(H34=2,VEHICLE!$C$70*I34,IF(H34=3,VEHICLE!$C$71*I34,0)))</f>
        <v>0</v>
      </c>
      <c r="R34" s="56">
        <f>(J34+K34+O34+Q34)</f>
        <v>232.32740995520999</v>
      </c>
      <c r="S34" s="56">
        <f t="shared" si="4"/>
        <v>232.32740995520999</v>
      </c>
      <c r="T34" s="56">
        <f>ABS((R34)/((2*PI()*G34)/60))</f>
        <v>0.31693762037236189</v>
      </c>
      <c r="U34" s="56">
        <f t="shared" si="5"/>
        <v>1</v>
      </c>
      <c r="V34" s="56">
        <f>INDEX(BSFC!$D$4:$AD$26,MATCH(U34,BSFC!$B$4:$B$26,0),MATCH(G34,BSFC!$D$2:$AD$2,0))</f>
        <v>920.25590927999997</v>
      </c>
      <c r="W34" s="56">
        <f t="shared" si="10"/>
        <v>5.9389075527499745E-2</v>
      </c>
      <c r="X34" s="56">
        <f t="shared" si="6"/>
        <v>5.9389075527499745E-2</v>
      </c>
      <c r="Y34" s="56">
        <f t="shared" si="7"/>
        <v>0.18351224337997421</v>
      </c>
      <c r="Z34" s="79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3">
      <c r="A35" s="55">
        <v>1</v>
      </c>
      <c r="B35" s="56" t="s">
        <v>102</v>
      </c>
      <c r="C35" s="56">
        <f t="shared" si="8"/>
        <v>32</v>
      </c>
      <c r="D35" s="56">
        <f t="shared" si="0"/>
        <v>29.998170000000002</v>
      </c>
      <c r="E35" s="94">
        <v>13.41</v>
      </c>
      <c r="F35" s="94">
        <f>($C$4/E35)+F34</f>
        <v>4.5969868498391966</v>
      </c>
      <c r="G35" s="56">
        <v>7000</v>
      </c>
      <c r="H35" s="56">
        <v>3</v>
      </c>
      <c r="I35" s="94">
        <f>E35-E34</f>
        <v>0</v>
      </c>
      <c r="J35" s="56">
        <f>(0.5*VEHICLE!$C$71*VEHICLE!$C$28*VEHICLE!$C$27*'Drive Cycle'!E35^2)</f>
        <v>159.97581505520998</v>
      </c>
      <c r="K35" s="56">
        <f>IF(A35=1,VEHICLE!$S$5,IF(A35=2,VEHICLE!$Q$5,IF(A35=3,VEHICLE!$R$5,IF(A35=4,VEHICLE!$P$5,1))))</f>
        <v>72.351594900000009</v>
      </c>
      <c r="L35" s="56">
        <v>0</v>
      </c>
      <c r="M35" s="56">
        <f t="shared" si="9"/>
        <v>0</v>
      </c>
      <c r="N35" s="56">
        <f t="shared" si="1"/>
        <v>0</v>
      </c>
      <c r="O35" s="56">
        <f t="shared" si="2"/>
        <v>0</v>
      </c>
      <c r="P35" s="56">
        <f t="shared" si="3"/>
        <v>232.32740995520999</v>
      </c>
      <c r="Q35" s="56">
        <f>IF(H35=1,I35*VEHICLE!$C$69,IF(H35=2,VEHICLE!$C$70*I35,IF(H35=3,VEHICLE!$C$71*I35,0)))</f>
        <v>0</v>
      </c>
      <c r="R35" s="56">
        <f>(J35+K35+O35+Q35)</f>
        <v>232.32740995520999</v>
      </c>
      <c r="S35" s="56">
        <f t="shared" si="4"/>
        <v>232.32740995520999</v>
      </c>
      <c r="T35" s="56">
        <f>ABS((R35)/((2*PI()*G35)/60))</f>
        <v>0.31693762037236189</v>
      </c>
      <c r="U35" s="56">
        <f t="shared" si="5"/>
        <v>1</v>
      </c>
      <c r="V35" s="56">
        <f>INDEX(BSFC!$D$4:$AD$26,MATCH(U35,BSFC!$B$4:$B$26,0),MATCH(G35,BSFC!$D$2:$AD$2,0))</f>
        <v>920.25590927999997</v>
      </c>
      <c r="W35" s="56">
        <f t="shared" si="10"/>
        <v>5.9389075527499745E-2</v>
      </c>
      <c r="X35" s="56">
        <f t="shared" si="6"/>
        <v>5.9389075527499745E-2</v>
      </c>
      <c r="Y35" s="56">
        <f t="shared" si="7"/>
        <v>0.18351224337997421</v>
      </c>
      <c r="Z35" s="79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3">
      <c r="A36" s="55">
        <v>1</v>
      </c>
      <c r="B36" s="56" t="s">
        <v>102</v>
      </c>
      <c r="C36" s="56">
        <f t="shared" si="8"/>
        <v>33</v>
      </c>
      <c r="D36" s="56">
        <f t="shared" si="0"/>
        <v>29.998170000000002</v>
      </c>
      <c r="E36" s="94">
        <v>13.41</v>
      </c>
      <c r="F36" s="94">
        <f>($C$4/E36)+F35</f>
        <v>4.6715580653500091</v>
      </c>
      <c r="G36" s="56">
        <v>7000</v>
      </c>
      <c r="H36" s="56">
        <v>3</v>
      </c>
      <c r="I36" s="94">
        <f>E36-E35</f>
        <v>0</v>
      </c>
      <c r="J36" s="56">
        <f>(0.5*VEHICLE!$C$71*VEHICLE!$C$28*VEHICLE!$C$27*'Drive Cycle'!E36^2)</f>
        <v>159.97581505520998</v>
      </c>
      <c r="K36" s="56">
        <f>IF(A36=1,VEHICLE!$S$5,IF(A36=2,VEHICLE!$Q$5,IF(A36=3,VEHICLE!$R$5,IF(A36=4,VEHICLE!$P$5,1))))</f>
        <v>72.351594900000009</v>
      </c>
      <c r="L36" s="56">
        <v>0</v>
      </c>
      <c r="M36" s="56">
        <f t="shared" si="9"/>
        <v>0</v>
      </c>
      <c r="N36" s="56">
        <f t="shared" si="1"/>
        <v>0</v>
      </c>
      <c r="O36" s="56">
        <f t="shared" si="2"/>
        <v>0</v>
      </c>
      <c r="P36" s="56">
        <f t="shared" si="3"/>
        <v>232.32740995520999</v>
      </c>
      <c r="Q36" s="56">
        <f>IF(H36=1,I36*VEHICLE!$C$69,IF(H36=2,VEHICLE!$C$70*I36,IF(H36=3,VEHICLE!$C$71*I36,0)))</f>
        <v>0</v>
      </c>
      <c r="R36" s="56">
        <f>(J36+K36+O36+Q36)</f>
        <v>232.32740995520999</v>
      </c>
      <c r="S36" s="56">
        <f t="shared" si="4"/>
        <v>232.32740995520999</v>
      </c>
      <c r="T36" s="56">
        <f>ABS((R36)/((2*PI()*G36)/60))</f>
        <v>0.31693762037236189</v>
      </c>
      <c r="U36" s="56">
        <f t="shared" si="5"/>
        <v>1</v>
      </c>
      <c r="V36" s="56">
        <f>INDEX(BSFC!$D$4:$AD$26,MATCH(U36,BSFC!$B$4:$B$26,0),MATCH(G36,BSFC!$D$2:$AD$2,0))</f>
        <v>920.25590927999997</v>
      </c>
      <c r="W36" s="56">
        <f t="shared" si="10"/>
        <v>5.9389075527499745E-2</v>
      </c>
      <c r="X36" s="56">
        <f t="shared" si="6"/>
        <v>5.9389075527499745E-2</v>
      </c>
      <c r="Y36" s="56">
        <f t="shared" si="7"/>
        <v>0.18351224337997421</v>
      </c>
      <c r="Z36" s="79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x14ac:dyDescent="0.3">
      <c r="A37" s="55">
        <v>1</v>
      </c>
      <c r="B37" s="56" t="s">
        <v>102</v>
      </c>
      <c r="C37" s="56">
        <f t="shared" si="8"/>
        <v>34</v>
      </c>
      <c r="D37" s="56">
        <f t="shared" si="0"/>
        <v>29.998170000000002</v>
      </c>
      <c r="E37" s="94">
        <v>13.41</v>
      </c>
      <c r="F37" s="94">
        <f>($C$4/E37)+F36</f>
        <v>4.7461292808608215</v>
      </c>
      <c r="G37" s="56">
        <v>7000</v>
      </c>
      <c r="H37" s="56">
        <v>3</v>
      </c>
      <c r="I37" s="94">
        <f>E37-E36</f>
        <v>0</v>
      </c>
      <c r="J37" s="56">
        <f>(0.5*VEHICLE!$C$71*VEHICLE!$C$28*VEHICLE!$C$27*'Drive Cycle'!E37^2)</f>
        <v>159.97581505520998</v>
      </c>
      <c r="K37" s="56">
        <f>IF(A37=1,VEHICLE!$S$5,IF(A37=2,VEHICLE!$Q$5,IF(A37=3,VEHICLE!$R$5,IF(A37=4,VEHICLE!$P$5,1))))</f>
        <v>72.351594900000009</v>
      </c>
      <c r="L37" s="56">
        <v>0</v>
      </c>
      <c r="M37" s="56">
        <f t="shared" si="9"/>
        <v>0</v>
      </c>
      <c r="N37" s="56">
        <f t="shared" si="1"/>
        <v>0</v>
      </c>
      <c r="O37" s="56">
        <f t="shared" si="2"/>
        <v>0</v>
      </c>
      <c r="P37" s="56">
        <f t="shared" si="3"/>
        <v>232.32740995520999</v>
      </c>
      <c r="Q37" s="56">
        <f>IF(H37=1,I37*VEHICLE!$C$69,IF(H37=2,VEHICLE!$C$70*I37,IF(H37=3,VEHICLE!$C$71*I37,0)))</f>
        <v>0</v>
      </c>
      <c r="R37" s="56">
        <f>(J37+K37+O37+Q37)</f>
        <v>232.32740995520999</v>
      </c>
      <c r="S37" s="56">
        <f t="shared" si="4"/>
        <v>232.32740995520999</v>
      </c>
      <c r="T37" s="56">
        <f>ABS((R37)/((2*PI()*G37)/60))</f>
        <v>0.31693762037236189</v>
      </c>
      <c r="U37" s="56">
        <f t="shared" si="5"/>
        <v>1</v>
      </c>
      <c r="V37" s="56">
        <f>INDEX(BSFC!$D$4:$AD$26,MATCH(U37,BSFC!$B$4:$B$26,0),MATCH(G37,BSFC!$D$2:$AD$2,0))</f>
        <v>920.25590927999997</v>
      </c>
      <c r="W37" s="56">
        <f t="shared" si="10"/>
        <v>5.9389075527499745E-2</v>
      </c>
      <c r="X37" s="56">
        <f t="shared" si="6"/>
        <v>5.9389075527499745E-2</v>
      </c>
      <c r="Y37" s="56">
        <f t="shared" si="7"/>
        <v>0.18351224337997421</v>
      </c>
      <c r="Z37" s="79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x14ac:dyDescent="0.3">
      <c r="A38" s="55">
        <v>1</v>
      </c>
      <c r="B38" s="56" t="s">
        <v>102</v>
      </c>
      <c r="C38" s="56">
        <f t="shared" si="8"/>
        <v>35</v>
      </c>
      <c r="D38" s="56">
        <f t="shared" si="0"/>
        <v>29.998170000000002</v>
      </c>
      <c r="E38" s="94">
        <v>13.41</v>
      </c>
      <c r="F38" s="94">
        <f>($C$4/E38)+F37</f>
        <v>4.820700496371634</v>
      </c>
      <c r="G38" s="56">
        <v>7000</v>
      </c>
      <c r="H38" s="56">
        <v>3</v>
      </c>
      <c r="I38" s="94">
        <f>E38-E37</f>
        <v>0</v>
      </c>
      <c r="J38" s="56">
        <f>(0.5*VEHICLE!$C$71*VEHICLE!$C$28*VEHICLE!$C$27*'Drive Cycle'!E38^2)</f>
        <v>159.97581505520998</v>
      </c>
      <c r="K38" s="56">
        <f>IF(A38=1,VEHICLE!$S$5,IF(A38=2,VEHICLE!$Q$5,IF(A38=3,VEHICLE!$R$5,IF(A38=4,VEHICLE!$P$5,1))))</f>
        <v>72.351594900000009</v>
      </c>
      <c r="L38" s="56">
        <v>0</v>
      </c>
      <c r="M38" s="56">
        <f t="shared" si="9"/>
        <v>0</v>
      </c>
      <c r="N38" s="56">
        <f t="shared" si="1"/>
        <v>0</v>
      </c>
      <c r="O38" s="56">
        <f t="shared" si="2"/>
        <v>0</v>
      </c>
      <c r="P38" s="56">
        <f t="shared" si="3"/>
        <v>232.32740995520999</v>
      </c>
      <c r="Q38" s="56">
        <f>IF(H38=1,I38*VEHICLE!$C$69,IF(H38=2,VEHICLE!$C$70*I38,IF(H38=3,VEHICLE!$C$71*I38,0)))</f>
        <v>0</v>
      </c>
      <c r="R38" s="56">
        <f>(J38+K38+O38+Q38)</f>
        <v>232.32740995520999</v>
      </c>
      <c r="S38" s="56">
        <f t="shared" si="4"/>
        <v>232.32740995520999</v>
      </c>
      <c r="T38" s="56">
        <f>ABS((R38)/((2*PI()*G38)/60))</f>
        <v>0.31693762037236189</v>
      </c>
      <c r="U38" s="56">
        <f t="shared" si="5"/>
        <v>1</v>
      </c>
      <c r="V38" s="56">
        <f>INDEX(BSFC!$D$4:$AD$26,MATCH(U38,BSFC!$B$4:$B$26,0),MATCH(G38,BSFC!$D$2:$AD$2,0))</f>
        <v>920.25590927999997</v>
      </c>
      <c r="W38" s="56">
        <f t="shared" si="10"/>
        <v>5.9389075527499745E-2</v>
      </c>
      <c r="X38" s="56">
        <f t="shared" si="6"/>
        <v>5.9389075527499745E-2</v>
      </c>
      <c r="Y38" s="56">
        <f t="shared" si="7"/>
        <v>0.18351224337997421</v>
      </c>
      <c r="Z38" s="79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x14ac:dyDescent="0.3">
      <c r="A39" s="55">
        <v>1</v>
      </c>
      <c r="B39" s="56" t="s">
        <v>102</v>
      </c>
      <c r="C39" s="56">
        <f t="shared" si="8"/>
        <v>36</v>
      </c>
      <c r="D39" s="56">
        <f t="shared" si="0"/>
        <v>29.998170000000002</v>
      </c>
      <c r="E39" s="94">
        <v>13.41</v>
      </c>
      <c r="F39" s="94">
        <f>($C$4/E39)+F38</f>
        <v>4.8952717118824465</v>
      </c>
      <c r="G39" s="56">
        <v>7000</v>
      </c>
      <c r="H39" s="56">
        <v>3</v>
      </c>
      <c r="I39" s="94">
        <f>E39-E38</f>
        <v>0</v>
      </c>
      <c r="J39" s="56">
        <f>(0.5*VEHICLE!$C$71*VEHICLE!$C$28*VEHICLE!$C$27*'Drive Cycle'!E39^2)</f>
        <v>159.97581505520998</v>
      </c>
      <c r="K39" s="56">
        <f>IF(A39=1,VEHICLE!$S$5,IF(A39=2,VEHICLE!$Q$5,IF(A39=3,VEHICLE!$R$5,IF(A39=4,VEHICLE!$P$5,1))))</f>
        <v>72.351594900000009</v>
      </c>
      <c r="L39" s="56">
        <v>0</v>
      </c>
      <c r="M39" s="56">
        <f t="shared" si="9"/>
        <v>0</v>
      </c>
      <c r="N39" s="56">
        <f t="shared" si="1"/>
        <v>0</v>
      </c>
      <c r="O39" s="56">
        <f t="shared" si="2"/>
        <v>0</v>
      </c>
      <c r="P39" s="56">
        <f t="shared" si="3"/>
        <v>232.32740995520999</v>
      </c>
      <c r="Q39" s="56">
        <f>IF(H39=1,I39*VEHICLE!$C$69,IF(H39=2,VEHICLE!$C$70*I39,IF(H39=3,VEHICLE!$C$71*I39,0)))</f>
        <v>0</v>
      </c>
      <c r="R39" s="56">
        <f>(J39+K39+O39+Q39)</f>
        <v>232.32740995520999</v>
      </c>
      <c r="S39" s="56">
        <f t="shared" si="4"/>
        <v>232.32740995520999</v>
      </c>
      <c r="T39" s="56">
        <f>ABS((R39)/((2*PI()*G39)/60))</f>
        <v>0.31693762037236189</v>
      </c>
      <c r="U39" s="56">
        <f t="shared" si="5"/>
        <v>1</v>
      </c>
      <c r="V39" s="56">
        <f>INDEX(BSFC!$D$4:$AD$26,MATCH(U39,BSFC!$B$4:$B$26,0),MATCH(G39,BSFC!$D$2:$AD$2,0))</f>
        <v>920.25590927999997</v>
      </c>
      <c r="W39" s="56">
        <f t="shared" si="10"/>
        <v>5.9389075527499745E-2</v>
      </c>
      <c r="X39" s="56">
        <f t="shared" si="6"/>
        <v>5.9389075527499745E-2</v>
      </c>
      <c r="Y39" s="56">
        <f t="shared" si="7"/>
        <v>0.18351224337997421</v>
      </c>
      <c r="Z39" s="79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x14ac:dyDescent="0.3">
      <c r="A40" s="55">
        <v>1</v>
      </c>
      <c r="B40" s="56" t="s">
        <v>102</v>
      </c>
      <c r="C40" s="56">
        <f t="shared" si="8"/>
        <v>37</v>
      </c>
      <c r="D40" s="56">
        <f t="shared" si="0"/>
        <v>29.998170000000002</v>
      </c>
      <c r="E40" s="94">
        <v>13.41</v>
      </c>
      <c r="F40" s="94">
        <f>($C$4/E40)+F39</f>
        <v>4.9698429273932589</v>
      </c>
      <c r="G40" s="56">
        <v>7000</v>
      </c>
      <c r="H40" s="56">
        <v>3</v>
      </c>
      <c r="I40" s="94">
        <f>E40-E39</f>
        <v>0</v>
      </c>
      <c r="J40" s="56">
        <f>(0.5*VEHICLE!$C$71*VEHICLE!$C$28*VEHICLE!$C$27*'Drive Cycle'!E40^2)</f>
        <v>159.97581505520998</v>
      </c>
      <c r="K40" s="56">
        <f>IF(A40=1,VEHICLE!$S$5,IF(A40=2,VEHICLE!$Q$5,IF(A40=3,VEHICLE!$R$5,IF(A40=4,VEHICLE!$P$5,1))))</f>
        <v>72.351594900000009</v>
      </c>
      <c r="L40" s="56">
        <v>0</v>
      </c>
      <c r="M40" s="56">
        <f t="shared" si="9"/>
        <v>0</v>
      </c>
      <c r="N40" s="56">
        <f t="shared" si="1"/>
        <v>0</v>
      </c>
      <c r="O40" s="56">
        <f t="shared" si="2"/>
        <v>0</v>
      </c>
      <c r="P40" s="56">
        <f t="shared" si="3"/>
        <v>232.32740995520999</v>
      </c>
      <c r="Q40" s="56">
        <f>IF(H40=1,I40*VEHICLE!$C$69,IF(H40=2,VEHICLE!$C$70*I40,IF(H40=3,VEHICLE!$C$71*I40,0)))</f>
        <v>0</v>
      </c>
      <c r="R40" s="56">
        <f>(J40+K40+O40+Q40)</f>
        <v>232.32740995520999</v>
      </c>
      <c r="S40" s="56">
        <f t="shared" si="4"/>
        <v>232.32740995520999</v>
      </c>
      <c r="T40" s="56">
        <f>ABS((R40)/((2*PI()*G40)/60))</f>
        <v>0.31693762037236189</v>
      </c>
      <c r="U40" s="56">
        <f t="shared" si="5"/>
        <v>1</v>
      </c>
      <c r="V40" s="56">
        <f>INDEX(BSFC!$D$4:$AD$26,MATCH(U40,BSFC!$B$4:$B$26,0),MATCH(G40,BSFC!$D$2:$AD$2,0))</f>
        <v>920.25590927999997</v>
      </c>
      <c r="W40" s="56">
        <f t="shared" si="10"/>
        <v>5.9389075527499745E-2</v>
      </c>
      <c r="X40" s="56">
        <f t="shared" si="6"/>
        <v>5.9389075527499745E-2</v>
      </c>
      <c r="Y40" s="56">
        <f t="shared" si="7"/>
        <v>0.18351224337997421</v>
      </c>
      <c r="Z40" s="79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x14ac:dyDescent="0.3">
      <c r="A41" s="55">
        <v>1</v>
      </c>
      <c r="B41" s="56" t="s">
        <v>102</v>
      </c>
      <c r="C41" s="56">
        <f t="shared" si="8"/>
        <v>38</v>
      </c>
      <c r="D41" s="56">
        <f t="shared" si="0"/>
        <v>29.998170000000002</v>
      </c>
      <c r="E41" s="94">
        <v>13.41</v>
      </c>
      <c r="F41" s="94">
        <f>($C$4/E41)+F40</f>
        <v>5.0444141429040714</v>
      </c>
      <c r="G41" s="56">
        <v>7000</v>
      </c>
      <c r="H41" s="56">
        <v>3</v>
      </c>
      <c r="I41" s="94">
        <f>E41-E40</f>
        <v>0</v>
      </c>
      <c r="J41" s="56">
        <f>(0.5*VEHICLE!$C$71*VEHICLE!$C$28*VEHICLE!$C$27*'Drive Cycle'!E41^2)</f>
        <v>159.97581505520998</v>
      </c>
      <c r="K41" s="56">
        <f>IF(A41=1,VEHICLE!$S$5,IF(A41=2,VEHICLE!$Q$5,IF(A41=3,VEHICLE!$R$5,IF(A41=4,VEHICLE!$P$5,1))))</f>
        <v>72.351594900000009</v>
      </c>
      <c r="L41" s="56">
        <v>0</v>
      </c>
      <c r="M41" s="56">
        <f t="shared" si="9"/>
        <v>0</v>
      </c>
      <c r="N41" s="56">
        <f t="shared" si="1"/>
        <v>0</v>
      </c>
      <c r="O41" s="56">
        <f t="shared" si="2"/>
        <v>0</v>
      </c>
      <c r="P41" s="56">
        <f t="shared" si="3"/>
        <v>232.32740995520999</v>
      </c>
      <c r="Q41" s="56">
        <f>IF(H41=1,I41*VEHICLE!$C$69,IF(H41=2,VEHICLE!$C$70*I41,IF(H41=3,VEHICLE!$C$71*I41,0)))</f>
        <v>0</v>
      </c>
      <c r="R41" s="56">
        <f>(J41+K41+O41+Q41)</f>
        <v>232.32740995520999</v>
      </c>
      <c r="S41" s="56">
        <f t="shared" si="4"/>
        <v>232.32740995520999</v>
      </c>
      <c r="T41" s="56">
        <f>ABS((R41)/((2*PI()*G41)/60))</f>
        <v>0.31693762037236189</v>
      </c>
      <c r="U41" s="56">
        <f t="shared" si="5"/>
        <v>1</v>
      </c>
      <c r="V41" s="56">
        <f>INDEX(BSFC!$D$4:$AD$26,MATCH(U41,BSFC!$B$4:$B$26,0),MATCH(G41,BSFC!$D$2:$AD$2,0))</f>
        <v>920.25590927999997</v>
      </c>
      <c r="W41" s="56">
        <f t="shared" si="10"/>
        <v>5.9389075527499745E-2</v>
      </c>
      <c r="X41" s="56">
        <f t="shared" si="6"/>
        <v>5.9389075527499745E-2</v>
      </c>
      <c r="Y41" s="56">
        <f t="shared" si="7"/>
        <v>0.18351224337997421</v>
      </c>
      <c r="Z41" s="79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3">
      <c r="A42" s="55">
        <v>1</v>
      </c>
      <c r="B42" s="56" t="s">
        <v>102</v>
      </c>
      <c r="C42" s="56">
        <f t="shared" si="8"/>
        <v>39</v>
      </c>
      <c r="D42" s="56">
        <f t="shared" si="0"/>
        <v>29.998170000000002</v>
      </c>
      <c r="E42" s="94">
        <v>13.41</v>
      </c>
      <c r="F42" s="94">
        <f>($C$4/E42)+F41</f>
        <v>5.1189853584148839</v>
      </c>
      <c r="G42" s="56">
        <v>7000</v>
      </c>
      <c r="H42" s="56">
        <v>3</v>
      </c>
      <c r="I42" s="94">
        <f>E42-E41</f>
        <v>0</v>
      </c>
      <c r="J42" s="56">
        <f>(0.5*VEHICLE!$C$71*VEHICLE!$C$28*VEHICLE!$C$27*'Drive Cycle'!E42^2)</f>
        <v>159.97581505520998</v>
      </c>
      <c r="K42" s="56">
        <f>IF(A42=1,VEHICLE!$S$5,IF(A42=2,VEHICLE!$Q$5,IF(A42=3,VEHICLE!$R$5,IF(A42=4,VEHICLE!$P$5,1))))</f>
        <v>72.351594900000009</v>
      </c>
      <c r="L42" s="56">
        <v>0</v>
      </c>
      <c r="M42" s="56">
        <f t="shared" si="9"/>
        <v>0</v>
      </c>
      <c r="N42" s="56">
        <f t="shared" si="1"/>
        <v>0</v>
      </c>
      <c r="O42" s="56">
        <f t="shared" si="2"/>
        <v>0</v>
      </c>
      <c r="P42" s="56">
        <f t="shared" si="3"/>
        <v>232.32740995520999</v>
      </c>
      <c r="Q42" s="56">
        <f>IF(H42=1,I42*VEHICLE!$C$69,IF(H42=2,VEHICLE!$C$70*I42,IF(H42=3,VEHICLE!$C$71*I42,0)))</f>
        <v>0</v>
      </c>
      <c r="R42" s="56">
        <f>(J42+K42+O42+Q42)</f>
        <v>232.32740995520999</v>
      </c>
      <c r="S42" s="56">
        <f t="shared" si="4"/>
        <v>232.32740995520999</v>
      </c>
      <c r="T42" s="56">
        <f>ABS((R42)/((2*PI()*G42)/60))</f>
        <v>0.31693762037236189</v>
      </c>
      <c r="U42" s="56">
        <f t="shared" si="5"/>
        <v>1</v>
      </c>
      <c r="V42" s="56">
        <f>INDEX(BSFC!$D$4:$AD$26,MATCH(U42,BSFC!$B$4:$B$26,0),MATCH(G42,BSFC!$D$2:$AD$2,0))</f>
        <v>920.25590927999997</v>
      </c>
      <c r="W42" s="56">
        <f t="shared" si="10"/>
        <v>5.9389075527499745E-2</v>
      </c>
      <c r="X42" s="56">
        <f t="shared" si="6"/>
        <v>5.9389075527499745E-2</v>
      </c>
      <c r="Y42" s="56">
        <f t="shared" si="7"/>
        <v>0.18351224337997421</v>
      </c>
      <c r="Z42" s="79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x14ac:dyDescent="0.3">
      <c r="A43" s="55">
        <v>1</v>
      </c>
      <c r="B43" s="56" t="s">
        <v>102</v>
      </c>
      <c r="C43" s="56">
        <f t="shared" si="8"/>
        <v>40</v>
      </c>
      <c r="D43" s="56">
        <f t="shared" si="0"/>
        <v>29.998170000000002</v>
      </c>
      <c r="E43" s="94">
        <v>13.41</v>
      </c>
      <c r="F43" s="94">
        <f>($C$4/E43)+F42</f>
        <v>5.1935565739256964</v>
      </c>
      <c r="G43" s="56">
        <v>7000</v>
      </c>
      <c r="H43" s="56">
        <v>3</v>
      </c>
      <c r="I43" s="94">
        <f>E43-E42</f>
        <v>0</v>
      </c>
      <c r="J43" s="56">
        <f>(0.5*VEHICLE!$C$71*VEHICLE!$C$28*VEHICLE!$C$27*'Drive Cycle'!E43^2)</f>
        <v>159.97581505520998</v>
      </c>
      <c r="K43" s="56">
        <f>IF(A43=1,VEHICLE!$S$5,IF(A43=2,VEHICLE!$Q$5,IF(A43=3,VEHICLE!$R$5,IF(A43=4,VEHICLE!$P$5,1))))</f>
        <v>72.351594900000009</v>
      </c>
      <c r="L43" s="56">
        <v>0</v>
      </c>
      <c r="M43" s="56">
        <f t="shared" si="9"/>
        <v>0</v>
      </c>
      <c r="N43" s="56">
        <f t="shared" si="1"/>
        <v>0</v>
      </c>
      <c r="O43" s="56">
        <f t="shared" si="2"/>
        <v>0</v>
      </c>
      <c r="P43" s="56">
        <f t="shared" si="3"/>
        <v>232.32740995520999</v>
      </c>
      <c r="Q43" s="56">
        <f>IF(H43=1,I43*VEHICLE!$C$69,IF(H43=2,VEHICLE!$C$70*I43,IF(H43=3,VEHICLE!$C$71*I43,0)))</f>
        <v>0</v>
      </c>
      <c r="R43" s="56">
        <f>(J43+K43+O43+Q43)</f>
        <v>232.32740995520999</v>
      </c>
      <c r="S43" s="56">
        <f t="shared" si="4"/>
        <v>232.32740995520999</v>
      </c>
      <c r="T43" s="56">
        <f>ABS((R43)/((2*PI()*G43)/60))</f>
        <v>0.31693762037236189</v>
      </c>
      <c r="U43" s="56">
        <f t="shared" si="5"/>
        <v>1</v>
      </c>
      <c r="V43" s="56">
        <f>INDEX(BSFC!$D$4:$AD$26,MATCH(U43,BSFC!$B$4:$B$26,0),MATCH(G43,BSFC!$D$2:$AD$2,0))</f>
        <v>920.25590927999997</v>
      </c>
      <c r="W43" s="56">
        <f t="shared" si="10"/>
        <v>5.9389075527499745E-2</v>
      </c>
      <c r="X43" s="56">
        <f t="shared" si="6"/>
        <v>5.9389075527499745E-2</v>
      </c>
      <c r="Y43" s="56">
        <f t="shared" si="7"/>
        <v>0.18351224337997421</v>
      </c>
      <c r="Z43" s="79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x14ac:dyDescent="0.3">
      <c r="A44" s="55">
        <v>1</v>
      </c>
      <c r="B44" s="56" t="s">
        <v>102</v>
      </c>
      <c r="C44" s="56">
        <f t="shared" si="8"/>
        <v>41</v>
      </c>
      <c r="D44" s="56">
        <f t="shared" si="0"/>
        <v>29.998170000000002</v>
      </c>
      <c r="E44" s="94">
        <v>13.41</v>
      </c>
      <c r="F44" s="94">
        <f>($C$4/E44)+F43</f>
        <v>5.2681277894365088</v>
      </c>
      <c r="G44" s="56">
        <v>7000</v>
      </c>
      <c r="H44" s="56">
        <v>3</v>
      </c>
      <c r="I44" s="94">
        <f>E44-E43</f>
        <v>0</v>
      </c>
      <c r="J44" s="56">
        <f>(0.5*VEHICLE!$C$71*VEHICLE!$C$28*VEHICLE!$C$27*'Drive Cycle'!E44^2)</f>
        <v>159.97581505520998</v>
      </c>
      <c r="K44" s="56">
        <f>IF(A44=1,VEHICLE!$S$5,IF(A44=2,VEHICLE!$Q$5,IF(A44=3,VEHICLE!$R$5,IF(A44=4,VEHICLE!$P$5,1))))</f>
        <v>72.351594900000009</v>
      </c>
      <c r="L44" s="56">
        <v>0</v>
      </c>
      <c r="M44" s="56">
        <f t="shared" si="9"/>
        <v>0</v>
      </c>
      <c r="N44" s="56">
        <f t="shared" si="1"/>
        <v>0</v>
      </c>
      <c r="O44" s="56">
        <f t="shared" si="2"/>
        <v>0</v>
      </c>
      <c r="P44" s="56">
        <f t="shared" si="3"/>
        <v>232.32740995520999</v>
      </c>
      <c r="Q44" s="56">
        <f>IF(H44=1,I44*VEHICLE!$C$69,IF(H44=2,VEHICLE!$C$70*I44,IF(H44=3,VEHICLE!$C$71*I44,0)))</f>
        <v>0</v>
      </c>
      <c r="R44" s="56">
        <f>(J44+K44+O44+Q44)</f>
        <v>232.32740995520999</v>
      </c>
      <c r="S44" s="56">
        <f t="shared" si="4"/>
        <v>232.32740995520999</v>
      </c>
      <c r="T44" s="56">
        <f>ABS((R44)/((2*PI()*G44)/60))</f>
        <v>0.31693762037236189</v>
      </c>
      <c r="U44" s="56">
        <f t="shared" si="5"/>
        <v>1</v>
      </c>
      <c r="V44" s="56">
        <f>INDEX(BSFC!$D$4:$AD$26,MATCH(U44,BSFC!$B$4:$B$26,0),MATCH(G44,BSFC!$D$2:$AD$2,0))</f>
        <v>920.25590927999997</v>
      </c>
      <c r="W44" s="56">
        <f t="shared" si="10"/>
        <v>5.9389075527499745E-2</v>
      </c>
      <c r="X44" s="56">
        <f t="shared" si="6"/>
        <v>5.9389075527499745E-2</v>
      </c>
      <c r="Y44" s="56">
        <f t="shared" si="7"/>
        <v>0.18351224337997421</v>
      </c>
      <c r="Z44" s="79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x14ac:dyDescent="0.3">
      <c r="A45" s="55">
        <v>1</v>
      </c>
      <c r="B45" s="56" t="s">
        <v>102</v>
      </c>
      <c r="C45" s="56">
        <f t="shared" si="8"/>
        <v>42</v>
      </c>
      <c r="D45" s="56">
        <f t="shared" si="0"/>
        <v>29.998170000000002</v>
      </c>
      <c r="E45" s="94">
        <v>13.41</v>
      </c>
      <c r="F45" s="94">
        <f>($C$4/E45)+F44</f>
        <v>5.3426990049473213</v>
      </c>
      <c r="G45" s="56">
        <v>7000</v>
      </c>
      <c r="H45" s="56">
        <v>3</v>
      </c>
      <c r="I45" s="94">
        <f>E45-E44</f>
        <v>0</v>
      </c>
      <c r="J45" s="56">
        <f>(0.5*VEHICLE!$C$71*VEHICLE!$C$28*VEHICLE!$C$27*'Drive Cycle'!E45^2)</f>
        <v>159.97581505520998</v>
      </c>
      <c r="K45" s="56">
        <f>IF(A45=1,VEHICLE!$S$5,IF(A45=2,VEHICLE!$Q$5,IF(A45=3,VEHICLE!$R$5,IF(A45=4,VEHICLE!$P$5,1))))</f>
        <v>72.351594900000009</v>
      </c>
      <c r="L45" s="56">
        <v>0</v>
      </c>
      <c r="M45" s="56">
        <f t="shared" si="9"/>
        <v>0</v>
      </c>
      <c r="N45" s="56">
        <f t="shared" si="1"/>
        <v>0</v>
      </c>
      <c r="O45" s="56">
        <f t="shared" si="2"/>
        <v>0</v>
      </c>
      <c r="P45" s="56">
        <f t="shared" si="3"/>
        <v>232.32740995520999</v>
      </c>
      <c r="Q45" s="56">
        <f>IF(H45=1,I45*VEHICLE!$C$69,IF(H45=2,VEHICLE!$C$70*I45,IF(H45=3,VEHICLE!$C$71*I45,0)))</f>
        <v>0</v>
      </c>
      <c r="R45" s="56">
        <f>(J45+K45+O45+Q45)</f>
        <v>232.32740995520999</v>
      </c>
      <c r="S45" s="56">
        <f t="shared" si="4"/>
        <v>232.32740995520999</v>
      </c>
      <c r="T45" s="56">
        <f>ABS((R45)/((2*PI()*G45)/60))</f>
        <v>0.31693762037236189</v>
      </c>
      <c r="U45" s="56">
        <f t="shared" si="5"/>
        <v>1</v>
      </c>
      <c r="V45" s="56">
        <f>INDEX(BSFC!$D$4:$AD$26,MATCH(U45,BSFC!$B$4:$B$26,0),MATCH(G45,BSFC!$D$2:$AD$2,0))</f>
        <v>920.25590927999997</v>
      </c>
      <c r="W45" s="56">
        <f t="shared" si="10"/>
        <v>5.9389075527499745E-2</v>
      </c>
      <c r="X45" s="56">
        <f t="shared" si="6"/>
        <v>5.9389075527499745E-2</v>
      </c>
      <c r="Y45" s="56">
        <f t="shared" si="7"/>
        <v>0.18351224337997421</v>
      </c>
      <c r="Z45" s="79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3">
      <c r="A46" s="55">
        <v>1</v>
      </c>
      <c r="B46" s="56" t="s">
        <v>102</v>
      </c>
      <c r="C46" s="56">
        <f t="shared" si="8"/>
        <v>43</v>
      </c>
      <c r="D46" s="56">
        <f t="shared" si="0"/>
        <v>29.998170000000002</v>
      </c>
      <c r="E46" s="94">
        <v>13.41</v>
      </c>
      <c r="F46" s="94">
        <f>($C$4/E46)+F45</f>
        <v>5.4172702204581338</v>
      </c>
      <c r="G46" s="56">
        <v>7000</v>
      </c>
      <c r="H46" s="56">
        <v>3</v>
      </c>
      <c r="I46" s="94">
        <f>E46-E45</f>
        <v>0</v>
      </c>
      <c r="J46" s="56">
        <f>(0.5*VEHICLE!$C$71*VEHICLE!$C$28*VEHICLE!$C$27*'Drive Cycle'!E46^2)</f>
        <v>159.97581505520998</v>
      </c>
      <c r="K46" s="56">
        <f>IF(A46=1,VEHICLE!$S$5,IF(A46=2,VEHICLE!$Q$5,IF(A46=3,VEHICLE!$R$5,IF(A46=4,VEHICLE!$P$5,1))))</f>
        <v>72.351594900000009</v>
      </c>
      <c r="L46" s="56">
        <v>0</v>
      </c>
      <c r="M46" s="56">
        <f t="shared" si="9"/>
        <v>0</v>
      </c>
      <c r="N46" s="56">
        <f t="shared" si="1"/>
        <v>0</v>
      </c>
      <c r="O46" s="56">
        <f t="shared" si="2"/>
        <v>0</v>
      </c>
      <c r="P46" s="56">
        <f t="shared" si="3"/>
        <v>232.32740995520999</v>
      </c>
      <c r="Q46" s="56">
        <f>IF(H46=1,I46*VEHICLE!$C$69,IF(H46=2,VEHICLE!$C$70*I46,IF(H46=3,VEHICLE!$C$71*I46,0)))</f>
        <v>0</v>
      </c>
      <c r="R46" s="56">
        <f>(J46+K46+O46+Q46)</f>
        <v>232.32740995520999</v>
      </c>
      <c r="S46" s="56">
        <f t="shared" si="4"/>
        <v>232.32740995520999</v>
      </c>
      <c r="T46" s="56">
        <f>ABS((R46)/((2*PI()*G46)/60))</f>
        <v>0.31693762037236189</v>
      </c>
      <c r="U46" s="56">
        <f t="shared" si="5"/>
        <v>1</v>
      </c>
      <c r="V46" s="56">
        <f>INDEX(BSFC!$D$4:$AD$26,MATCH(U46,BSFC!$B$4:$B$26,0),MATCH(G46,BSFC!$D$2:$AD$2,0))</f>
        <v>920.25590927999997</v>
      </c>
      <c r="W46" s="56">
        <f t="shared" si="10"/>
        <v>5.9389075527499745E-2</v>
      </c>
      <c r="X46" s="56">
        <f t="shared" si="6"/>
        <v>5.9389075527499745E-2</v>
      </c>
      <c r="Y46" s="56">
        <f t="shared" si="7"/>
        <v>0.18351224337997421</v>
      </c>
      <c r="Z46" s="79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3">
      <c r="A47" s="55">
        <v>1</v>
      </c>
      <c r="B47" s="56" t="s">
        <v>102</v>
      </c>
      <c r="C47" s="56">
        <f t="shared" si="8"/>
        <v>44</v>
      </c>
      <c r="D47" s="56">
        <f t="shared" si="0"/>
        <v>29.998170000000002</v>
      </c>
      <c r="E47" s="94">
        <v>13.41</v>
      </c>
      <c r="F47" s="94">
        <f>($C$4/E47)+F46</f>
        <v>5.4918414359689463</v>
      </c>
      <c r="G47" s="56">
        <v>7000</v>
      </c>
      <c r="H47" s="56">
        <v>3</v>
      </c>
      <c r="I47" s="94">
        <f>E47-E46</f>
        <v>0</v>
      </c>
      <c r="J47" s="56">
        <f>(0.5*VEHICLE!$C$71*VEHICLE!$C$28*VEHICLE!$C$27*'Drive Cycle'!E47^2)</f>
        <v>159.97581505520998</v>
      </c>
      <c r="K47" s="56">
        <f>IF(A47=1,VEHICLE!$S$5,IF(A47=2,VEHICLE!$Q$5,IF(A47=3,VEHICLE!$R$5,IF(A47=4,VEHICLE!$P$5,1))))</f>
        <v>72.351594900000009</v>
      </c>
      <c r="L47" s="56">
        <v>0</v>
      </c>
      <c r="M47" s="56">
        <f t="shared" si="9"/>
        <v>0</v>
      </c>
      <c r="N47" s="56">
        <f t="shared" si="1"/>
        <v>0</v>
      </c>
      <c r="O47" s="56">
        <f t="shared" si="2"/>
        <v>0</v>
      </c>
      <c r="P47" s="56">
        <f t="shared" si="3"/>
        <v>232.32740995520999</v>
      </c>
      <c r="Q47" s="56">
        <f>IF(H47=1,I47*VEHICLE!$C$69,IF(H47=2,VEHICLE!$C$70*I47,IF(H47=3,VEHICLE!$C$71*I47,0)))</f>
        <v>0</v>
      </c>
      <c r="R47" s="56">
        <f>(J47+K47+O47+Q47)</f>
        <v>232.32740995520999</v>
      </c>
      <c r="S47" s="56">
        <f t="shared" si="4"/>
        <v>232.32740995520999</v>
      </c>
      <c r="T47" s="56">
        <f>ABS((R47)/((2*PI()*G47)/60))</f>
        <v>0.31693762037236189</v>
      </c>
      <c r="U47" s="56">
        <f t="shared" si="5"/>
        <v>1</v>
      </c>
      <c r="V47" s="56">
        <f>INDEX(BSFC!$D$4:$AD$26,MATCH(U47,BSFC!$B$4:$B$26,0),MATCH(G47,BSFC!$D$2:$AD$2,0))</f>
        <v>920.25590927999997</v>
      </c>
      <c r="W47" s="56">
        <f t="shared" si="10"/>
        <v>5.9389075527499745E-2</v>
      </c>
      <c r="X47" s="56">
        <f t="shared" si="6"/>
        <v>5.9389075527499745E-2</v>
      </c>
      <c r="Y47" s="56">
        <f t="shared" si="7"/>
        <v>0.18351224337997421</v>
      </c>
      <c r="Z47" s="79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3">
      <c r="A48" s="55">
        <v>1</v>
      </c>
      <c r="B48" s="56" t="s">
        <v>102</v>
      </c>
      <c r="C48" s="56">
        <f t="shared" si="8"/>
        <v>45</v>
      </c>
      <c r="D48" s="56">
        <f t="shared" si="0"/>
        <v>29.998170000000002</v>
      </c>
      <c r="E48" s="94">
        <v>13.41</v>
      </c>
      <c r="F48" s="94">
        <f>($C$4/E48)+F47</f>
        <v>5.5664126514797587</v>
      </c>
      <c r="G48" s="56">
        <v>7000</v>
      </c>
      <c r="H48" s="56">
        <v>3</v>
      </c>
      <c r="I48" s="94">
        <f>E48-E47</f>
        <v>0</v>
      </c>
      <c r="J48" s="56">
        <f>(0.5*VEHICLE!$C$71*VEHICLE!$C$28*VEHICLE!$C$27*'Drive Cycle'!E48^2)</f>
        <v>159.97581505520998</v>
      </c>
      <c r="K48" s="56">
        <f>IF(A48=1,VEHICLE!$S$5,IF(A48=2,VEHICLE!$Q$5,IF(A48=3,VEHICLE!$R$5,IF(A48=4,VEHICLE!$P$5,1))))</f>
        <v>72.351594900000009</v>
      </c>
      <c r="L48" s="56">
        <v>0</v>
      </c>
      <c r="M48" s="56">
        <f t="shared" si="9"/>
        <v>0</v>
      </c>
      <c r="N48" s="56">
        <f t="shared" si="1"/>
        <v>0</v>
      </c>
      <c r="O48" s="56">
        <f t="shared" si="2"/>
        <v>0</v>
      </c>
      <c r="P48" s="56">
        <f t="shared" si="3"/>
        <v>232.32740995520999</v>
      </c>
      <c r="Q48" s="56">
        <f>IF(H48=1,I48*VEHICLE!$C$69,IF(H48=2,VEHICLE!$C$70*I48,IF(H48=3,VEHICLE!$C$71*I48,0)))</f>
        <v>0</v>
      </c>
      <c r="R48" s="56">
        <f>(J48+K48+O48+Q48)</f>
        <v>232.32740995520999</v>
      </c>
      <c r="S48" s="56">
        <f t="shared" si="4"/>
        <v>232.32740995520999</v>
      </c>
      <c r="T48" s="56">
        <f>ABS((R48)/((2*PI()*G48)/60))</f>
        <v>0.31693762037236189</v>
      </c>
      <c r="U48" s="56">
        <f t="shared" si="5"/>
        <v>1</v>
      </c>
      <c r="V48" s="56">
        <f>INDEX(BSFC!$D$4:$AD$26,MATCH(U48,BSFC!$B$4:$B$26,0),MATCH(G48,BSFC!$D$2:$AD$2,0))</f>
        <v>920.25590927999997</v>
      </c>
      <c r="W48" s="56">
        <f t="shared" si="10"/>
        <v>5.9389075527499745E-2</v>
      </c>
      <c r="X48" s="56">
        <f t="shared" si="6"/>
        <v>5.9389075527499745E-2</v>
      </c>
      <c r="Y48" s="56">
        <f t="shared" si="7"/>
        <v>0.18351224337997421</v>
      </c>
      <c r="Z48" s="79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3">
      <c r="A49" s="55">
        <v>1</v>
      </c>
      <c r="B49" s="56" t="s">
        <v>102</v>
      </c>
      <c r="C49" s="56">
        <f t="shared" si="8"/>
        <v>46</v>
      </c>
      <c r="D49" s="56">
        <f t="shared" si="0"/>
        <v>29.998170000000002</v>
      </c>
      <c r="E49" s="94">
        <v>13.41</v>
      </c>
      <c r="F49" s="94">
        <f>($C$4/E49)+F48</f>
        <v>5.6409838669905712</v>
      </c>
      <c r="G49" s="56">
        <v>7000</v>
      </c>
      <c r="H49" s="56">
        <v>3</v>
      </c>
      <c r="I49" s="94">
        <f>E49-E48</f>
        <v>0</v>
      </c>
      <c r="J49" s="56">
        <f>(0.5*VEHICLE!$C$71*VEHICLE!$C$28*VEHICLE!$C$27*'Drive Cycle'!E49^2)</f>
        <v>159.97581505520998</v>
      </c>
      <c r="K49" s="56">
        <f>IF(A49=1,VEHICLE!$S$5,IF(A49=2,VEHICLE!$Q$5,IF(A49=3,VEHICLE!$R$5,IF(A49=4,VEHICLE!$P$5,1))))</f>
        <v>72.351594900000009</v>
      </c>
      <c r="L49" s="56">
        <v>0</v>
      </c>
      <c r="M49" s="56">
        <f t="shared" si="9"/>
        <v>0</v>
      </c>
      <c r="N49" s="56">
        <f t="shared" si="1"/>
        <v>0</v>
      </c>
      <c r="O49" s="56">
        <f t="shared" si="2"/>
        <v>0</v>
      </c>
      <c r="P49" s="56">
        <f t="shared" si="3"/>
        <v>232.32740995520999</v>
      </c>
      <c r="Q49" s="56">
        <f>IF(H49=1,I49*VEHICLE!$C$69,IF(H49=2,VEHICLE!$C$70*I49,IF(H49=3,VEHICLE!$C$71*I49,0)))</f>
        <v>0</v>
      </c>
      <c r="R49" s="56">
        <f>(J49+K49+O49+Q49)</f>
        <v>232.32740995520999</v>
      </c>
      <c r="S49" s="56">
        <f t="shared" si="4"/>
        <v>232.32740995520999</v>
      </c>
      <c r="T49" s="56">
        <f>ABS((R49)/((2*PI()*G49)/60))</f>
        <v>0.31693762037236189</v>
      </c>
      <c r="U49" s="56">
        <f t="shared" si="5"/>
        <v>1</v>
      </c>
      <c r="V49" s="56">
        <f>INDEX(BSFC!$D$4:$AD$26,MATCH(U49,BSFC!$B$4:$B$26,0),MATCH(G49,BSFC!$D$2:$AD$2,0))</f>
        <v>920.25590927999997</v>
      </c>
      <c r="W49" s="56">
        <f t="shared" si="10"/>
        <v>5.9389075527499745E-2</v>
      </c>
      <c r="X49" s="56">
        <f t="shared" si="6"/>
        <v>5.9389075527499745E-2</v>
      </c>
      <c r="Y49" s="56">
        <f t="shared" si="7"/>
        <v>0.18351224337997421</v>
      </c>
      <c r="Z49" s="79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3">
      <c r="A50" s="55">
        <v>1</v>
      </c>
      <c r="B50" s="56" t="s">
        <v>102</v>
      </c>
      <c r="C50" s="56">
        <f t="shared" si="8"/>
        <v>47</v>
      </c>
      <c r="D50" s="56">
        <f t="shared" si="0"/>
        <v>29.998170000000002</v>
      </c>
      <c r="E50" s="94">
        <v>13.41</v>
      </c>
      <c r="F50" s="94">
        <f>($C$4/E50)+F49</f>
        <v>5.7155550825013837</v>
      </c>
      <c r="G50" s="56">
        <v>7000</v>
      </c>
      <c r="H50" s="56">
        <v>3</v>
      </c>
      <c r="I50" s="94">
        <f>E50-E49</f>
        <v>0</v>
      </c>
      <c r="J50" s="56">
        <f>(0.5*VEHICLE!$C$71*VEHICLE!$C$28*VEHICLE!$C$27*'Drive Cycle'!E50^2)</f>
        <v>159.97581505520998</v>
      </c>
      <c r="K50" s="56">
        <f>IF(A50=1,VEHICLE!$S$5,IF(A50=2,VEHICLE!$Q$5,IF(A50=3,VEHICLE!$R$5,IF(A50=4,VEHICLE!$P$5,1))))</f>
        <v>72.351594900000009</v>
      </c>
      <c r="L50" s="56">
        <v>0</v>
      </c>
      <c r="M50" s="56">
        <f t="shared" si="9"/>
        <v>0</v>
      </c>
      <c r="N50" s="56">
        <f t="shared" si="1"/>
        <v>0</v>
      </c>
      <c r="O50" s="56">
        <f t="shared" si="2"/>
        <v>0</v>
      </c>
      <c r="P50" s="56">
        <f t="shared" si="3"/>
        <v>232.32740995520999</v>
      </c>
      <c r="Q50" s="56">
        <f>IF(H50=1,I50*VEHICLE!$C$69,IF(H50=2,VEHICLE!$C$70*I50,IF(H50=3,VEHICLE!$C$71*I50,0)))</f>
        <v>0</v>
      </c>
      <c r="R50" s="56">
        <f>(J50+K50+O50+Q50)</f>
        <v>232.32740995520999</v>
      </c>
      <c r="S50" s="56">
        <f t="shared" si="4"/>
        <v>232.32740995520999</v>
      </c>
      <c r="T50" s="56">
        <f>ABS((R50)/((2*PI()*G50)/60))</f>
        <v>0.31693762037236189</v>
      </c>
      <c r="U50" s="56">
        <f t="shared" si="5"/>
        <v>1</v>
      </c>
      <c r="V50" s="56">
        <f>INDEX(BSFC!$D$4:$AD$26,MATCH(U50,BSFC!$B$4:$B$26,0),MATCH(G50,BSFC!$D$2:$AD$2,0))</f>
        <v>920.25590927999997</v>
      </c>
      <c r="W50" s="56">
        <f t="shared" si="10"/>
        <v>5.9389075527499745E-2</v>
      </c>
      <c r="X50" s="56">
        <f t="shared" si="6"/>
        <v>5.9389075527499745E-2</v>
      </c>
      <c r="Y50" s="56">
        <f t="shared" si="7"/>
        <v>0.18351224337997421</v>
      </c>
      <c r="Z50" s="79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3">
      <c r="A51" s="55">
        <v>1</v>
      </c>
      <c r="B51" s="56" t="s">
        <v>102</v>
      </c>
      <c r="C51" s="56">
        <f t="shared" si="8"/>
        <v>48</v>
      </c>
      <c r="D51" s="56">
        <f t="shared" si="0"/>
        <v>29.998170000000002</v>
      </c>
      <c r="E51" s="94">
        <v>13.41</v>
      </c>
      <c r="F51" s="94">
        <f>($C$4/E51)+F50</f>
        <v>5.7901262980121961</v>
      </c>
      <c r="G51" s="56">
        <v>7000</v>
      </c>
      <c r="H51" s="56">
        <v>3</v>
      </c>
      <c r="I51" s="94">
        <f>E51-E50</f>
        <v>0</v>
      </c>
      <c r="J51" s="56">
        <f>(0.5*VEHICLE!$C$71*VEHICLE!$C$28*VEHICLE!$C$27*'Drive Cycle'!E51^2)</f>
        <v>159.97581505520998</v>
      </c>
      <c r="K51" s="56">
        <f>IF(A51=1,VEHICLE!$S$5,IF(A51=2,VEHICLE!$Q$5,IF(A51=3,VEHICLE!$R$5,IF(A51=4,VEHICLE!$P$5,1))))</f>
        <v>72.351594900000009</v>
      </c>
      <c r="L51" s="56">
        <v>0</v>
      </c>
      <c r="M51" s="56">
        <f t="shared" si="9"/>
        <v>0</v>
      </c>
      <c r="N51" s="56">
        <f t="shared" si="1"/>
        <v>0</v>
      </c>
      <c r="O51" s="56">
        <f t="shared" si="2"/>
        <v>0</v>
      </c>
      <c r="P51" s="56">
        <f t="shared" si="3"/>
        <v>232.32740995520999</v>
      </c>
      <c r="Q51" s="56">
        <f>IF(H51=1,I51*VEHICLE!$C$69,IF(H51=2,VEHICLE!$C$70*I51,IF(H51=3,VEHICLE!$C$71*I51,0)))</f>
        <v>0</v>
      </c>
      <c r="R51" s="56">
        <f>(J51+K51+O51+Q51)</f>
        <v>232.32740995520999</v>
      </c>
      <c r="S51" s="56">
        <f t="shared" si="4"/>
        <v>232.32740995520999</v>
      </c>
      <c r="T51" s="56">
        <f>ABS((R51)/((2*PI()*G51)/60))</f>
        <v>0.31693762037236189</v>
      </c>
      <c r="U51" s="56">
        <f t="shared" si="5"/>
        <v>1</v>
      </c>
      <c r="V51" s="56">
        <f>INDEX(BSFC!$D$4:$AD$26,MATCH(U51,BSFC!$B$4:$B$26,0),MATCH(G51,BSFC!$D$2:$AD$2,0))</f>
        <v>920.25590927999997</v>
      </c>
      <c r="W51" s="56">
        <f t="shared" si="10"/>
        <v>5.9389075527499745E-2</v>
      </c>
      <c r="X51" s="56">
        <f t="shared" si="6"/>
        <v>5.9389075527499745E-2</v>
      </c>
      <c r="Y51" s="56">
        <f t="shared" si="7"/>
        <v>0.18351224337997421</v>
      </c>
      <c r="Z51" s="79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3">
      <c r="A52" s="55">
        <v>1</v>
      </c>
      <c r="B52" s="56" t="s">
        <v>102</v>
      </c>
      <c r="C52" s="56">
        <f t="shared" si="8"/>
        <v>49</v>
      </c>
      <c r="D52" s="56">
        <f t="shared" si="0"/>
        <v>29.998170000000002</v>
      </c>
      <c r="E52" s="94">
        <v>13.41</v>
      </c>
      <c r="F52" s="94">
        <f>($C$4/E52)+F51</f>
        <v>5.8646975135230086</v>
      </c>
      <c r="G52" s="56">
        <v>7000</v>
      </c>
      <c r="H52" s="56">
        <v>3</v>
      </c>
      <c r="I52" s="94">
        <f>E52-E51</f>
        <v>0</v>
      </c>
      <c r="J52" s="56">
        <f>(0.5*VEHICLE!$C$71*VEHICLE!$C$28*VEHICLE!$C$27*'Drive Cycle'!E52^2)</f>
        <v>159.97581505520998</v>
      </c>
      <c r="K52" s="56">
        <f>IF(A52=1,VEHICLE!$S$5,IF(A52=2,VEHICLE!$Q$5,IF(A52=3,VEHICLE!$R$5,IF(A52=4,VEHICLE!$P$5,1))))</f>
        <v>72.351594900000009</v>
      </c>
      <c r="L52" s="56">
        <v>0</v>
      </c>
      <c r="M52" s="56">
        <f t="shared" si="9"/>
        <v>0</v>
      </c>
      <c r="N52" s="56">
        <f t="shared" si="1"/>
        <v>0</v>
      </c>
      <c r="O52" s="56">
        <f t="shared" si="2"/>
        <v>0</v>
      </c>
      <c r="P52" s="56">
        <f t="shared" si="3"/>
        <v>232.32740995520999</v>
      </c>
      <c r="Q52" s="56">
        <f>IF(H52=1,I52*VEHICLE!$C$69,IF(H52=2,VEHICLE!$C$70*I52,IF(H52=3,VEHICLE!$C$71*I52,0)))</f>
        <v>0</v>
      </c>
      <c r="R52" s="56">
        <f>(J52+K52+O52+Q52)</f>
        <v>232.32740995520999</v>
      </c>
      <c r="S52" s="56">
        <f t="shared" si="4"/>
        <v>232.32740995520999</v>
      </c>
      <c r="T52" s="56">
        <f>ABS((R52)/((2*PI()*G52)/60))</f>
        <v>0.31693762037236189</v>
      </c>
      <c r="U52" s="56">
        <f t="shared" si="5"/>
        <v>1</v>
      </c>
      <c r="V52" s="56">
        <f>INDEX(BSFC!$D$4:$AD$26,MATCH(U52,BSFC!$B$4:$B$26,0),MATCH(G52,BSFC!$D$2:$AD$2,0))</f>
        <v>920.25590927999997</v>
      </c>
      <c r="W52" s="56">
        <f t="shared" si="10"/>
        <v>5.9389075527499745E-2</v>
      </c>
      <c r="X52" s="56">
        <f t="shared" si="6"/>
        <v>5.9389075527499745E-2</v>
      </c>
      <c r="Y52" s="56">
        <f t="shared" si="7"/>
        <v>0.18351224337997421</v>
      </c>
      <c r="Z52" s="79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3">
      <c r="A53" s="55">
        <v>1</v>
      </c>
      <c r="B53" s="56" t="s">
        <v>102</v>
      </c>
      <c r="C53" s="56">
        <f t="shared" si="8"/>
        <v>50</v>
      </c>
      <c r="D53" s="56">
        <f t="shared" si="0"/>
        <v>29.998170000000002</v>
      </c>
      <c r="E53" s="94">
        <v>13.41</v>
      </c>
      <c r="F53" s="94">
        <f>($C$4/E53)+F52</f>
        <v>5.9392687290338211</v>
      </c>
      <c r="G53" s="56">
        <v>7000</v>
      </c>
      <c r="H53" s="56">
        <v>3</v>
      </c>
      <c r="I53" s="94">
        <f>E53-E52</f>
        <v>0</v>
      </c>
      <c r="J53" s="56">
        <f>(0.5*VEHICLE!$C$71*VEHICLE!$C$28*VEHICLE!$C$27*'Drive Cycle'!E53^2)</f>
        <v>159.97581505520998</v>
      </c>
      <c r="K53" s="56">
        <f>IF(A53=1,VEHICLE!$S$5,IF(A53=2,VEHICLE!$Q$5,IF(A53=3,VEHICLE!$R$5,IF(A53=4,VEHICLE!$P$5,1))))</f>
        <v>72.351594900000009</v>
      </c>
      <c r="L53" s="56">
        <v>0</v>
      </c>
      <c r="M53" s="56">
        <f t="shared" si="9"/>
        <v>0</v>
      </c>
      <c r="N53" s="56">
        <f t="shared" si="1"/>
        <v>0</v>
      </c>
      <c r="O53" s="56">
        <f t="shared" si="2"/>
        <v>0</v>
      </c>
      <c r="P53" s="56">
        <f t="shared" si="3"/>
        <v>232.32740995520999</v>
      </c>
      <c r="Q53" s="56">
        <f>IF(H53=1,I53*VEHICLE!$C$69,IF(H53=2,VEHICLE!$C$70*I53,IF(H53=3,VEHICLE!$C$71*I53,0)))</f>
        <v>0</v>
      </c>
      <c r="R53" s="56">
        <f>(J53+K53+O53+Q53)</f>
        <v>232.32740995520999</v>
      </c>
      <c r="S53" s="56">
        <f t="shared" si="4"/>
        <v>232.32740995520999</v>
      </c>
      <c r="T53" s="56">
        <f>ABS((R53)/((2*PI()*G53)/60))</f>
        <v>0.31693762037236189</v>
      </c>
      <c r="U53" s="56">
        <f t="shared" si="5"/>
        <v>1</v>
      </c>
      <c r="V53" s="56">
        <f>INDEX(BSFC!$D$4:$AD$26,MATCH(U53,BSFC!$B$4:$B$26,0),MATCH(G53,BSFC!$D$2:$AD$2,0))</f>
        <v>920.25590927999997</v>
      </c>
      <c r="W53" s="56">
        <f t="shared" si="10"/>
        <v>5.9389075527499745E-2</v>
      </c>
      <c r="X53" s="56">
        <f t="shared" si="6"/>
        <v>5.9389075527499745E-2</v>
      </c>
      <c r="Y53" s="56">
        <f t="shared" si="7"/>
        <v>0.18351224337997421</v>
      </c>
      <c r="Z53" s="79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3">
      <c r="A54" s="55">
        <v>1</v>
      </c>
      <c r="B54" s="56" t="s">
        <v>102</v>
      </c>
      <c r="C54" s="56">
        <f t="shared" si="8"/>
        <v>51</v>
      </c>
      <c r="D54" s="56">
        <f t="shared" si="0"/>
        <v>29.998170000000002</v>
      </c>
      <c r="E54" s="94">
        <v>13.41</v>
      </c>
      <c r="F54" s="94">
        <f>($C$4/E54)+F53</f>
        <v>6.0138399445446336</v>
      </c>
      <c r="G54" s="56">
        <v>7000</v>
      </c>
      <c r="H54" s="56">
        <v>3</v>
      </c>
      <c r="I54" s="94">
        <f>E54-E53</f>
        <v>0</v>
      </c>
      <c r="J54" s="56">
        <f>(0.5*VEHICLE!$C$71*VEHICLE!$C$28*VEHICLE!$C$27*'Drive Cycle'!E54^2)</f>
        <v>159.97581505520998</v>
      </c>
      <c r="K54" s="56">
        <f>IF(A54=1,VEHICLE!$S$5,IF(A54=2,VEHICLE!$Q$5,IF(A54=3,VEHICLE!$R$5,IF(A54=4,VEHICLE!$P$5,1))))</f>
        <v>72.351594900000009</v>
      </c>
      <c r="L54" s="56">
        <v>0</v>
      </c>
      <c r="M54" s="56">
        <f t="shared" si="9"/>
        <v>0</v>
      </c>
      <c r="N54" s="56">
        <f t="shared" si="1"/>
        <v>0</v>
      </c>
      <c r="O54" s="56">
        <f t="shared" si="2"/>
        <v>0</v>
      </c>
      <c r="P54" s="56">
        <f t="shared" si="3"/>
        <v>232.32740995520999</v>
      </c>
      <c r="Q54" s="56">
        <f>IF(H54=1,I54*VEHICLE!$C$69,IF(H54=2,VEHICLE!$C$70*I54,IF(H54=3,VEHICLE!$C$71*I54,0)))</f>
        <v>0</v>
      </c>
      <c r="R54" s="56">
        <f>(J54+K54+O54+Q54)</f>
        <v>232.32740995520999</v>
      </c>
      <c r="S54" s="56">
        <f t="shared" si="4"/>
        <v>232.32740995520999</v>
      </c>
      <c r="T54" s="56">
        <f>ABS((R54)/((2*PI()*G54)/60))</f>
        <v>0.31693762037236189</v>
      </c>
      <c r="U54" s="56">
        <f t="shared" si="5"/>
        <v>1</v>
      </c>
      <c r="V54" s="56">
        <f>INDEX(BSFC!$D$4:$AD$26,MATCH(U54,BSFC!$B$4:$B$26,0),MATCH(G54,BSFC!$D$2:$AD$2,0))</f>
        <v>920.25590927999997</v>
      </c>
      <c r="W54" s="56">
        <f t="shared" si="10"/>
        <v>5.9389075527499745E-2</v>
      </c>
      <c r="X54" s="56">
        <f t="shared" si="6"/>
        <v>5.9389075527499745E-2</v>
      </c>
      <c r="Y54" s="56">
        <f t="shared" si="7"/>
        <v>0.18351224337997421</v>
      </c>
      <c r="Z54" s="79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3">
      <c r="A55" s="55">
        <v>1</v>
      </c>
      <c r="B55" s="56" t="s">
        <v>102</v>
      </c>
      <c r="C55" s="56">
        <f t="shared" si="8"/>
        <v>52</v>
      </c>
      <c r="D55" s="56">
        <f t="shared" si="0"/>
        <v>29.998170000000002</v>
      </c>
      <c r="E55" s="94">
        <v>13.41</v>
      </c>
      <c r="F55" s="94">
        <f>($C$4/E55)+F54</f>
        <v>6.088411160055446</v>
      </c>
      <c r="G55" s="56">
        <v>7000</v>
      </c>
      <c r="H55" s="56">
        <v>3</v>
      </c>
      <c r="I55" s="94">
        <f>E55-E54</f>
        <v>0</v>
      </c>
      <c r="J55" s="56">
        <f>(0.5*VEHICLE!$C$71*VEHICLE!$C$28*VEHICLE!$C$27*'Drive Cycle'!E55^2)</f>
        <v>159.97581505520998</v>
      </c>
      <c r="K55" s="56">
        <f>IF(A55=1,VEHICLE!$S$5,IF(A55=2,VEHICLE!$Q$5,IF(A55=3,VEHICLE!$R$5,IF(A55=4,VEHICLE!$P$5,1))))</f>
        <v>72.351594900000009</v>
      </c>
      <c r="L55" s="56">
        <v>0</v>
      </c>
      <c r="M55" s="56">
        <f t="shared" si="9"/>
        <v>0</v>
      </c>
      <c r="N55" s="56">
        <f t="shared" si="1"/>
        <v>0</v>
      </c>
      <c r="O55" s="56">
        <f t="shared" si="2"/>
        <v>0</v>
      </c>
      <c r="P55" s="56">
        <f t="shared" si="3"/>
        <v>232.32740995520999</v>
      </c>
      <c r="Q55" s="56">
        <f>IF(H55=1,I55*VEHICLE!$C$69,IF(H55=2,VEHICLE!$C$70*I55,IF(H55=3,VEHICLE!$C$71*I55,0)))</f>
        <v>0</v>
      </c>
      <c r="R55" s="56">
        <f>(J55+K55+O55+Q55)</f>
        <v>232.32740995520999</v>
      </c>
      <c r="S55" s="56">
        <f t="shared" si="4"/>
        <v>232.32740995520999</v>
      </c>
      <c r="T55" s="56">
        <f>ABS((R55)/((2*PI()*G55)/60))</f>
        <v>0.31693762037236189</v>
      </c>
      <c r="U55" s="56">
        <f t="shared" si="5"/>
        <v>1</v>
      </c>
      <c r="V55" s="56">
        <f>INDEX(BSFC!$D$4:$AD$26,MATCH(U55,BSFC!$B$4:$B$26,0),MATCH(G55,BSFC!$D$2:$AD$2,0))</f>
        <v>920.25590927999997</v>
      </c>
      <c r="W55" s="56">
        <f t="shared" si="10"/>
        <v>5.9389075527499745E-2</v>
      </c>
      <c r="X55" s="56">
        <f t="shared" si="6"/>
        <v>5.9389075527499745E-2</v>
      </c>
      <c r="Y55" s="56">
        <f t="shared" si="7"/>
        <v>0.18351224337997421</v>
      </c>
      <c r="Z55" s="79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3">
      <c r="A56" s="55">
        <v>1</v>
      </c>
      <c r="B56" s="56" t="s">
        <v>102</v>
      </c>
      <c r="C56" s="56">
        <f t="shared" si="8"/>
        <v>53</v>
      </c>
      <c r="D56" s="56">
        <f t="shared" si="0"/>
        <v>29.998170000000002</v>
      </c>
      <c r="E56" s="94">
        <v>13.41</v>
      </c>
      <c r="F56" s="94">
        <f>($C$4/E56)+F55</f>
        <v>6.1629823755662585</v>
      </c>
      <c r="G56" s="56">
        <v>7000</v>
      </c>
      <c r="H56" s="56">
        <v>3</v>
      </c>
      <c r="I56" s="94">
        <f>E56-E55</f>
        <v>0</v>
      </c>
      <c r="J56" s="56">
        <f>(0.5*VEHICLE!$C$71*VEHICLE!$C$28*VEHICLE!$C$27*'Drive Cycle'!E56^2)</f>
        <v>159.97581505520998</v>
      </c>
      <c r="K56" s="56">
        <f>IF(A56=1,VEHICLE!$S$5,IF(A56=2,VEHICLE!$Q$5,IF(A56=3,VEHICLE!$R$5,IF(A56=4,VEHICLE!$P$5,1))))</f>
        <v>72.351594900000009</v>
      </c>
      <c r="L56" s="56">
        <v>0</v>
      </c>
      <c r="M56" s="56">
        <f t="shared" si="9"/>
        <v>0</v>
      </c>
      <c r="N56" s="56">
        <f t="shared" si="1"/>
        <v>0</v>
      </c>
      <c r="O56" s="56">
        <f t="shared" si="2"/>
        <v>0</v>
      </c>
      <c r="P56" s="56">
        <f t="shared" si="3"/>
        <v>232.32740995520999</v>
      </c>
      <c r="Q56" s="56">
        <f>IF(H56=1,I56*VEHICLE!$C$69,IF(H56=2,VEHICLE!$C$70*I56,IF(H56=3,VEHICLE!$C$71*I56,0)))</f>
        <v>0</v>
      </c>
      <c r="R56" s="56">
        <f>(J56+K56+O56+Q56)</f>
        <v>232.32740995520999</v>
      </c>
      <c r="S56" s="56">
        <f t="shared" si="4"/>
        <v>232.32740995520999</v>
      </c>
      <c r="T56" s="56">
        <f>ABS((R56)/((2*PI()*G56)/60))</f>
        <v>0.31693762037236189</v>
      </c>
      <c r="U56" s="56">
        <f t="shared" si="5"/>
        <v>1</v>
      </c>
      <c r="V56" s="56">
        <f>INDEX(BSFC!$D$4:$AD$26,MATCH(U56,BSFC!$B$4:$B$26,0),MATCH(G56,BSFC!$D$2:$AD$2,0))</f>
        <v>920.25590927999997</v>
      </c>
      <c r="W56" s="56">
        <f t="shared" si="10"/>
        <v>5.9389075527499745E-2</v>
      </c>
      <c r="X56" s="56">
        <f t="shared" si="6"/>
        <v>5.9389075527499745E-2</v>
      </c>
      <c r="Y56" s="56">
        <f t="shared" si="7"/>
        <v>0.18351224337997421</v>
      </c>
      <c r="Z56" s="79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3">
      <c r="A57" s="55">
        <v>1</v>
      </c>
      <c r="B57" s="56" t="s">
        <v>102</v>
      </c>
      <c r="C57" s="56">
        <f t="shared" si="8"/>
        <v>54</v>
      </c>
      <c r="D57" s="56">
        <f t="shared" si="0"/>
        <v>29.998170000000002</v>
      </c>
      <c r="E57" s="94">
        <v>13.41</v>
      </c>
      <c r="F57" s="94">
        <f>($C$4/E57)+F56</f>
        <v>6.237553591077071</v>
      </c>
      <c r="G57" s="56">
        <v>7000</v>
      </c>
      <c r="H57" s="56">
        <v>3</v>
      </c>
      <c r="I57" s="94">
        <f>E57-E56</f>
        <v>0</v>
      </c>
      <c r="J57" s="56">
        <f>(0.5*VEHICLE!$C$71*VEHICLE!$C$28*VEHICLE!$C$27*'Drive Cycle'!E57^2)</f>
        <v>159.97581505520998</v>
      </c>
      <c r="K57" s="56">
        <f>IF(A57=1,VEHICLE!$S$5,IF(A57=2,VEHICLE!$Q$5,IF(A57=3,VEHICLE!$R$5,IF(A57=4,VEHICLE!$P$5,1))))</f>
        <v>72.351594900000009</v>
      </c>
      <c r="L57" s="56">
        <v>0</v>
      </c>
      <c r="M57" s="56">
        <f t="shared" si="9"/>
        <v>0</v>
      </c>
      <c r="N57" s="56">
        <f t="shared" si="1"/>
        <v>0</v>
      </c>
      <c r="O57" s="56">
        <f t="shared" si="2"/>
        <v>0</v>
      </c>
      <c r="P57" s="56">
        <f t="shared" si="3"/>
        <v>232.32740995520999</v>
      </c>
      <c r="Q57" s="56">
        <f>IF(H57=1,I57*VEHICLE!$C$69,IF(H57=2,VEHICLE!$C$70*I57,IF(H57=3,VEHICLE!$C$71*I57,0)))</f>
        <v>0</v>
      </c>
      <c r="R57" s="56">
        <f>(J57+K57+O57+Q57)</f>
        <v>232.32740995520999</v>
      </c>
      <c r="S57" s="56">
        <f t="shared" si="4"/>
        <v>232.32740995520999</v>
      </c>
      <c r="T57" s="56">
        <f>ABS((R57)/((2*PI()*G57)/60))</f>
        <v>0.31693762037236189</v>
      </c>
      <c r="U57" s="56">
        <f t="shared" si="5"/>
        <v>1</v>
      </c>
      <c r="V57" s="56">
        <f>INDEX(BSFC!$D$4:$AD$26,MATCH(U57,BSFC!$B$4:$B$26,0),MATCH(G57,BSFC!$D$2:$AD$2,0))</f>
        <v>920.25590927999997</v>
      </c>
      <c r="W57" s="56">
        <f t="shared" si="10"/>
        <v>5.9389075527499745E-2</v>
      </c>
      <c r="X57" s="56">
        <f t="shared" si="6"/>
        <v>5.9389075527499745E-2</v>
      </c>
      <c r="Y57" s="56">
        <f t="shared" si="7"/>
        <v>0.18351224337997421</v>
      </c>
      <c r="Z57" s="79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3">
      <c r="A58" s="55">
        <v>1</v>
      </c>
      <c r="B58" s="56" t="s">
        <v>102</v>
      </c>
      <c r="C58" s="56">
        <f t="shared" si="8"/>
        <v>55</v>
      </c>
      <c r="D58" s="56">
        <f t="shared" si="0"/>
        <v>29.998170000000002</v>
      </c>
      <c r="E58" s="94">
        <v>13.41</v>
      </c>
      <c r="F58" s="94">
        <f>($C$4/E58)+F57</f>
        <v>6.3121248065878834</v>
      </c>
      <c r="G58" s="56">
        <v>7000</v>
      </c>
      <c r="H58" s="56">
        <v>3</v>
      </c>
      <c r="I58" s="94">
        <f>E58-E57</f>
        <v>0</v>
      </c>
      <c r="J58" s="56">
        <f>(0.5*VEHICLE!$C$71*VEHICLE!$C$28*VEHICLE!$C$27*'Drive Cycle'!E58^2)</f>
        <v>159.97581505520998</v>
      </c>
      <c r="K58" s="56">
        <f>IF(A58=1,VEHICLE!$S$5,IF(A58=2,VEHICLE!$Q$5,IF(A58=3,VEHICLE!$R$5,IF(A58=4,VEHICLE!$P$5,1))))</f>
        <v>72.351594900000009</v>
      </c>
      <c r="L58" s="56">
        <v>0</v>
      </c>
      <c r="M58" s="56">
        <f t="shared" si="9"/>
        <v>0</v>
      </c>
      <c r="N58" s="56">
        <f t="shared" si="1"/>
        <v>0</v>
      </c>
      <c r="O58" s="56">
        <f t="shared" si="2"/>
        <v>0</v>
      </c>
      <c r="P58" s="56">
        <f t="shared" si="3"/>
        <v>232.32740995520999</v>
      </c>
      <c r="Q58" s="56">
        <f>IF(H58=1,I58*VEHICLE!$C$69,IF(H58=2,VEHICLE!$C$70*I58,IF(H58=3,VEHICLE!$C$71*I58,0)))</f>
        <v>0</v>
      </c>
      <c r="R58" s="56">
        <f>(J58+K58+O58+Q58)</f>
        <v>232.32740995520999</v>
      </c>
      <c r="S58" s="56">
        <f t="shared" si="4"/>
        <v>232.32740995520999</v>
      </c>
      <c r="T58" s="56">
        <f>ABS((R58)/((2*PI()*G58)/60))</f>
        <v>0.31693762037236189</v>
      </c>
      <c r="U58" s="56">
        <f t="shared" si="5"/>
        <v>1</v>
      </c>
      <c r="V58" s="56">
        <f>INDEX(BSFC!$D$4:$AD$26,MATCH(U58,BSFC!$B$4:$B$26,0),MATCH(G58,BSFC!$D$2:$AD$2,0))</f>
        <v>920.25590927999997</v>
      </c>
      <c r="W58" s="56">
        <f t="shared" si="10"/>
        <v>5.9389075527499745E-2</v>
      </c>
      <c r="X58" s="56">
        <f t="shared" si="6"/>
        <v>5.9389075527499745E-2</v>
      </c>
      <c r="Y58" s="56">
        <f t="shared" si="7"/>
        <v>0.18351224337997421</v>
      </c>
      <c r="Z58" s="79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3">
      <c r="A59" s="55">
        <v>1</v>
      </c>
      <c r="B59" s="56" t="s">
        <v>102</v>
      </c>
      <c r="C59" s="56">
        <f t="shared" si="8"/>
        <v>56</v>
      </c>
      <c r="D59" s="56">
        <f t="shared" si="0"/>
        <v>29.998170000000002</v>
      </c>
      <c r="E59" s="94">
        <v>13.41</v>
      </c>
      <c r="F59" s="94">
        <f>($C$4/E59)+F58</f>
        <v>6.3866960220986959</v>
      </c>
      <c r="G59" s="56">
        <v>7000</v>
      </c>
      <c r="H59" s="56">
        <v>3</v>
      </c>
      <c r="I59" s="94">
        <f>E59-E58</f>
        <v>0</v>
      </c>
      <c r="J59" s="56">
        <f>(0.5*VEHICLE!$C$71*VEHICLE!$C$28*VEHICLE!$C$27*'Drive Cycle'!E59^2)</f>
        <v>159.97581505520998</v>
      </c>
      <c r="K59" s="56">
        <f>IF(A59=1,VEHICLE!$S$5,IF(A59=2,VEHICLE!$Q$5,IF(A59=3,VEHICLE!$R$5,IF(A59=4,VEHICLE!$P$5,1))))</f>
        <v>72.351594900000009</v>
      </c>
      <c r="L59" s="56">
        <v>0</v>
      </c>
      <c r="M59" s="56">
        <f t="shared" si="9"/>
        <v>0</v>
      </c>
      <c r="N59" s="56">
        <f t="shared" si="1"/>
        <v>0</v>
      </c>
      <c r="O59" s="56">
        <f t="shared" si="2"/>
        <v>0</v>
      </c>
      <c r="P59" s="56">
        <f t="shared" si="3"/>
        <v>232.32740995520999</v>
      </c>
      <c r="Q59" s="56">
        <f>IF(H59=1,I59*VEHICLE!$C$69,IF(H59=2,VEHICLE!$C$70*I59,IF(H59=3,VEHICLE!$C$71*I59,0)))</f>
        <v>0</v>
      </c>
      <c r="R59" s="56">
        <f>(J59+K59+O59+Q59)</f>
        <v>232.32740995520999</v>
      </c>
      <c r="S59" s="56">
        <f t="shared" si="4"/>
        <v>232.32740995520999</v>
      </c>
      <c r="T59" s="56">
        <f>ABS((R59)/((2*PI()*G59)/60))</f>
        <v>0.31693762037236189</v>
      </c>
      <c r="U59" s="56">
        <f t="shared" si="5"/>
        <v>1</v>
      </c>
      <c r="V59" s="56">
        <f>INDEX(BSFC!$D$4:$AD$26,MATCH(U59,BSFC!$B$4:$B$26,0),MATCH(G59,BSFC!$D$2:$AD$2,0))</f>
        <v>920.25590927999997</v>
      </c>
      <c r="W59" s="56">
        <f t="shared" si="10"/>
        <v>5.9389075527499745E-2</v>
      </c>
      <c r="X59" s="56">
        <f t="shared" si="6"/>
        <v>5.9389075527499745E-2</v>
      </c>
      <c r="Y59" s="56">
        <f t="shared" si="7"/>
        <v>0.18351224337997421</v>
      </c>
      <c r="Z59" s="79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3">
      <c r="A60" s="55">
        <v>1</v>
      </c>
      <c r="B60" s="56" t="s">
        <v>102</v>
      </c>
      <c r="C60" s="56">
        <f t="shared" si="8"/>
        <v>57</v>
      </c>
      <c r="D60" s="56">
        <f t="shared" si="0"/>
        <v>29.998170000000002</v>
      </c>
      <c r="E60" s="94">
        <v>13.41</v>
      </c>
      <c r="F60" s="94">
        <f>($C$4/E60)+F59</f>
        <v>6.4612672376095084</v>
      </c>
      <c r="G60" s="56">
        <v>7000</v>
      </c>
      <c r="H60" s="56">
        <v>3</v>
      </c>
      <c r="I60" s="94">
        <f>E60-E59</f>
        <v>0</v>
      </c>
      <c r="J60" s="56">
        <f>(0.5*VEHICLE!$C$71*VEHICLE!$C$28*VEHICLE!$C$27*'Drive Cycle'!E60^2)</f>
        <v>159.97581505520998</v>
      </c>
      <c r="K60" s="56">
        <f>IF(A60=1,VEHICLE!$S$5,IF(A60=2,VEHICLE!$Q$5,IF(A60=3,VEHICLE!$R$5,IF(A60=4,VEHICLE!$P$5,1))))</f>
        <v>72.351594900000009</v>
      </c>
      <c r="L60" s="56">
        <v>0</v>
      </c>
      <c r="M60" s="56">
        <f t="shared" si="9"/>
        <v>0</v>
      </c>
      <c r="N60" s="56">
        <f t="shared" si="1"/>
        <v>0</v>
      </c>
      <c r="O60" s="56">
        <f t="shared" si="2"/>
        <v>0</v>
      </c>
      <c r="P60" s="56">
        <f t="shared" si="3"/>
        <v>232.32740995520999</v>
      </c>
      <c r="Q60" s="56">
        <f>IF(H60=1,I60*VEHICLE!$C$69,IF(H60=2,VEHICLE!$C$70*I60,IF(H60=3,VEHICLE!$C$71*I60,0)))</f>
        <v>0</v>
      </c>
      <c r="R60" s="56">
        <f>(J60+K60+O60+Q60)</f>
        <v>232.32740995520999</v>
      </c>
      <c r="S60" s="56">
        <f t="shared" si="4"/>
        <v>232.32740995520999</v>
      </c>
      <c r="T60" s="56">
        <f>ABS((R60)/((2*PI()*G60)/60))</f>
        <v>0.31693762037236189</v>
      </c>
      <c r="U60" s="56">
        <f t="shared" si="5"/>
        <v>1</v>
      </c>
      <c r="V60" s="56">
        <f>INDEX(BSFC!$D$4:$AD$26,MATCH(U60,BSFC!$B$4:$B$26,0),MATCH(G60,BSFC!$D$2:$AD$2,0))</f>
        <v>920.25590927999997</v>
      </c>
      <c r="W60" s="56">
        <f t="shared" si="10"/>
        <v>5.9389075527499745E-2</v>
      </c>
      <c r="X60" s="56">
        <f t="shared" si="6"/>
        <v>5.9389075527499745E-2</v>
      </c>
      <c r="Y60" s="56">
        <f t="shared" si="7"/>
        <v>0.18351224337997421</v>
      </c>
      <c r="Z60" s="79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3">
      <c r="A61" s="55">
        <v>1</v>
      </c>
      <c r="B61" s="56" t="s">
        <v>102</v>
      </c>
      <c r="C61" s="56">
        <f t="shared" si="8"/>
        <v>58</v>
      </c>
      <c r="D61" s="56">
        <f t="shared" si="0"/>
        <v>29.998170000000002</v>
      </c>
      <c r="E61" s="94">
        <v>13.41</v>
      </c>
      <c r="F61" s="94">
        <f>($C$4/E61)+F60</f>
        <v>6.5358384531203209</v>
      </c>
      <c r="G61" s="56">
        <v>7000</v>
      </c>
      <c r="H61" s="56">
        <v>3</v>
      </c>
      <c r="I61" s="94">
        <f>E61-E60</f>
        <v>0</v>
      </c>
      <c r="J61" s="56">
        <f>(0.5*VEHICLE!$C$71*VEHICLE!$C$28*VEHICLE!$C$27*'Drive Cycle'!E61^2)</f>
        <v>159.97581505520998</v>
      </c>
      <c r="K61" s="56">
        <f>IF(A61=1,VEHICLE!$S$5,IF(A61=2,VEHICLE!$Q$5,IF(A61=3,VEHICLE!$R$5,IF(A61=4,VEHICLE!$P$5,1))))</f>
        <v>72.351594900000009</v>
      </c>
      <c r="L61" s="56">
        <v>0</v>
      </c>
      <c r="M61" s="56">
        <f t="shared" si="9"/>
        <v>0</v>
      </c>
      <c r="N61" s="56">
        <f t="shared" si="1"/>
        <v>0</v>
      </c>
      <c r="O61" s="56">
        <f t="shared" si="2"/>
        <v>0</v>
      </c>
      <c r="P61" s="56">
        <f t="shared" si="3"/>
        <v>232.32740995520999</v>
      </c>
      <c r="Q61" s="56">
        <f>IF(H61=1,I61*VEHICLE!$C$69,IF(H61=2,VEHICLE!$C$70*I61,IF(H61=3,VEHICLE!$C$71*I61,0)))</f>
        <v>0</v>
      </c>
      <c r="R61" s="56">
        <f>(J61+K61+O61+Q61)</f>
        <v>232.32740995520999</v>
      </c>
      <c r="S61" s="56">
        <f t="shared" si="4"/>
        <v>232.32740995520999</v>
      </c>
      <c r="T61" s="56">
        <f>ABS((R61)/((2*PI()*G61)/60))</f>
        <v>0.31693762037236189</v>
      </c>
      <c r="U61" s="56">
        <f t="shared" si="5"/>
        <v>1</v>
      </c>
      <c r="V61" s="56">
        <f>INDEX(BSFC!$D$4:$AD$26,MATCH(U61,BSFC!$B$4:$B$26,0),MATCH(G61,BSFC!$D$2:$AD$2,0))</f>
        <v>920.25590927999997</v>
      </c>
      <c r="W61" s="56">
        <f t="shared" si="10"/>
        <v>5.9389075527499745E-2</v>
      </c>
      <c r="X61" s="56">
        <f t="shared" si="6"/>
        <v>5.9389075527499745E-2</v>
      </c>
      <c r="Y61" s="56">
        <f t="shared" si="7"/>
        <v>0.18351224337997421</v>
      </c>
      <c r="Z61" s="79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3">
      <c r="A62" s="55">
        <v>1</v>
      </c>
      <c r="B62" s="56" t="s">
        <v>102</v>
      </c>
      <c r="C62" s="56">
        <f t="shared" si="8"/>
        <v>59</v>
      </c>
      <c r="D62" s="56">
        <f t="shared" si="0"/>
        <v>29.998170000000002</v>
      </c>
      <c r="E62" s="94">
        <v>13.41</v>
      </c>
      <c r="F62" s="94">
        <f>($C$4/E62)+F61</f>
        <v>6.6104096686311333</v>
      </c>
      <c r="G62" s="56">
        <v>7000</v>
      </c>
      <c r="H62" s="56">
        <v>3</v>
      </c>
      <c r="I62" s="94">
        <f>E62-E61</f>
        <v>0</v>
      </c>
      <c r="J62" s="56">
        <f>(0.5*VEHICLE!$C$71*VEHICLE!$C$28*VEHICLE!$C$27*'Drive Cycle'!E62^2)</f>
        <v>159.97581505520998</v>
      </c>
      <c r="K62" s="56">
        <f>IF(A62=1,VEHICLE!$S$5,IF(A62=2,VEHICLE!$Q$5,IF(A62=3,VEHICLE!$R$5,IF(A62=4,VEHICLE!$P$5,1))))</f>
        <v>72.351594900000009</v>
      </c>
      <c r="L62" s="56">
        <v>0</v>
      </c>
      <c r="M62" s="56">
        <f t="shared" si="9"/>
        <v>0</v>
      </c>
      <c r="N62" s="56">
        <f t="shared" si="1"/>
        <v>0</v>
      </c>
      <c r="O62" s="56">
        <f t="shared" si="2"/>
        <v>0</v>
      </c>
      <c r="P62" s="56">
        <f t="shared" si="3"/>
        <v>232.32740995520999</v>
      </c>
      <c r="Q62" s="56">
        <f>IF(H62=1,I62*VEHICLE!$C$69,IF(H62=2,VEHICLE!$C$70*I62,IF(H62=3,VEHICLE!$C$71*I62,0)))</f>
        <v>0</v>
      </c>
      <c r="R62" s="56">
        <f>(J62+K62+O62+Q62)</f>
        <v>232.32740995520999</v>
      </c>
      <c r="S62" s="56">
        <f t="shared" si="4"/>
        <v>232.32740995520999</v>
      </c>
      <c r="T62" s="56">
        <f>ABS((R62)/((2*PI()*G62)/60))</f>
        <v>0.31693762037236189</v>
      </c>
      <c r="U62" s="56">
        <f t="shared" si="5"/>
        <v>1</v>
      </c>
      <c r="V62" s="56">
        <f>INDEX(BSFC!$D$4:$AD$26,MATCH(U62,BSFC!$B$4:$B$26,0),MATCH(G62,BSFC!$D$2:$AD$2,0))</f>
        <v>920.25590927999997</v>
      </c>
      <c r="W62" s="56">
        <f t="shared" si="10"/>
        <v>5.9389075527499745E-2</v>
      </c>
      <c r="X62" s="56">
        <f t="shared" si="6"/>
        <v>5.9389075527499745E-2</v>
      </c>
      <c r="Y62" s="56">
        <f t="shared" si="7"/>
        <v>0.18351224337997421</v>
      </c>
      <c r="Z62" s="79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3">
      <c r="A63" s="55">
        <v>1</v>
      </c>
      <c r="B63" s="56" t="s">
        <v>102</v>
      </c>
      <c r="C63" s="56">
        <f t="shared" si="8"/>
        <v>60</v>
      </c>
      <c r="D63" s="56">
        <f t="shared" si="0"/>
        <v>29.998170000000002</v>
      </c>
      <c r="E63" s="94">
        <v>13.41</v>
      </c>
      <c r="F63" s="94">
        <f>($C$4/E63)+F62</f>
        <v>6.6849808841419458</v>
      </c>
      <c r="G63" s="56">
        <v>7000</v>
      </c>
      <c r="H63" s="56">
        <v>3</v>
      </c>
      <c r="I63" s="94">
        <f>E63-E62</f>
        <v>0</v>
      </c>
      <c r="J63" s="56">
        <f>(0.5*VEHICLE!$C$71*VEHICLE!$C$28*VEHICLE!$C$27*'Drive Cycle'!E63^2)</f>
        <v>159.97581505520998</v>
      </c>
      <c r="K63" s="56">
        <f>IF(A63=1,VEHICLE!$S$5,IF(A63=2,VEHICLE!$Q$5,IF(A63=3,VEHICLE!$R$5,IF(A63=4,VEHICLE!$P$5,1))))</f>
        <v>72.351594900000009</v>
      </c>
      <c r="L63" s="56">
        <v>0</v>
      </c>
      <c r="M63" s="56">
        <f t="shared" si="9"/>
        <v>0</v>
      </c>
      <c r="N63" s="56">
        <f t="shared" si="1"/>
        <v>0</v>
      </c>
      <c r="O63" s="56">
        <f t="shared" si="2"/>
        <v>0</v>
      </c>
      <c r="P63" s="56">
        <f t="shared" si="3"/>
        <v>232.32740995520999</v>
      </c>
      <c r="Q63" s="56">
        <f>IF(H63=1,I63*VEHICLE!$C$69,IF(H63=2,VEHICLE!$C$70*I63,IF(H63=3,VEHICLE!$C$71*I63,0)))</f>
        <v>0</v>
      </c>
      <c r="R63" s="56">
        <f>(J63+K63+O63+Q63)</f>
        <v>232.32740995520999</v>
      </c>
      <c r="S63" s="56">
        <f t="shared" si="4"/>
        <v>232.32740995520999</v>
      </c>
      <c r="T63" s="56">
        <f>ABS((R63)/((2*PI()*G63)/60))</f>
        <v>0.31693762037236189</v>
      </c>
      <c r="U63" s="56">
        <f t="shared" si="5"/>
        <v>1</v>
      </c>
      <c r="V63" s="56">
        <f>INDEX(BSFC!$D$4:$AD$26,MATCH(U63,BSFC!$B$4:$B$26,0),MATCH(G63,BSFC!$D$2:$AD$2,0))</f>
        <v>920.25590927999997</v>
      </c>
      <c r="W63" s="56">
        <f t="shared" si="10"/>
        <v>5.9389075527499745E-2</v>
      </c>
      <c r="X63" s="56">
        <f t="shared" si="6"/>
        <v>5.9389075527499745E-2</v>
      </c>
      <c r="Y63" s="56">
        <f t="shared" si="7"/>
        <v>0.18351224337997421</v>
      </c>
      <c r="Z63" s="79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3">
      <c r="A64" s="55">
        <v>1</v>
      </c>
      <c r="B64" s="56" t="s">
        <v>102</v>
      </c>
      <c r="C64" s="56">
        <f t="shared" si="8"/>
        <v>61</v>
      </c>
      <c r="D64" s="56">
        <f t="shared" si="0"/>
        <v>29.998170000000002</v>
      </c>
      <c r="E64" s="94">
        <v>13.41</v>
      </c>
      <c r="F64" s="94">
        <f>($C$4/E64)+F63</f>
        <v>6.7595520996527583</v>
      </c>
      <c r="G64" s="56">
        <v>7000</v>
      </c>
      <c r="H64" s="56">
        <v>3</v>
      </c>
      <c r="I64" s="94">
        <f>E64-E63</f>
        <v>0</v>
      </c>
      <c r="J64" s="56">
        <f>(0.5*VEHICLE!$C$71*VEHICLE!$C$28*VEHICLE!$C$27*'Drive Cycle'!E64^2)</f>
        <v>159.97581505520998</v>
      </c>
      <c r="K64" s="56">
        <f>IF(A64=1,VEHICLE!$S$5,IF(A64=2,VEHICLE!$Q$5,IF(A64=3,VEHICLE!$R$5,IF(A64=4,VEHICLE!$P$5,1))))</f>
        <v>72.351594900000009</v>
      </c>
      <c r="L64" s="56">
        <v>0</v>
      </c>
      <c r="M64" s="56">
        <f t="shared" si="9"/>
        <v>0</v>
      </c>
      <c r="N64" s="56">
        <f t="shared" si="1"/>
        <v>0</v>
      </c>
      <c r="O64" s="56">
        <f t="shared" si="2"/>
        <v>0</v>
      </c>
      <c r="P64" s="56">
        <f t="shared" si="3"/>
        <v>232.32740995520999</v>
      </c>
      <c r="Q64" s="56">
        <f>IF(H64=1,I64*VEHICLE!$C$69,IF(H64=2,VEHICLE!$C$70*I64,IF(H64=3,VEHICLE!$C$71*I64,0)))</f>
        <v>0</v>
      </c>
      <c r="R64" s="56">
        <f>(J64+K64+O64+Q64)</f>
        <v>232.32740995520999</v>
      </c>
      <c r="S64" s="56">
        <f t="shared" si="4"/>
        <v>232.32740995520999</v>
      </c>
      <c r="T64" s="56">
        <f>ABS((R64)/((2*PI()*G64)/60))</f>
        <v>0.31693762037236189</v>
      </c>
      <c r="U64" s="56">
        <f t="shared" si="5"/>
        <v>1</v>
      </c>
      <c r="V64" s="56">
        <f>INDEX(BSFC!$D$4:$AD$26,MATCH(U64,BSFC!$B$4:$B$26,0),MATCH(G64,BSFC!$D$2:$AD$2,0))</f>
        <v>920.25590927999997</v>
      </c>
      <c r="W64" s="56">
        <f t="shared" si="10"/>
        <v>5.9389075527499745E-2</v>
      </c>
      <c r="X64" s="56">
        <f t="shared" si="6"/>
        <v>5.9389075527499745E-2</v>
      </c>
      <c r="Y64" s="56">
        <f t="shared" si="7"/>
        <v>0.18351224337997421</v>
      </c>
      <c r="Z64" s="79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x14ac:dyDescent="0.3">
      <c r="A65" s="55">
        <v>1</v>
      </c>
      <c r="B65" s="56" t="s">
        <v>102</v>
      </c>
      <c r="C65" s="56">
        <f t="shared" si="8"/>
        <v>62</v>
      </c>
      <c r="D65" s="56">
        <f t="shared" si="0"/>
        <v>29.998170000000002</v>
      </c>
      <c r="E65" s="94">
        <v>13.41</v>
      </c>
      <c r="F65" s="94">
        <f>($C$4/E65)+F64</f>
        <v>6.8341233151635707</v>
      </c>
      <c r="G65" s="56">
        <v>7000</v>
      </c>
      <c r="H65" s="56">
        <v>3</v>
      </c>
      <c r="I65" s="94">
        <f>E65-E64</f>
        <v>0</v>
      </c>
      <c r="J65" s="56">
        <f>(0.5*VEHICLE!$C$71*VEHICLE!$C$28*VEHICLE!$C$27*'Drive Cycle'!E65^2)</f>
        <v>159.97581505520998</v>
      </c>
      <c r="K65" s="56">
        <f>IF(A65=1,VEHICLE!$S$5,IF(A65=2,VEHICLE!$Q$5,IF(A65=3,VEHICLE!$R$5,IF(A65=4,VEHICLE!$P$5,1))))</f>
        <v>72.351594900000009</v>
      </c>
      <c r="L65" s="56">
        <v>0</v>
      </c>
      <c r="M65" s="56">
        <f t="shared" si="9"/>
        <v>0</v>
      </c>
      <c r="N65" s="56">
        <f t="shared" si="1"/>
        <v>0</v>
      </c>
      <c r="O65" s="56">
        <f t="shared" si="2"/>
        <v>0</v>
      </c>
      <c r="P65" s="56">
        <f t="shared" si="3"/>
        <v>232.32740995520999</v>
      </c>
      <c r="Q65" s="56">
        <f>IF(H65=1,I65*VEHICLE!$C$69,IF(H65=2,VEHICLE!$C$70*I65,IF(H65=3,VEHICLE!$C$71*I65,0)))</f>
        <v>0</v>
      </c>
      <c r="R65" s="56">
        <f>(J65+K65+O65+Q65)</f>
        <v>232.32740995520999</v>
      </c>
      <c r="S65" s="56">
        <f t="shared" si="4"/>
        <v>232.32740995520999</v>
      </c>
      <c r="T65" s="56">
        <f>ABS((R65)/((2*PI()*G65)/60))</f>
        <v>0.31693762037236189</v>
      </c>
      <c r="U65" s="56">
        <f t="shared" si="5"/>
        <v>1</v>
      </c>
      <c r="V65" s="56">
        <f>INDEX(BSFC!$D$4:$AD$26,MATCH(U65,BSFC!$B$4:$B$26,0),MATCH(G65,BSFC!$D$2:$AD$2,0))</f>
        <v>920.25590927999997</v>
      </c>
      <c r="W65" s="56">
        <f t="shared" si="10"/>
        <v>5.9389075527499745E-2</v>
      </c>
      <c r="X65" s="56">
        <f t="shared" si="6"/>
        <v>5.9389075527499745E-2</v>
      </c>
      <c r="Y65" s="56">
        <f t="shared" si="7"/>
        <v>0.18351224337997421</v>
      </c>
      <c r="Z65" s="79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x14ac:dyDescent="0.3">
      <c r="A66" s="55">
        <v>1</v>
      </c>
      <c r="B66" s="56" t="s">
        <v>102</v>
      </c>
      <c r="C66" s="56">
        <f t="shared" si="8"/>
        <v>63</v>
      </c>
      <c r="D66" s="56">
        <f t="shared" si="0"/>
        <v>29.998170000000002</v>
      </c>
      <c r="E66" s="94">
        <v>13.41</v>
      </c>
      <c r="F66" s="94">
        <f>($C$4/E66)+F65</f>
        <v>6.9086945306743832</v>
      </c>
      <c r="G66" s="56">
        <v>7000</v>
      </c>
      <c r="H66" s="56">
        <v>3</v>
      </c>
      <c r="I66" s="94">
        <f>E66-E65</f>
        <v>0</v>
      </c>
      <c r="J66" s="56">
        <f>(0.5*VEHICLE!$C$71*VEHICLE!$C$28*VEHICLE!$C$27*'Drive Cycle'!E66^2)</f>
        <v>159.97581505520998</v>
      </c>
      <c r="K66" s="56">
        <f>IF(A66=1,VEHICLE!$S$5,IF(A66=2,VEHICLE!$Q$5,IF(A66=3,VEHICLE!$R$5,IF(A66=4,VEHICLE!$P$5,1))))</f>
        <v>72.351594900000009</v>
      </c>
      <c r="L66" s="56">
        <v>0</v>
      </c>
      <c r="M66" s="56">
        <f t="shared" si="9"/>
        <v>0</v>
      </c>
      <c r="N66" s="56">
        <f t="shared" si="1"/>
        <v>0</v>
      </c>
      <c r="O66" s="56">
        <f t="shared" si="2"/>
        <v>0</v>
      </c>
      <c r="P66" s="56">
        <f t="shared" si="3"/>
        <v>232.32740995520999</v>
      </c>
      <c r="Q66" s="56">
        <f>IF(H66=1,I66*VEHICLE!$C$69,IF(H66=2,VEHICLE!$C$70*I66,IF(H66=3,VEHICLE!$C$71*I66,0)))</f>
        <v>0</v>
      </c>
      <c r="R66" s="56">
        <f>(J66+K66+O66+Q66)</f>
        <v>232.32740995520999</v>
      </c>
      <c r="S66" s="56">
        <f t="shared" si="4"/>
        <v>232.32740995520999</v>
      </c>
      <c r="T66" s="56">
        <f>ABS((R66)/((2*PI()*G66)/60))</f>
        <v>0.31693762037236189</v>
      </c>
      <c r="U66" s="56">
        <f t="shared" si="5"/>
        <v>1</v>
      </c>
      <c r="V66" s="56">
        <f>INDEX(BSFC!$D$4:$AD$26,MATCH(U66,BSFC!$B$4:$B$26,0),MATCH(G66,BSFC!$D$2:$AD$2,0))</f>
        <v>920.25590927999997</v>
      </c>
      <c r="W66" s="56">
        <f t="shared" si="10"/>
        <v>5.9389075527499745E-2</v>
      </c>
      <c r="X66" s="56">
        <f t="shared" si="6"/>
        <v>5.9389075527499745E-2</v>
      </c>
      <c r="Y66" s="56">
        <f t="shared" si="7"/>
        <v>0.18351224337997421</v>
      </c>
      <c r="Z66" s="79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x14ac:dyDescent="0.3">
      <c r="A67" s="55">
        <v>1</v>
      </c>
      <c r="B67" s="56" t="s">
        <v>102</v>
      </c>
      <c r="C67" s="56">
        <f t="shared" si="8"/>
        <v>64</v>
      </c>
      <c r="D67" s="56">
        <f t="shared" si="0"/>
        <v>29.998170000000002</v>
      </c>
      <c r="E67" s="94">
        <v>13.41</v>
      </c>
      <c r="F67" s="94">
        <f>($C$4/E67)+F66</f>
        <v>6.9832657461851957</v>
      </c>
      <c r="G67" s="56">
        <v>7000</v>
      </c>
      <c r="H67" s="56">
        <v>3</v>
      </c>
      <c r="I67" s="94">
        <f>E67-E66</f>
        <v>0</v>
      </c>
      <c r="J67" s="56">
        <f>(0.5*VEHICLE!$C$71*VEHICLE!$C$28*VEHICLE!$C$27*'Drive Cycle'!E67^2)</f>
        <v>159.97581505520998</v>
      </c>
      <c r="K67" s="56">
        <f>IF(A67=1,VEHICLE!$S$5,IF(A67=2,VEHICLE!$Q$5,IF(A67=3,VEHICLE!$R$5,IF(A67=4,VEHICLE!$P$5,1))))</f>
        <v>72.351594900000009</v>
      </c>
      <c r="L67" s="56">
        <v>0</v>
      </c>
      <c r="M67" s="56">
        <f t="shared" si="9"/>
        <v>0</v>
      </c>
      <c r="N67" s="56">
        <f t="shared" si="1"/>
        <v>0</v>
      </c>
      <c r="O67" s="56">
        <f t="shared" si="2"/>
        <v>0</v>
      </c>
      <c r="P67" s="56">
        <f t="shared" si="3"/>
        <v>232.32740995520999</v>
      </c>
      <c r="Q67" s="56">
        <f>IF(H67=1,I67*VEHICLE!$C$69,IF(H67=2,VEHICLE!$C$70*I67,IF(H67=3,VEHICLE!$C$71*I67,0)))</f>
        <v>0</v>
      </c>
      <c r="R67" s="56">
        <f>(J67+K67+O67+Q67)</f>
        <v>232.32740995520999</v>
      </c>
      <c r="S67" s="56">
        <f t="shared" si="4"/>
        <v>232.32740995520999</v>
      </c>
      <c r="T67" s="56">
        <f>ABS((R67)/((2*PI()*G67)/60))</f>
        <v>0.31693762037236189</v>
      </c>
      <c r="U67" s="56">
        <f t="shared" si="5"/>
        <v>1</v>
      </c>
      <c r="V67" s="56">
        <f>INDEX(BSFC!$D$4:$AD$26,MATCH(U67,BSFC!$B$4:$B$26,0),MATCH(G67,BSFC!$D$2:$AD$2,0))</f>
        <v>920.25590927999997</v>
      </c>
      <c r="W67" s="56">
        <f t="shared" si="10"/>
        <v>5.9389075527499745E-2</v>
      </c>
      <c r="X67" s="56">
        <f t="shared" si="6"/>
        <v>5.9389075527499745E-2</v>
      </c>
      <c r="Y67" s="56">
        <f t="shared" si="7"/>
        <v>0.18351224337997421</v>
      </c>
      <c r="Z67" s="79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x14ac:dyDescent="0.3">
      <c r="A68" s="55">
        <v>1</v>
      </c>
      <c r="B68" s="56" t="s">
        <v>102</v>
      </c>
      <c r="C68" s="56">
        <f t="shared" si="8"/>
        <v>65</v>
      </c>
      <c r="D68" s="56">
        <f t="shared" ref="D68:D131" si="12">E68*2.237</f>
        <v>29.998170000000002</v>
      </c>
      <c r="E68" s="94">
        <v>13.41</v>
      </c>
      <c r="F68" s="94">
        <f>($C$4/E68)+F67</f>
        <v>7.0578369616960082</v>
      </c>
      <c r="G68" s="56">
        <v>7000</v>
      </c>
      <c r="H68" s="56">
        <v>3</v>
      </c>
      <c r="I68" s="94">
        <f>E68-E67</f>
        <v>0</v>
      </c>
      <c r="J68" s="56">
        <f>(0.5*VEHICLE!$C$71*VEHICLE!$C$28*VEHICLE!$C$27*'Drive Cycle'!E68^2)</f>
        <v>159.97581505520998</v>
      </c>
      <c r="K68" s="56">
        <f>IF(A68=1,VEHICLE!$S$5,IF(A68=2,VEHICLE!$Q$5,IF(A68=3,VEHICLE!$R$5,IF(A68=4,VEHICLE!$P$5,1))))</f>
        <v>72.351594900000009</v>
      </c>
      <c r="L68" s="56">
        <v>0</v>
      </c>
      <c r="M68" s="56">
        <f t="shared" si="9"/>
        <v>0</v>
      </c>
      <c r="N68" s="56">
        <f t="shared" ref="N68:N131" si="13">DEGREES(ATAN(M68/$C$4))</f>
        <v>0</v>
      </c>
      <c r="O68" s="56">
        <f t="shared" ref="O68:O131" si="14">9.81*SIN(RADIANS(N68))*($C$47)</f>
        <v>0</v>
      </c>
      <c r="P68" s="56">
        <f t="shared" ref="P68:P131" si="15">J68+K68+O68</f>
        <v>232.32740995520999</v>
      </c>
      <c r="Q68" s="56">
        <f>IF(H68=1,I68*VEHICLE!$C$69,IF(H68=2,VEHICLE!$C$70*I68,IF(H68=3,VEHICLE!$C$71*I68,0)))</f>
        <v>0</v>
      </c>
      <c r="R68" s="56">
        <f>(J68+K68+O68+Q68)</f>
        <v>232.32740995520999</v>
      </c>
      <c r="S68" s="56">
        <f t="shared" ref="S68:S131" si="16">ABS(R68)</f>
        <v>232.32740995520999</v>
      </c>
      <c r="T68" s="56">
        <f>ABS((R68)/((2*PI()*G68)/60))</f>
        <v>0.31693762037236189</v>
      </c>
      <c r="U68" s="56">
        <f t="shared" ref="U68:U131" si="17">ROUNDUP(T68,0)</f>
        <v>1</v>
      </c>
      <c r="V68" s="56">
        <f>INDEX(BSFC!$D$4:$AD$26,MATCH(U68,BSFC!$B$4:$B$26,0),MATCH(G68,BSFC!$D$2:$AD$2,0))</f>
        <v>920.25590927999997</v>
      </c>
      <c r="W68" s="56">
        <f t="shared" si="10"/>
        <v>5.9389075527499745E-2</v>
      </c>
      <c r="X68" s="56">
        <f t="shared" ref="X68:X131" si="18">ABS(W68)</f>
        <v>5.9389075527499745E-2</v>
      </c>
      <c r="Y68" s="56">
        <f t="shared" ref="Y68:Y131" si="19">W68*3.09</f>
        <v>0.18351224337997421</v>
      </c>
      <c r="Z68" s="79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x14ac:dyDescent="0.3">
      <c r="A69" s="55">
        <v>1</v>
      </c>
      <c r="B69" s="56" t="s">
        <v>102</v>
      </c>
      <c r="C69" s="56">
        <f t="shared" ref="C69:C132" si="20">C68+1</f>
        <v>66</v>
      </c>
      <c r="D69" s="56">
        <f t="shared" si="12"/>
        <v>29.998170000000002</v>
      </c>
      <c r="E69" s="94">
        <v>13.41</v>
      </c>
      <c r="F69" s="94">
        <f>($C$4/E69)+F68</f>
        <v>7.1324081772068206</v>
      </c>
      <c r="G69" s="56">
        <v>7000</v>
      </c>
      <c r="H69" s="56">
        <v>3</v>
      </c>
      <c r="I69" s="94">
        <f>E69-E68</f>
        <v>0</v>
      </c>
      <c r="J69" s="56">
        <f>(0.5*VEHICLE!$C$71*VEHICLE!$C$28*VEHICLE!$C$27*'Drive Cycle'!E69^2)</f>
        <v>159.97581505520998</v>
      </c>
      <c r="K69" s="56">
        <f>IF(A69=1,VEHICLE!$S$5,IF(A69=2,VEHICLE!$Q$5,IF(A69=3,VEHICLE!$R$5,IF(A69=4,VEHICLE!$P$5,1))))</f>
        <v>72.351594900000009</v>
      </c>
      <c r="L69" s="56">
        <v>0</v>
      </c>
      <c r="M69" s="56">
        <f t="shared" ref="M69:M132" si="21">L69-L68</f>
        <v>0</v>
      </c>
      <c r="N69" s="56">
        <f t="shared" si="13"/>
        <v>0</v>
      </c>
      <c r="O69" s="56">
        <f t="shared" si="14"/>
        <v>0</v>
      </c>
      <c r="P69" s="56">
        <f t="shared" si="15"/>
        <v>232.32740995520999</v>
      </c>
      <c r="Q69" s="56">
        <f>IF(H69=1,I69*VEHICLE!$C$69,IF(H69=2,VEHICLE!$C$70*I69,IF(H69=3,VEHICLE!$C$71*I69,0)))</f>
        <v>0</v>
      </c>
      <c r="R69" s="56">
        <f>(J69+K69+O69+Q69)</f>
        <v>232.32740995520999</v>
      </c>
      <c r="S69" s="56">
        <f t="shared" si="16"/>
        <v>232.32740995520999</v>
      </c>
      <c r="T69" s="56">
        <f>ABS((R69)/((2*PI()*G69)/60))</f>
        <v>0.31693762037236189</v>
      </c>
      <c r="U69" s="56">
        <f t="shared" si="17"/>
        <v>1</v>
      </c>
      <c r="V69" s="56">
        <f>INDEX(BSFC!$D$4:$AD$26,MATCH(U69,BSFC!$B$4:$B$26,0),MATCH(G69,BSFC!$D$2:$AD$2,0))</f>
        <v>920.25590927999997</v>
      </c>
      <c r="W69" s="56">
        <f t="shared" ref="W69:W132" si="22">(R69*V69/3600)/1000</f>
        <v>5.9389075527499745E-2</v>
      </c>
      <c r="X69" s="56">
        <f t="shared" si="18"/>
        <v>5.9389075527499745E-2</v>
      </c>
      <c r="Y69" s="56">
        <f t="shared" si="19"/>
        <v>0.18351224337997421</v>
      </c>
      <c r="Z69" s="79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x14ac:dyDescent="0.3">
      <c r="A70" s="55">
        <v>1</v>
      </c>
      <c r="B70" s="56" t="s">
        <v>102</v>
      </c>
      <c r="C70" s="56">
        <f t="shared" si="20"/>
        <v>67</v>
      </c>
      <c r="D70" s="56">
        <f t="shared" si="12"/>
        <v>29.998170000000002</v>
      </c>
      <c r="E70" s="94">
        <v>13.41</v>
      </c>
      <c r="F70" s="94">
        <f>($C$4/E70)+F69</f>
        <v>7.2069793927176331</v>
      </c>
      <c r="G70" s="56">
        <v>7000</v>
      </c>
      <c r="H70" s="56">
        <v>3</v>
      </c>
      <c r="I70" s="94">
        <f>E70-E69</f>
        <v>0</v>
      </c>
      <c r="J70" s="56">
        <f>(0.5*VEHICLE!$C$71*VEHICLE!$C$28*VEHICLE!$C$27*'Drive Cycle'!E70^2)</f>
        <v>159.97581505520998</v>
      </c>
      <c r="K70" s="56">
        <f>IF(A70=1,VEHICLE!$S$5,IF(A70=2,VEHICLE!$Q$5,IF(A70=3,VEHICLE!$R$5,IF(A70=4,VEHICLE!$P$5,1))))</f>
        <v>72.351594900000009</v>
      </c>
      <c r="L70" s="56">
        <v>0</v>
      </c>
      <c r="M70" s="56">
        <f t="shared" si="21"/>
        <v>0</v>
      </c>
      <c r="N70" s="56">
        <f t="shared" si="13"/>
        <v>0</v>
      </c>
      <c r="O70" s="56">
        <f t="shared" si="14"/>
        <v>0</v>
      </c>
      <c r="P70" s="56">
        <f t="shared" si="15"/>
        <v>232.32740995520999</v>
      </c>
      <c r="Q70" s="56">
        <f>IF(H70=1,I70*VEHICLE!$C$69,IF(H70=2,VEHICLE!$C$70*I70,IF(H70=3,VEHICLE!$C$71*I70,0)))</f>
        <v>0</v>
      </c>
      <c r="R70" s="56">
        <f>(J70+K70+O70+Q70)</f>
        <v>232.32740995520999</v>
      </c>
      <c r="S70" s="56">
        <f t="shared" si="16"/>
        <v>232.32740995520999</v>
      </c>
      <c r="T70" s="56">
        <f>ABS((R70)/((2*PI()*G70)/60))</f>
        <v>0.31693762037236189</v>
      </c>
      <c r="U70" s="56">
        <f t="shared" si="17"/>
        <v>1</v>
      </c>
      <c r="V70" s="56">
        <f>INDEX(BSFC!$D$4:$AD$26,MATCH(U70,BSFC!$B$4:$B$26,0),MATCH(G70,BSFC!$D$2:$AD$2,0))</f>
        <v>920.25590927999997</v>
      </c>
      <c r="W70" s="56">
        <f t="shared" si="22"/>
        <v>5.9389075527499745E-2</v>
      </c>
      <c r="X70" s="56">
        <f t="shared" si="18"/>
        <v>5.9389075527499745E-2</v>
      </c>
      <c r="Y70" s="56">
        <f t="shared" si="19"/>
        <v>0.18351224337997421</v>
      </c>
      <c r="Z70" s="79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x14ac:dyDescent="0.3">
      <c r="A71" s="55">
        <v>1</v>
      </c>
      <c r="B71" s="56" t="s">
        <v>102</v>
      </c>
      <c r="C71" s="56">
        <f t="shared" si="20"/>
        <v>68</v>
      </c>
      <c r="D71" s="56">
        <f t="shared" si="12"/>
        <v>29.998170000000002</v>
      </c>
      <c r="E71" s="94">
        <v>13.41</v>
      </c>
      <c r="F71" s="94">
        <f>($C$4/E71)+F70</f>
        <v>7.2815506082284456</v>
      </c>
      <c r="G71" s="56">
        <v>7000</v>
      </c>
      <c r="H71" s="56">
        <v>3</v>
      </c>
      <c r="I71" s="94">
        <f>E71-E70</f>
        <v>0</v>
      </c>
      <c r="J71" s="56">
        <f>(0.5*VEHICLE!$C$71*VEHICLE!$C$28*VEHICLE!$C$27*'Drive Cycle'!E71^2)</f>
        <v>159.97581505520998</v>
      </c>
      <c r="K71" s="56">
        <f>IF(A71=1,VEHICLE!$S$5,IF(A71=2,VEHICLE!$Q$5,IF(A71=3,VEHICLE!$R$5,IF(A71=4,VEHICLE!$P$5,1))))</f>
        <v>72.351594900000009</v>
      </c>
      <c r="L71" s="56">
        <v>0</v>
      </c>
      <c r="M71" s="56">
        <f t="shared" si="21"/>
        <v>0</v>
      </c>
      <c r="N71" s="56">
        <f t="shared" si="13"/>
        <v>0</v>
      </c>
      <c r="O71" s="56">
        <f t="shared" si="14"/>
        <v>0</v>
      </c>
      <c r="P71" s="56">
        <f t="shared" si="15"/>
        <v>232.32740995520999</v>
      </c>
      <c r="Q71" s="56">
        <f>IF(H71=1,I71*VEHICLE!$C$69,IF(H71=2,VEHICLE!$C$70*I71,IF(H71=3,VEHICLE!$C$71*I71,0)))</f>
        <v>0</v>
      </c>
      <c r="R71" s="56">
        <f>(J71+K71+O71+Q71)</f>
        <v>232.32740995520999</v>
      </c>
      <c r="S71" s="56">
        <f t="shared" si="16"/>
        <v>232.32740995520999</v>
      </c>
      <c r="T71" s="56">
        <f>ABS((R71)/((2*PI()*G71)/60))</f>
        <v>0.31693762037236189</v>
      </c>
      <c r="U71" s="56">
        <f t="shared" si="17"/>
        <v>1</v>
      </c>
      <c r="V71" s="56">
        <f>INDEX(BSFC!$D$4:$AD$26,MATCH(U71,BSFC!$B$4:$B$26,0),MATCH(G71,BSFC!$D$2:$AD$2,0))</f>
        <v>920.25590927999997</v>
      </c>
      <c r="W71" s="56">
        <f t="shared" si="22"/>
        <v>5.9389075527499745E-2</v>
      </c>
      <c r="X71" s="56">
        <f t="shared" si="18"/>
        <v>5.9389075527499745E-2</v>
      </c>
      <c r="Y71" s="56">
        <f t="shared" si="19"/>
        <v>0.18351224337997421</v>
      </c>
      <c r="Z71" s="79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x14ac:dyDescent="0.3">
      <c r="A72" s="55">
        <v>1</v>
      </c>
      <c r="B72" s="56" t="s">
        <v>102</v>
      </c>
      <c r="C72" s="56">
        <f t="shared" si="20"/>
        <v>69</v>
      </c>
      <c r="D72" s="56">
        <f t="shared" si="12"/>
        <v>29.998170000000002</v>
      </c>
      <c r="E72" s="94">
        <v>13.41</v>
      </c>
      <c r="F72" s="94">
        <f>($C$4/E72)+F71</f>
        <v>7.356121823739258</v>
      </c>
      <c r="G72" s="56">
        <v>7000</v>
      </c>
      <c r="H72" s="56">
        <v>3</v>
      </c>
      <c r="I72" s="94">
        <f>E72-E71</f>
        <v>0</v>
      </c>
      <c r="J72" s="56">
        <f>(0.5*VEHICLE!$C$71*VEHICLE!$C$28*VEHICLE!$C$27*'Drive Cycle'!E72^2)</f>
        <v>159.97581505520998</v>
      </c>
      <c r="K72" s="56">
        <f>IF(A72=1,VEHICLE!$S$5,IF(A72=2,VEHICLE!$Q$5,IF(A72=3,VEHICLE!$R$5,IF(A72=4,VEHICLE!$P$5,1))))</f>
        <v>72.351594900000009</v>
      </c>
      <c r="L72" s="56">
        <v>0</v>
      </c>
      <c r="M72" s="56">
        <f t="shared" si="21"/>
        <v>0</v>
      </c>
      <c r="N72" s="56">
        <f t="shared" si="13"/>
        <v>0</v>
      </c>
      <c r="O72" s="56">
        <f t="shared" si="14"/>
        <v>0</v>
      </c>
      <c r="P72" s="56">
        <f t="shared" si="15"/>
        <v>232.32740995520999</v>
      </c>
      <c r="Q72" s="56">
        <f>IF(H72=1,I72*VEHICLE!$C$69,IF(H72=2,VEHICLE!$C$70*I72,IF(H72=3,VEHICLE!$C$71*I72,0)))</f>
        <v>0</v>
      </c>
      <c r="R72" s="56">
        <f>(J72+K72+O72+Q72)</f>
        <v>232.32740995520999</v>
      </c>
      <c r="S72" s="56">
        <f t="shared" si="16"/>
        <v>232.32740995520999</v>
      </c>
      <c r="T72" s="56">
        <f>ABS((R72)/((2*PI()*G72)/60))</f>
        <v>0.31693762037236189</v>
      </c>
      <c r="U72" s="56">
        <f t="shared" si="17"/>
        <v>1</v>
      </c>
      <c r="V72" s="56">
        <f>INDEX(BSFC!$D$4:$AD$26,MATCH(U72,BSFC!$B$4:$B$26,0),MATCH(G72,BSFC!$D$2:$AD$2,0))</f>
        <v>920.25590927999997</v>
      </c>
      <c r="W72" s="56">
        <f t="shared" si="22"/>
        <v>5.9389075527499745E-2</v>
      </c>
      <c r="X72" s="56">
        <f t="shared" si="18"/>
        <v>5.9389075527499745E-2</v>
      </c>
      <c r="Y72" s="56">
        <f t="shared" si="19"/>
        <v>0.18351224337997421</v>
      </c>
      <c r="Z72" s="79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x14ac:dyDescent="0.3">
      <c r="A73" s="55">
        <v>1</v>
      </c>
      <c r="B73" s="56" t="s">
        <v>102</v>
      </c>
      <c r="C73" s="56">
        <f t="shared" si="20"/>
        <v>70</v>
      </c>
      <c r="D73" s="56">
        <f t="shared" si="12"/>
        <v>29.998170000000002</v>
      </c>
      <c r="E73" s="94">
        <v>13.41</v>
      </c>
      <c r="F73" s="94">
        <f>($C$4/E73)+F72</f>
        <v>7.4306930392500705</v>
      </c>
      <c r="G73" s="56">
        <v>7000</v>
      </c>
      <c r="H73" s="56">
        <v>3</v>
      </c>
      <c r="I73" s="94">
        <f>E73-E72</f>
        <v>0</v>
      </c>
      <c r="J73" s="56">
        <f>(0.5*VEHICLE!$C$71*VEHICLE!$C$28*VEHICLE!$C$27*'Drive Cycle'!E73^2)</f>
        <v>159.97581505520998</v>
      </c>
      <c r="K73" s="56">
        <f>IF(A73=1,VEHICLE!$S$5,IF(A73=2,VEHICLE!$Q$5,IF(A73=3,VEHICLE!$R$5,IF(A73=4,VEHICLE!$P$5,1))))</f>
        <v>72.351594900000009</v>
      </c>
      <c r="L73" s="56">
        <v>0</v>
      </c>
      <c r="M73" s="56">
        <f t="shared" si="21"/>
        <v>0</v>
      </c>
      <c r="N73" s="56">
        <f t="shared" si="13"/>
        <v>0</v>
      </c>
      <c r="O73" s="56">
        <f t="shared" si="14"/>
        <v>0</v>
      </c>
      <c r="P73" s="56">
        <f t="shared" si="15"/>
        <v>232.32740995520999</v>
      </c>
      <c r="Q73" s="56">
        <f>IF(H73=1,I73*VEHICLE!$C$69,IF(H73=2,VEHICLE!$C$70*I73,IF(H73=3,VEHICLE!$C$71*I73,0)))</f>
        <v>0</v>
      </c>
      <c r="R73" s="56">
        <f>(J73+K73+O73+Q73)</f>
        <v>232.32740995520999</v>
      </c>
      <c r="S73" s="56">
        <f t="shared" si="16"/>
        <v>232.32740995520999</v>
      </c>
      <c r="T73" s="56">
        <f>ABS((R73)/((2*PI()*G73)/60))</f>
        <v>0.31693762037236189</v>
      </c>
      <c r="U73" s="56">
        <f t="shared" si="17"/>
        <v>1</v>
      </c>
      <c r="V73" s="56">
        <f>INDEX(BSFC!$D$4:$AD$26,MATCH(U73,BSFC!$B$4:$B$26,0),MATCH(G73,BSFC!$D$2:$AD$2,0))</f>
        <v>920.25590927999997</v>
      </c>
      <c r="W73" s="56">
        <f t="shared" si="22"/>
        <v>5.9389075527499745E-2</v>
      </c>
      <c r="X73" s="56">
        <f t="shared" si="18"/>
        <v>5.9389075527499745E-2</v>
      </c>
      <c r="Y73" s="56">
        <f t="shared" si="19"/>
        <v>0.18351224337997421</v>
      </c>
      <c r="Z73" s="79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x14ac:dyDescent="0.3">
      <c r="A74" s="55">
        <v>1</v>
      </c>
      <c r="B74" s="56" t="s">
        <v>102</v>
      </c>
      <c r="C74" s="56">
        <f t="shared" si="20"/>
        <v>71</v>
      </c>
      <c r="D74" s="56">
        <f t="shared" si="12"/>
        <v>29.998170000000002</v>
      </c>
      <c r="E74" s="94">
        <v>13.41</v>
      </c>
      <c r="F74" s="94">
        <f>($C$4/E74)+F73</f>
        <v>7.505264254760883</v>
      </c>
      <c r="G74" s="56">
        <v>7000</v>
      </c>
      <c r="H74" s="56">
        <v>3</v>
      </c>
      <c r="I74" s="94">
        <f>E74-E73</f>
        <v>0</v>
      </c>
      <c r="J74" s="56">
        <f>(0.5*VEHICLE!$C$71*VEHICLE!$C$28*VEHICLE!$C$27*'Drive Cycle'!E74^2)</f>
        <v>159.97581505520998</v>
      </c>
      <c r="K74" s="56">
        <f>IF(A74=1,VEHICLE!$S$5,IF(A74=2,VEHICLE!$Q$5,IF(A74=3,VEHICLE!$R$5,IF(A74=4,VEHICLE!$P$5,1))))</f>
        <v>72.351594900000009</v>
      </c>
      <c r="L74" s="56">
        <v>0</v>
      </c>
      <c r="M74" s="56">
        <f t="shared" si="21"/>
        <v>0</v>
      </c>
      <c r="N74" s="56">
        <f t="shared" si="13"/>
        <v>0</v>
      </c>
      <c r="O74" s="56">
        <f t="shared" si="14"/>
        <v>0</v>
      </c>
      <c r="P74" s="56">
        <f t="shared" si="15"/>
        <v>232.32740995520999</v>
      </c>
      <c r="Q74" s="56">
        <f>IF(H74=1,I74*VEHICLE!$C$69,IF(H74=2,VEHICLE!$C$70*I74,IF(H74=3,VEHICLE!$C$71*I74,0)))</f>
        <v>0</v>
      </c>
      <c r="R74" s="56">
        <f>(J74+K74+O74+Q74)</f>
        <v>232.32740995520999</v>
      </c>
      <c r="S74" s="56">
        <f t="shared" si="16"/>
        <v>232.32740995520999</v>
      </c>
      <c r="T74" s="56">
        <f>ABS((R74)/((2*PI()*G74)/60))</f>
        <v>0.31693762037236189</v>
      </c>
      <c r="U74" s="56">
        <f t="shared" si="17"/>
        <v>1</v>
      </c>
      <c r="V74" s="56">
        <f>INDEX(BSFC!$D$4:$AD$26,MATCH(U74,BSFC!$B$4:$B$26,0),MATCH(G74,BSFC!$D$2:$AD$2,0))</f>
        <v>920.25590927999997</v>
      </c>
      <c r="W74" s="56">
        <f t="shared" si="22"/>
        <v>5.9389075527499745E-2</v>
      </c>
      <c r="X74" s="56">
        <f t="shared" si="18"/>
        <v>5.9389075527499745E-2</v>
      </c>
      <c r="Y74" s="56">
        <f t="shared" si="19"/>
        <v>0.18351224337997421</v>
      </c>
      <c r="Z74" s="79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x14ac:dyDescent="0.3">
      <c r="A75" s="55">
        <v>1</v>
      </c>
      <c r="B75" s="56" t="s">
        <v>102</v>
      </c>
      <c r="C75" s="56">
        <f t="shared" si="20"/>
        <v>72</v>
      </c>
      <c r="D75" s="56">
        <f t="shared" si="12"/>
        <v>29.998170000000002</v>
      </c>
      <c r="E75" s="94">
        <v>13.41</v>
      </c>
      <c r="F75" s="94">
        <f>($C$4/E75)+F74</f>
        <v>7.5798354702716955</v>
      </c>
      <c r="G75" s="56">
        <v>7000</v>
      </c>
      <c r="H75" s="56">
        <v>3</v>
      </c>
      <c r="I75" s="94">
        <f>E75-E74</f>
        <v>0</v>
      </c>
      <c r="J75" s="56">
        <f>(0.5*VEHICLE!$C$71*VEHICLE!$C$28*VEHICLE!$C$27*'Drive Cycle'!E75^2)</f>
        <v>159.97581505520998</v>
      </c>
      <c r="K75" s="56">
        <f>IF(A75=1,VEHICLE!$S$5,IF(A75=2,VEHICLE!$Q$5,IF(A75=3,VEHICLE!$R$5,IF(A75=4,VEHICLE!$P$5,1))))</f>
        <v>72.351594900000009</v>
      </c>
      <c r="L75" s="56">
        <v>0</v>
      </c>
      <c r="M75" s="56">
        <f t="shared" si="21"/>
        <v>0</v>
      </c>
      <c r="N75" s="56">
        <f t="shared" si="13"/>
        <v>0</v>
      </c>
      <c r="O75" s="56">
        <f t="shared" si="14"/>
        <v>0</v>
      </c>
      <c r="P75" s="56">
        <f t="shared" si="15"/>
        <v>232.32740995520999</v>
      </c>
      <c r="Q75" s="56">
        <f>IF(H75=1,I75*VEHICLE!$C$69,IF(H75=2,VEHICLE!$C$70*I75,IF(H75=3,VEHICLE!$C$71*I75,0)))</f>
        <v>0</v>
      </c>
      <c r="R75" s="56">
        <f>(J75+K75+O75+Q75)</f>
        <v>232.32740995520999</v>
      </c>
      <c r="S75" s="56">
        <f t="shared" si="16"/>
        <v>232.32740995520999</v>
      </c>
      <c r="T75" s="56">
        <f>ABS((R75)/((2*PI()*G75)/60))</f>
        <v>0.31693762037236189</v>
      </c>
      <c r="U75" s="56">
        <f t="shared" si="17"/>
        <v>1</v>
      </c>
      <c r="V75" s="56">
        <f>INDEX(BSFC!$D$4:$AD$26,MATCH(U75,BSFC!$B$4:$B$26,0),MATCH(G75,BSFC!$D$2:$AD$2,0))</f>
        <v>920.25590927999997</v>
      </c>
      <c r="W75" s="56">
        <f t="shared" si="22"/>
        <v>5.9389075527499745E-2</v>
      </c>
      <c r="X75" s="56">
        <f t="shared" si="18"/>
        <v>5.9389075527499745E-2</v>
      </c>
      <c r="Y75" s="56">
        <f t="shared" si="19"/>
        <v>0.18351224337997421</v>
      </c>
      <c r="Z75" s="79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x14ac:dyDescent="0.3">
      <c r="A76" s="55">
        <v>1</v>
      </c>
      <c r="B76" s="56" t="s">
        <v>102</v>
      </c>
      <c r="C76" s="56">
        <f t="shared" si="20"/>
        <v>73</v>
      </c>
      <c r="D76" s="56">
        <f t="shared" si="12"/>
        <v>29.998170000000002</v>
      </c>
      <c r="E76" s="94">
        <v>13.41</v>
      </c>
      <c r="F76" s="94">
        <f>($C$4/E76)+F75</f>
        <v>7.6544066857825079</v>
      </c>
      <c r="G76" s="56">
        <v>7000</v>
      </c>
      <c r="H76" s="56">
        <v>3</v>
      </c>
      <c r="I76" s="94">
        <f>E76-E75</f>
        <v>0</v>
      </c>
      <c r="J76" s="56">
        <f>(0.5*VEHICLE!$C$71*VEHICLE!$C$28*VEHICLE!$C$27*'Drive Cycle'!E76^2)</f>
        <v>159.97581505520998</v>
      </c>
      <c r="K76" s="56">
        <f>IF(A76=1,VEHICLE!$S$5,IF(A76=2,VEHICLE!$Q$5,IF(A76=3,VEHICLE!$R$5,IF(A76=4,VEHICLE!$P$5,1))))</f>
        <v>72.351594900000009</v>
      </c>
      <c r="L76" s="56">
        <v>0</v>
      </c>
      <c r="M76" s="56">
        <f t="shared" si="21"/>
        <v>0</v>
      </c>
      <c r="N76" s="56">
        <f t="shared" si="13"/>
        <v>0</v>
      </c>
      <c r="O76" s="56">
        <f t="shared" si="14"/>
        <v>0</v>
      </c>
      <c r="P76" s="56">
        <f t="shared" si="15"/>
        <v>232.32740995520999</v>
      </c>
      <c r="Q76" s="56">
        <f>IF(H76=1,I76*VEHICLE!$C$69,IF(H76=2,VEHICLE!$C$70*I76,IF(H76=3,VEHICLE!$C$71*I76,0)))</f>
        <v>0</v>
      </c>
      <c r="R76" s="56">
        <f>(J76+K76+O76+Q76)</f>
        <v>232.32740995520999</v>
      </c>
      <c r="S76" s="56">
        <f t="shared" si="16"/>
        <v>232.32740995520999</v>
      </c>
      <c r="T76" s="56">
        <f>ABS((R76)/((2*PI()*G76)/60))</f>
        <v>0.31693762037236189</v>
      </c>
      <c r="U76" s="56">
        <f t="shared" si="17"/>
        <v>1</v>
      </c>
      <c r="V76" s="56">
        <f>INDEX(BSFC!$D$4:$AD$26,MATCH(U76,BSFC!$B$4:$B$26,0),MATCH(G76,BSFC!$D$2:$AD$2,0))</f>
        <v>920.25590927999997</v>
      </c>
      <c r="W76" s="56">
        <f t="shared" si="22"/>
        <v>5.9389075527499745E-2</v>
      </c>
      <c r="X76" s="56">
        <f t="shared" si="18"/>
        <v>5.9389075527499745E-2</v>
      </c>
      <c r="Y76" s="56">
        <f t="shared" si="19"/>
        <v>0.18351224337997421</v>
      </c>
      <c r="Z76" s="79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x14ac:dyDescent="0.3">
      <c r="A77" s="55">
        <v>1</v>
      </c>
      <c r="B77" s="56" t="s">
        <v>102</v>
      </c>
      <c r="C77" s="56">
        <f t="shared" si="20"/>
        <v>74</v>
      </c>
      <c r="D77" s="56">
        <f t="shared" si="12"/>
        <v>29.998170000000002</v>
      </c>
      <c r="E77" s="94">
        <v>13.41</v>
      </c>
      <c r="F77" s="94">
        <f>($C$4/E77)+F76</f>
        <v>7.7289779012933204</v>
      </c>
      <c r="G77" s="56">
        <v>7000</v>
      </c>
      <c r="H77" s="56">
        <v>3</v>
      </c>
      <c r="I77" s="94">
        <f>E77-E76</f>
        <v>0</v>
      </c>
      <c r="J77" s="56">
        <f>(0.5*VEHICLE!$C$71*VEHICLE!$C$28*VEHICLE!$C$27*'Drive Cycle'!E77^2)</f>
        <v>159.97581505520998</v>
      </c>
      <c r="K77" s="56">
        <f>IF(A77=1,VEHICLE!$S$5,IF(A77=2,VEHICLE!$Q$5,IF(A77=3,VEHICLE!$R$5,IF(A77=4,VEHICLE!$P$5,1))))</f>
        <v>72.351594900000009</v>
      </c>
      <c r="L77" s="56">
        <v>0</v>
      </c>
      <c r="M77" s="56">
        <f t="shared" si="21"/>
        <v>0</v>
      </c>
      <c r="N77" s="56">
        <f t="shared" si="13"/>
        <v>0</v>
      </c>
      <c r="O77" s="56">
        <f t="shared" si="14"/>
        <v>0</v>
      </c>
      <c r="P77" s="56">
        <f t="shared" si="15"/>
        <v>232.32740995520999</v>
      </c>
      <c r="Q77" s="56">
        <f>IF(H77=1,I77*VEHICLE!$C$69,IF(H77=2,VEHICLE!$C$70*I77,IF(H77=3,VEHICLE!$C$71*I77,0)))</f>
        <v>0</v>
      </c>
      <c r="R77" s="56">
        <f>(J77+K77+O77+Q77)</f>
        <v>232.32740995520999</v>
      </c>
      <c r="S77" s="56">
        <f t="shared" si="16"/>
        <v>232.32740995520999</v>
      </c>
      <c r="T77" s="56">
        <f>ABS((R77)/((2*PI()*G77)/60))</f>
        <v>0.31693762037236189</v>
      </c>
      <c r="U77" s="56">
        <f t="shared" si="17"/>
        <v>1</v>
      </c>
      <c r="V77" s="56">
        <f>INDEX(BSFC!$D$4:$AD$26,MATCH(U77,BSFC!$B$4:$B$26,0),MATCH(G77,BSFC!$D$2:$AD$2,0))</f>
        <v>920.25590927999997</v>
      </c>
      <c r="W77" s="56">
        <f t="shared" si="22"/>
        <v>5.9389075527499745E-2</v>
      </c>
      <c r="X77" s="56">
        <f t="shared" si="18"/>
        <v>5.9389075527499745E-2</v>
      </c>
      <c r="Y77" s="56">
        <f t="shared" si="19"/>
        <v>0.18351224337997421</v>
      </c>
      <c r="Z77" s="79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x14ac:dyDescent="0.3">
      <c r="A78" s="55">
        <v>1</v>
      </c>
      <c r="B78" s="56" t="s">
        <v>102</v>
      </c>
      <c r="C78" s="56">
        <f t="shared" si="20"/>
        <v>75</v>
      </c>
      <c r="D78" s="56">
        <f t="shared" si="12"/>
        <v>29.998170000000002</v>
      </c>
      <c r="E78" s="94">
        <v>13.41</v>
      </c>
      <c r="F78" s="94">
        <f>($C$4/E78)+F77</f>
        <v>7.8035491168041329</v>
      </c>
      <c r="G78" s="56">
        <v>7000</v>
      </c>
      <c r="H78" s="56">
        <v>3</v>
      </c>
      <c r="I78" s="94">
        <f>E78-E77</f>
        <v>0</v>
      </c>
      <c r="J78" s="56">
        <f>(0.5*VEHICLE!$C$71*VEHICLE!$C$28*VEHICLE!$C$27*'Drive Cycle'!E78^2)</f>
        <v>159.97581505520998</v>
      </c>
      <c r="K78" s="56">
        <f>IF(A78=1,VEHICLE!$S$5,IF(A78=2,VEHICLE!$Q$5,IF(A78=3,VEHICLE!$R$5,IF(A78=4,VEHICLE!$P$5,1))))</f>
        <v>72.351594900000009</v>
      </c>
      <c r="L78" s="56">
        <v>0</v>
      </c>
      <c r="M78" s="56">
        <f t="shared" si="21"/>
        <v>0</v>
      </c>
      <c r="N78" s="56">
        <f t="shared" si="13"/>
        <v>0</v>
      </c>
      <c r="O78" s="56">
        <f t="shared" si="14"/>
        <v>0</v>
      </c>
      <c r="P78" s="56">
        <f t="shared" si="15"/>
        <v>232.32740995520999</v>
      </c>
      <c r="Q78" s="56">
        <f>IF(H78=1,I78*VEHICLE!$C$69,IF(H78=2,VEHICLE!$C$70*I78,IF(H78=3,VEHICLE!$C$71*I78,0)))</f>
        <v>0</v>
      </c>
      <c r="R78" s="56">
        <f>(J78+K78+O78+Q78)</f>
        <v>232.32740995520999</v>
      </c>
      <c r="S78" s="56">
        <f t="shared" si="16"/>
        <v>232.32740995520999</v>
      </c>
      <c r="T78" s="56">
        <f>ABS((R78)/((2*PI()*G78)/60))</f>
        <v>0.31693762037236189</v>
      </c>
      <c r="U78" s="56">
        <f t="shared" si="17"/>
        <v>1</v>
      </c>
      <c r="V78" s="56">
        <f>INDEX(BSFC!$D$4:$AD$26,MATCH(U78,BSFC!$B$4:$B$26,0),MATCH(G78,BSFC!$D$2:$AD$2,0))</f>
        <v>920.25590927999997</v>
      </c>
      <c r="W78" s="56">
        <f t="shared" si="22"/>
        <v>5.9389075527499745E-2</v>
      </c>
      <c r="X78" s="56">
        <f t="shared" si="18"/>
        <v>5.9389075527499745E-2</v>
      </c>
      <c r="Y78" s="56">
        <f t="shared" si="19"/>
        <v>0.18351224337997421</v>
      </c>
      <c r="Z78" s="79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x14ac:dyDescent="0.3">
      <c r="A79" s="55">
        <v>1</v>
      </c>
      <c r="B79" s="56" t="s">
        <v>102</v>
      </c>
      <c r="C79" s="56">
        <f t="shared" si="20"/>
        <v>76</v>
      </c>
      <c r="D79" s="56">
        <f t="shared" si="12"/>
        <v>29.998170000000002</v>
      </c>
      <c r="E79" s="94">
        <v>13.41</v>
      </c>
      <c r="F79" s="94">
        <f>($C$4/E79)+F78</f>
        <v>7.8781203323149454</v>
      </c>
      <c r="G79" s="56">
        <v>7000</v>
      </c>
      <c r="H79" s="56">
        <v>3</v>
      </c>
      <c r="I79" s="94">
        <f>E79-E78</f>
        <v>0</v>
      </c>
      <c r="J79" s="56">
        <f>(0.5*VEHICLE!$C$71*VEHICLE!$C$28*VEHICLE!$C$27*'Drive Cycle'!E79^2)</f>
        <v>159.97581505520998</v>
      </c>
      <c r="K79" s="56">
        <f>IF(A79=1,VEHICLE!$S$5,IF(A79=2,VEHICLE!$Q$5,IF(A79=3,VEHICLE!$R$5,IF(A79=4,VEHICLE!$P$5,1))))</f>
        <v>72.351594900000009</v>
      </c>
      <c r="L79" s="56">
        <v>0</v>
      </c>
      <c r="M79" s="56">
        <f t="shared" si="21"/>
        <v>0</v>
      </c>
      <c r="N79" s="56">
        <f t="shared" si="13"/>
        <v>0</v>
      </c>
      <c r="O79" s="56">
        <f t="shared" si="14"/>
        <v>0</v>
      </c>
      <c r="P79" s="56">
        <f t="shared" si="15"/>
        <v>232.32740995520999</v>
      </c>
      <c r="Q79" s="56">
        <f>IF(H79=1,I79*VEHICLE!$C$69,IF(H79=2,VEHICLE!$C$70*I79,IF(H79=3,VEHICLE!$C$71*I79,0)))</f>
        <v>0</v>
      </c>
      <c r="R79" s="56">
        <f>(J79+K79+O79+Q79)</f>
        <v>232.32740995520999</v>
      </c>
      <c r="S79" s="56">
        <f t="shared" si="16"/>
        <v>232.32740995520999</v>
      </c>
      <c r="T79" s="56">
        <f>ABS((R79)/((2*PI()*G79)/60))</f>
        <v>0.31693762037236189</v>
      </c>
      <c r="U79" s="56">
        <f t="shared" si="17"/>
        <v>1</v>
      </c>
      <c r="V79" s="56">
        <f>INDEX(BSFC!$D$4:$AD$26,MATCH(U79,BSFC!$B$4:$B$26,0),MATCH(G79,BSFC!$D$2:$AD$2,0))</f>
        <v>920.25590927999997</v>
      </c>
      <c r="W79" s="56">
        <f t="shared" si="22"/>
        <v>5.9389075527499745E-2</v>
      </c>
      <c r="X79" s="56">
        <f t="shared" si="18"/>
        <v>5.9389075527499745E-2</v>
      </c>
      <c r="Y79" s="56">
        <f t="shared" si="19"/>
        <v>0.18351224337997421</v>
      </c>
      <c r="Z79" s="79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x14ac:dyDescent="0.3">
      <c r="A80" s="55">
        <v>1</v>
      </c>
      <c r="B80" s="56" t="s">
        <v>102</v>
      </c>
      <c r="C80" s="56">
        <f t="shared" si="20"/>
        <v>77</v>
      </c>
      <c r="D80" s="56">
        <f t="shared" si="12"/>
        <v>29.998170000000002</v>
      </c>
      <c r="E80" s="94">
        <v>13.41</v>
      </c>
      <c r="F80" s="94">
        <f>($C$4/E80)+F79</f>
        <v>7.9526915478257578</v>
      </c>
      <c r="G80" s="56">
        <v>7000</v>
      </c>
      <c r="H80" s="56">
        <v>3</v>
      </c>
      <c r="I80" s="94">
        <f>E80-E79</f>
        <v>0</v>
      </c>
      <c r="J80" s="56">
        <f>(0.5*VEHICLE!$C$71*VEHICLE!$C$28*VEHICLE!$C$27*'Drive Cycle'!E80^2)</f>
        <v>159.97581505520998</v>
      </c>
      <c r="K80" s="56">
        <f>IF(A80=1,VEHICLE!$S$5,IF(A80=2,VEHICLE!$Q$5,IF(A80=3,VEHICLE!$R$5,IF(A80=4,VEHICLE!$P$5,1))))</f>
        <v>72.351594900000009</v>
      </c>
      <c r="L80" s="56">
        <v>0</v>
      </c>
      <c r="M80" s="56">
        <f t="shared" si="21"/>
        <v>0</v>
      </c>
      <c r="N80" s="56">
        <f t="shared" si="13"/>
        <v>0</v>
      </c>
      <c r="O80" s="56">
        <f t="shared" si="14"/>
        <v>0</v>
      </c>
      <c r="P80" s="56">
        <f t="shared" si="15"/>
        <v>232.32740995520999</v>
      </c>
      <c r="Q80" s="56">
        <f>IF(H80=1,I80*VEHICLE!$C$69,IF(H80=2,VEHICLE!$C$70*I80,IF(H80=3,VEHICLE!$C$71*I80,0)))</f>
        <v>0</v>
      </c>
      <c r="R80" s="56">
        <f>(J80+K80+O80+Q80)</f>
        <v>232.32740995520999</v>
      </c>
      <c r="S80" s="56">
        <f t="shared" si="16"/>
        <v>232.32740995520999</v>
      </c>
      <c r="T80" s="56">
        <f>ABS((R80)/((2*PI()*G80)/60))</f>
        <v>0.31693762037236189</v>
      </c>
      <c r="U80" s="56">
        <f t="shared" si="17"/>
        <v>1</v>
      </c>
      <c r="V80" s="56">
        <f>INDEX(BSFC!$D$4:$AD$26,MATCH(U80,BSFC!$B$4:$B$26,0),MATCH(G80,BSFC!$D$2:$AD$2,0))</f>
        <v>920.25590927999997</v>
      </c>
      <c r="W80" s="56">
        <f t="shared" si="22"/>
        <v>5.9389075527499745E-2</v>
      </c>
      <c r="X80" s="56">
        <f t="shared" si="18"/>
        <v>5.9389075527499745E-2</v>
      </c>
      <c r="Y80" s="56">
        <f t="shared" si="19"/>
        <v>0.18351224337997421</v>
      </c>
      <c r="Z80" s="79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x14ac:dyDescent="0.3">
      <c r="A81" s="55">
        <v>1</v>
      </c>
      <c r="B81" s="56" t="s">
        <v>102</v>
      </c>
      <c r="C81" s="56">
        <f t="shared" si="20"/>
        <v>78</v>
      </c>
      <c r="D81" s="56">
        <f t="shared" si="12"/>
        <v>29.998170000000002</v>
      </c>
      <c r="E81" s="94">
        <v>13.41</v>
      </c>
      <c r="F81" s="94">
        <f>($C$4/E81)+F80</f>
        <v>8.0272627633365712</v>
      </c>
      <c r="G81" s="56">
        <v>7000</v>
      </c>
      <c r="H81" s="56">
        <v>3</v>
      </c>
      <c r="I81" s="94">
        <f>E81-E80</f>
        <v>0</v>
      </c>
      <c r="J81" s="56">
        <f>(0.5*VEHICLE!$C$71*VEHICLE!$C$28*VEHICLE!$C$27*'Drive Cycle'!E81^2)</f>
        <v>159.97581505520998</v>
      </c>
      <c r="K81" s="56">
        <f>IF(A81=1,VEHICLE!$S$5,IF(A81=2,VEHICLE!$Q$5,IF(A81=3,VEHICLE!$R$5,IF(A81=4,VEHICLE!$P$5,1))))</f>
        <v>72.351594900000009</v>
      </c>
      <c r="L81" s="56">
        <v>0</v>
      </c>
      <c r="M81" s="56">
        <f t="shared" si="21"/>
        <v>0</v>
      </c>
      <c r="N81" s="56">
        <f t="shared" si="13"/>
        <v>0</v>
      </c>
      <c r="O81" s="56">
        <f t="shared" si="14"/>
        <v>0</v>
      </c>
      <c r="P81" s="56">
        <f t="shared" si="15"/>
        <v>232.32740995520999</v>
      </c>
      <c r="Q81" s="56">
        <f>IF(H81=1,I81*VEHICLE!$C$69,IF(H81=2,VEHICLE!$C$70*I81,IF(H81=3,VEHICLE!$C$71*I81,0)))</f>
        <v>0</v>
      </c>
      <c r="R81" s="56">
        <f>(J81+K81+O81+Q81)</f>
        <v>232.32740995520999</v>
      </c>
      <c r="S81" s="56">
        <f t="shared" si="16"/>
        <v>232.32740995520999</v>
      </c>
      <c r="T81" s="56">
        <f>ABS((R81)/((2*PI()*G81)/60))</f>
        <v>0.31693762037236189</v>
      </c>
      <c r="U81" s="56">
        <f t="shared" si="17"/>
        <v>1</v>
      </c>
      <c r="V81" s="56">
        <f>INDEX(BSFC!$D$4:$AD$26,MATCH(U81,BSFC!$B$4:$B$26,0),MATCH(G81,BSFC!$D$2:$AD$2,0))</f>
        <v>920.25590927999997</v>
      </c>
      <c r="W81" s="56">
        <f t="shared" si="22"/>
        <v>5.9389075527499745E-2</v>
      </c>
      <c r="X81" s="56">
        <f t="shared" si="18"/>
        <v>5.9389075527499745E-2</v>
      </c>
      <c r="Y81" s="56">
        <f t="shared" si="19"/>
        <v>0.18351224337997421</v>
      </c>
      <c r="Z81" s="79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x14ac:dyDescent="0.3">
      <c r="A82" s="55">
        <v>1</v>
      </c>
      <c r="B82" s="56" t="s">
        <v>102</v>
      </c>
      <c r="C82" s="56">
        <f t="shared" si="20"/>
        <v>79</v>
      </c>
      <c r="D82" s="56">
        <f t="shared" si="12"/>
        <v>29.998170000000002</v>
      </c>
      <c r="E82" s="94">
        <v>13.41</v>
      </c>
      <c r="F82" s="94">
        <f>($C$4/E82)+F81</f>
        <v>8.1018339788473845</v>
      </c>
      <c r="G82" s="56">
        <v>7000</v>
      </c>
      <c r="H82" s="56">
        <v>3</v>
      </c>
      <c r="I82" s="94">
        <f>E82-E81</f>
        <v>0</v>
      </c>
      <c r="J82" s="56">
        <f>(0.5*VEHICLE!$C$71*VEHICLE!$C$28*VEHICLE!$C$27*'Drive Cycle'!E82^2)</f>
        <v>159.97581505520998</v>
      </c>
      <c r="K82" s="56">
        <f>IF(A82=1,VEHICLE!$S$5,IF(A82=2,VEHICLE!$Q$5,IF(A82=3,VEHICLE!$R$5,IF(A82=4,VEHICLE!$P$5,1))))</f>
        <v>72.351594900000009</v>
      </c>
      <c r="L82" s="56">
        <v>0</v>
      </c>
      <c r="M82" s="56">
        <f t="shared" si="21"/>
        <v>0</v>
      </c>
      <c r="N82" s="56">
        <f t="shared" si="13"/>
        <v>0</v>
      </c>
      <c r="O82" s="56">
        <f t="shared" si="14"/>
        <v>0</v>
      </c>
      <c r="P82" s="56">
        <f t="shared" si="15"/>
        <v>232.32740995520999</v>
      </c>
      <c r="Q82" s="56">
        <f>IF(H82=1,I82*VEHICLE!$C$69,IF(H82=2,VEHICLE!$C$70*I82,IF(H82=3,VEHICLE!$C$71*I82,0)))</f>
        <v>0</v>
      </c>
      <c r="R82" s="56">
        <f>(J82+K82+O82+Q82)</f>
        <v>232.32740995520999</v>
      </c>
      <c r="S82" s="56">
        <f t="shared" si="16"/>
        <v>232.32740995520999</v>
      </c>
      <c r="T82" s="56">
        <f>ABS((R82)/((2*PI()*G82)/60))</f>
        <v>0.31693762037236189</v>
      </c>
      <c r="U82" s="56">
        <f t="shared" si="17"/>
        <v>1</v>
      </c>
      <c r="V82" s="56">
        <f>INDEX(BSFC!$D$4:$AD$26,MATCH(U82,BSFC!$B$4:$B$26,0),MATCH(G82,BSFC!$D$2:$AD$2,0))</f>
        <v>920.25590927999997</v>
      </c>
      <c r="W82" s="56">
        <f t="shared" si="22"/>
        <v>5.9389075527499745E-2</v>
      </c>
      <c r="X82" s="56">
        <f t="shared" si="18"/>
        <v>5.9389075527499745E-2</v>
      </c>
      <c r="Y82" s="56">
        <f t="shared" si="19"/>
        <v>0.18351224337997421</v>
      </c>
      <c r="Z82" s="79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x14ac:dyDescent="0.3">
      <c r="A83" s="55">
        <v>1</v>
      </c>
      <c r="B83" s="56" t="s">
        <v>102</v>
      </c>
      <c r="C83" s="56">
        <f t="shared" si="20"/>
        <v>80</v>
      </c>
      <c r="D83" s="56">
        <f t="shared" si="12"/>
        <v>29.998170000000002</v>
      </c>
      <c r="E83" s="94">
        <v>13.41</v>
      </c>
      <c r="F83" s="94">
        <f>($C$4/E83)+F82</f>
        <v>8.1764051943581979</v>
      </c>
      <c r="G83" s="56">
        <v>7000</v>
      </c>
      <c r="H83" s="56">
        <v>3</v>
      </c>
      <c r="I83" s="94">
        <f>E83-E82</f>
        <v>0</v>
      </c>
      <c r="J83" s="56">
        <f>(0.5*VEHICLE!$C$71*VEHICLE!$C$28*VEHICLE!$C$27*'Drive Cycle'!E83^2)</f>
        <v>159.97581505520998</v>
      </c>
      <c r="K83" s="56">
        <f>IF(A83=1,VEHICLE!$S$5,IF(A83=2,VEHICLE!$Q$5,IF(A83=3,VEHICLE!$R$5,IF(A83=4,VEHICLE!$P$5,1))))</f>
        <v>72.351594900000009</v>
      </c>
      <c r="L83" s="56">
        <v>0</v>
      </c>
      <c r="M83" s="56">
        <f t="shared" si="21"/>
        <v>0</v>
      </c>
      <c r="N83" s="56">
        <f t="shared" si="13"/>
        <v>0</v>
      </c>
      <c r="O83" s="56">
        <f t="shared" si="14"/>
        <v>0</v>
      </c>
      <c r="P83" s="56">
        <f t="shared" si="15"/>
        <v>232.32740995520999</v>
      </c>
      <c r="Q83" s="56">
        <f>IF(H83=1,I83*VEHICLE!$C$69,IF(H83=2,VEHICLE!$C$70*I83,IF(H83=3,VEHICLE!$C$71*I83,0)))</f>
        <v>0</v>
      </c>
      <c r="R83" s="56">
        <f>(J83+K83+O83+Q83)</f>
        <v>232.32740995520999</v>
      </c>
      <c r="S83" s="56">
        <f t="shared" si="16"/>
        <v>232.32740995520999</v>
      </c>
      <c r="T83" s="56">
        <f>ABS((R83)/((2*PI()*G83)/60))</f>
        <v>0.31693762037236189</v>
      </c>
      <c r="U83" s="56">
        <f t="shared" si="17"/>
        <v>1</v>
      </c>
      <c r="V83" s="56">
        <f>INDEX(BSFC!$D$4:$AD$26,MATCH(U83,BSFC!$B$4:$B$26,0),MATCH(G83,BSFC!$D$2:$AD$2,0))</f>
        <v>920.25590927999997</v>
      </c>
      <c r="W83" s="56">
        <f t="shared" si="22"/>
        <v>5.9389075527499745E-2</v>
      </c>
      <c r="X83" s="56">
        <f t="shared" si="18"/>
        <v>5.9389075527499745E-2</v>
      </c>
      <c r="Y83" s="56">
        <f t="shared" si="19"/>
        <v>0.18351224337997421</v>
      </c>
      <c r="Z83" s="79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x14ac:dyDescent="0.3">
      <c r="A84" s="55">
        <v>1</v>
      </c>
      <c r="B84" s="56" t="s">
        <v>102</v>
      </c>
      <c r="C84" s="56">
        <f t="shared" si="20"/>
        <v>81</v>
      </c>
      <c r="D84" s="56">
        <f t="shared" si="12"/>
        <v>29.998170000000002</v>
      </c>
      <c r="E84" s="94">
        <v>13.41</v>
      </c>
      <c r="F84" s="94">
        <f>($C$4/E84)+F83</f>
        <v>8.2509764098690113</v>
      </c>
      <c r="G84" s="56">
        <v>7000</v>
      </c>
      <c r="H84" s="56">
        <v>3</v>
      </c>
      <c r="I84" s="94">
        <f>E84-E83</f>
        <v>0</v>
      </c>
      <c r="J84" s="56">
        <f>(0.5*VEHICLE!$C$71*VEHICLE!$C$28*VEHICLE!$C$27*'Drive Cycle'!E84^2)</f>
        <v>159.97581505520998</v>
      </c>
      <c r="K84" s="56">
        <f>IF(A84=1,VEHICLE!$S$5,IF(A84=2,VEHICLE!$Q$5,IF(A84=3,VEHICLE!$R$5,IF(A84=4,VEHICLE!$P$5,1))))</f>
        <v>72.351594900000009</v>
      </c>
      <c r="L84" s="56">
        <v>0</v>
      </c>
      <c r="M84" s="56">
        <f t="shared" si="21"/>
        <v>0</v>
      </c>
      <c r="N84" s="56">
        <f t="shared" si="13"/>
        <v>0</v>
      </c>
      <c r="O84" s="56">
        <f t="shared" si="14"/>
        <v>0</v>
      </c>
      <c r="P84" s="56">
        <f t="shared" si="15"/>
        <v>232.32740995520999</v>
      </c>
      <c r="Q84" s="56">
        <f>IF(H84=1,I84*VEHICLE!$C$69,IF(H84=2,VEHICLE!$C$70*I84,IF(H84=3,VEHICLE!$C$71*I84,0)))</f>
        <v>0</v>
      </c>
      <c r="R84" s="56">
        <f>(J84+K84+O84+Q84)</f>
        <v>232.32740995520999</v>
      </c>
      <c r="S84" s="56">
        <f t="shared" si="16"/>
        <v>232.32740995520999</v>
      </c>
      <c r="T84" s="56">
        <f>ABS((R84)/((2*PI()*G84)/60))</f>
        <v>0.31693762037236189</v>
      </c>
      <c r="U84" s="56">
        <f t="shared" si="17"/>
        <v>1</v>
      </c>
      <c r="V84" s="56">
        <f>INDEX(BSFC!$D$4:$AD$26,MATCH(U84,BSFC!$B$4:$B$26,0),MATCH(G84,BSFC!$D$2:$AD$2,0))</f>
        <v>920.25590927999997</v>
      </c>
      <c r="W84" s="56">
        <f t="shared" si="22"/>
        <v>5.9389075527499745E-2</v>
      </c>
      <c r="X84" s="56">
        <f t="shared" si="18"/>
        <v>5.9389075527499745E-2</v>
      </c>
      <c r="Y84" s="56">
        <f t="shared" si="19"/>
        <v>0.18351224337997421</v>
      </c>
      <c r="Z84" s="79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x14ac:dyDescent="0.3">
      <c r="A85" s="55">
        <v>1</v>
      </c>
      <c r="B85" s="56" t="s">
        <v>102</v>
      </c>
      <c r="C85" s="56">
        <f t="shared" si="20"/>
        <v>82</v>
      </c>
      <c r="D85" s="56">
        <f t="shared" si="12"/>
        <v>29.998170000000002</v>
      </c>
      <c r="E85" s="94">
        <v>13.41</v>
      </c>
      <c r="F85" s="94">
        <f>($C$4/E85)+F84</f>
        <v>8.3255476253798246</v>
      </c>
      <c r="G85" s="56">
        <v>7000</v>
      </c>
      <c r="H85" s="56">
        <v>3</v>
      </c>
      <c r="I85" s="94">
        <f>E85-E84</f>
        <v>0</v>
      </c>
      <c r="J85" s="56">
        <f>(0.5*VEHICLE!$C$71*VEHICLE!$C$28*VEHICLE!$C$27*'Drive Cycle'!E85^2)</f>
        <v>159.97581505520998</v>
      </c>
      <c r="K85" s="56">
        <f>IF(A85=1,VEHICLE!$S$5,IF(A85=2,VEHICLE!$Q$5,IF(A85=3,VEHICLE!$R$5,IF(A85=4,VEHICLE!$P$5,1))))</f>
        <v>72.351594900000009</v>
      </c>
      <c r="L85" s="56">
        <v>0</v>
      </c>
      <c r="M85" s="56">
        <f t="shared" si="21"/>
        <v>0</v>
      </c>
      <c r="N85" s="56">
        <f t="shared" si="13"/>
        <v>0</v>
      </c>
      <c r="O85" s="56">
        <f t="shared" si="14"/>
        <v>0</v>
      </c>
      <c r="P85" s="56">
        <f t="shared" si="15"/>
        <v>232.32740995520999</v>
      </c>
      <c r="Q85" s="56">
        <f>IF(H85=1,I85*VEHICLE!$C$69,IF(H85=2,VEHICLE!$C$70*I85,IF(H85=3,VEHICLE!$C$71*I85,0)))</f>
        <v>0</v>
      </c>
      <c r="R85" s="56">
        <f>(J85+K85+O85+Q85)</f>
        <v>232.32740995520999</v>
      </c>
      <c r="S85" s="56">
        <f t="shared" si="16"/>
        <v>232.32740995520999</v>
      </c>
      <c r="T85" s="56">
        <f>ABS((R85)/((2*PI()*G85)/60))</f>
        <v>0.31693762037236189</v>
      </c>
      <c r="U85" s="56">
        <f t="shared" si="17"/>
        <v>1</v>
      </c>
      <c r="V85" s="56">
        <f>INDEX(BSFC!$D$4:$AD$26,MATCH(U85,BSFC!$B$4:$B$26,0),MATCH(G85,BSFC!$D$2:$AD$2,0))</f>
        <v>920.25590927999997</v>
      </c>
      <c r="W85" s="56">
        <f t="shared" si="22"/>
        <v>5.9389075527499745E-2</v>
      </c>
      <c r="X85" s="56">
        <f t="shared" si="18"/>
        <v>5.9389075527499745E-2</v>
      </c>
      <c r="Y85" s="56">
        <f t="shared" si="19"/>
        <v>0.18351224337997421</v>
      </c>
      <c r="Z85" s="79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x14ac:dyDescent="0.3">
      <c r="A86" s="55">
        <v>1</v>
      </c>
      <c r="B86" s="56" t="s">
        <v>102</v>
      </c>
      <c r="C86" s="56">
        <f t="shared" si="20"/>
        <v>83</v>
      </c>
      <c r="D86" s="56">
        <f t="shared" si="12"/>
        <v>29.998170000000002</v>
      </c>
      <c r="E86" s="94">
        <v>13.41</v>
      </c>
      <c r="F86" s="94">
        <f>($C$4/E86)+F85</f>
        <v>8.400118840890638</v>
      </c>
      <c r="G86" s="56">
        <v>7000</v>
      </c>
      <c r="H86" s="56">
        <v>3</v>
      </c>
      <c r="I86" s="94">
        <f>E86-E85</f>
        <v>0</v>
      </c>
      <c r="J86" s="56">
        <f>(0.5*VEHICLE!$C$71*VEHICLE!$C$28*VEHICLE!$C$27*'Drive Cycle'!E86^2)</f>
        <v>159.97581505520998</v>
      </c>
      <c r="K86" s="56">
        <f>IF(A86=1,VEHICLE!$S$5,IF(A86=2,VEHICLE!$Q$5,IF(A86=3,VEHICLE!$R$5,IF(A86=4,VEHICLE!$P$5,1))))</f>
        <v>72.351594900000009</v>
      </c>
      <c r="L86" s="56">
        <v>0</v>
      </c>
      <c r="M86" s="56">
        <f t="shared" si="21"/>
        <v>0</v>
      </c>
      <c r="N86" s="56">
        <f t="shared" si="13"/>
        <v>0</v>
      </c>
      <c r="O86" s="56">
        <f t="shared" si="14"/>
        <v>0</v>
      </c>
      <c r="P86" s="56">
        <f t="shared" si="15"/>
        <v>232.32740995520999</v>
      </c>
      <c r="Q86" s="56">
        <f>IF(H86=1,I86*VEHICLE!$C$69,IF(H86=2,VEHICLE!$C$70*I86,IF(H86=3,VEHICLE!$C$71*I86,0)))</f>
        <v>0</v>
      </c>
      <c r="R86" s="56">
        <f>(J86+K86+O86+Q86)</f>
        <v>232.32740995520999</v>
      </c>
      <c r="S86" s="56">
        <f t="shared" si="16"/>
        <v>232.32740995520999</v>
      </c>
      <c r="T86" s="56">
        <f>ABS((R86)/((2*PI()*G86)/60))</f>
        <v>0.31693762037236189</v>
      </c>
      <c r="U86" s="56">
        <f t="shared" si="17"/>
        <v>1</v>
      </c>
      <c r="V86" s="56">
        <f>INDEX(BSFC!$D$4:$AD$26,MATCH(U86,BSFC!$B$4:$B$26,0),MATCH(G86,BSFC!$D$2:$AD$2,0))</f>
        <v>920.25590927999997</v>
      </c>
      <c r="W86" s="56">
        <f t="shared" si="22"/>
        <v>5.9389075527499745E-2</v>
      </c>
      <c r="X86" s="56">
        <f t="shared" si="18"/>
        <v>5.9389075527499745E-2</v>
      </c>
      <c r="Y86" s="56">
        <f t="shared" si="19"/>
        <v>0.18351224337997421</v>
      </c>
      <c r="Z86" s="79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x14ac:dyDescent="0.3">
      <c r="A87" s="55">
        <v>1</v>
      </c>
      <c r="B87" s="56" t="s">
        <v>102</v>
      </c>
      <c r="C87" s="56">
        <f t="shared" si="20"/>
        <v>84</v>
      </c>
      <c r="D87" s="56">
        <f t="shared" si="12"/>
        <v>29.998170000000002</v>
      </c>
      <c r="E87" s="94">
        <v>13.41</v>
      </c>
      <c r="F87" s="94">
        <f>($C$4/E87)+F86</f>
        <v>8.4746900564014513</v>
      </c>
      <c r="G87" s="56">
        <v>7000</v>
      </c>
      <c r="H87" s="56">
        <v>3</v>
      </c>
      <c r="I87" s="94">
        <f>E87-E86</f>
        <v>0</v>
      </c>
      <c r="J87" s="56">
        <f>(0.5*VEHICLE!$C$71*VEHICLE!$C$28*VEHICLE!$C$27*'Drive Cycle'!E87^2)</f>
        <v>159.97581505520998</v>
      </c>
      <c r="K87" s="56">
        <f>IF(A87=1,VEHICLE!$S$5,IF(A87=2,VEHICLE!$Q$5,IF(A87=3,VEHICLE!$R$5,IF(A87=4,VEHICLE!$P$5,1))))</f>
        <v>72.351594900000009</v>
      </c>
      <c r="L87" s="56">
        <v>0</v>
      </c>
      <c r="M87" s="56">
        <f t="shared" si="21"/>
        <v>0</v>
      </c>
      <c r="N87" s="56">
        <f t="shared" si="13"/>
        <v>0</v>
      </c>
      <c r="O87" s="56">
        <f t="shared" si="14"/>
        <v>0</v>
      </c>
      <c r="P87" s="56">
        <f t="shared" si="15"/>
        <v>232.32740995520999</v>
      </c>
      <c r="Q87" s="56">
        <f>IF(H87=1,I87*VEHICLE!$C$69,IF(H87=2,VEHICLE!$C$70*I87,IF(H87=3,VEHICLE!$C$71*I87,0)))</f>
        <v>0</v>
      </c>
      <c r="R87" s="56">
        <f>(J87+K87+O87+Q87)</f>
        <v>232.32740995520999</v>
      </c>
      <c r="S87" s="56">
        <f t="shared" si="16"/>
        <v>232.32740995520999</v>
      </c>
      <c r="T87" s="56">
        <f>ABS((R87)/((2*PI()*G87)/60))</f>
        <v>0.31693762037236189</v>
      </c>
      <c r="U87" s="56">
        <f t="shared" si="17"/>
        <v>1</v>
      </c>
      <c r="V87" s="56">
        <f>INDEX(BSFC!$D$4:$AD$26,MATCH(U87,BSFC!$B$4:$B$26,0),MATCH(G87,BSFC!$D$2:$AD$2,0))</f>
        <v>920.25590927999997</v>
      </c>
      <c r="W87" s="56">
        <f t="shared" si="22"/>
        <v>5.9389075527499745E-2</v>
      </c>
      <c r="X87" s="56">
        <f t="shared" si="18"/>
        <v>5.9389075527499745E-2</v>
      </c>
      <c r="Y87" s="56">
        <f t="shared" si="19"/>
        <v>0.18351224337997421</v>
      </c>
      <c r="Z87" s="79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x14ac:dyDescent="0.3">
      <c r="A88" s="55">
        <v>1</v>
      </c>
      <c r="B88" s="56" t="s">
        <v>102</v>
      </c>
      <c r="C88" s="56">
        <f t="shared" si="20"/>
        <v>85</v>
      </c>
      <c r="D88" s="56">
        <f t="shared" si="12"/>
        <v>29.998170000000002</v>
      </c>
      <c r="E88" s="94">
        <v>13.41</v>
      </c>
      <c r="F88" s="94">
        <f>($C$4/E88)+F87</f>
        <v>8.5492612719122647</v>
      </c>
      <c r="G88" s="56">
        <v>7000</v>
      </c>
      <c r="H88" s="56">
        <v>3</v>
      </c>
      <c r="I88" s="94">
        <f>E88-E87</f>
        <v>0</v>
      </c>
      <c r="J88" s="56">
        <f>(0.5*VEHICLE!$C$71*VEHICLE!$C$28*VEHICLE!$C$27*'Drive Cycle'!E88^2)</f>
        <v>159.97581505520998</v>
      </c>
      <c r="K88" s="56">
        <f>IF(A88=1,VEHICLE!$S$5,IF(A88=2,VEHICLE!$Q$5,IF(A88=3,VEHICLE!$R$5,IF(A88=4,VEHICLE!$P$5,1))))</f>
        <v>72.351594900000009</v>
      </c>
      <c r="L88" s="56">
        <v>0</v>
      </c>
      <c r="M88" s="56">
        <f t="shared" si="21"/>
        <v>0</v>
      </c>
      <c r="N88" s="56">
        <f t="shared" si="13"/>
        <v>0</v>
      </c>
      <c r="O88" s="56">
        <f t="shared" si="14"/>
        <v>0</v>
      </c>
      <c r="P88" s="56">
        <f t="shared" si="15"/>
        <v>232.32740995520999</v>
      </c>
      <c r="Q88" s="56">
        <f>IF(H88=1,I88*VEHICLE!$C$69,IF(H88=2,VEHICLE!$C$70*I88,IF(H88=3,VEHICLE!$C$71*I88,0)))</f>
        <v>0</v>
      </c>
      <c r="R88" s="56">
        <f>(J88+K88+O88+Q88)</f>
        <v>232.32740995520999</v>
      </c>
      <c r="S88" s="56">
        <f t="shared" si="16"/>
        <v>232.32740995520999</v>
      </c>
      <c r="T88" s="56">
        <f>ABS((R88)/((2*PI()*G88)/60))</f>
        <v>0.31693762037236189</v>
      </c>
      <c r="U88" s="56">
        <f t="shared" si="17"/>
        <v>1</v>
      </c>
      <c r="V88" s="56">
        <f>INDEX(BSFC!$D$4:$AD$26,MATCH(U88,BSFC!$B$4:$B$26,0),MATCH(G88,BSFC!$D$2:$AD$2,0))</f>
        <v>920.25590927999997</v>
      </c>
      <c r="W88" s="56">
        <f t="shared" si="22"/>
        <v>5.9389075527499745E-2</v>
      </c>
      <c r="X88" s="56">
        <f t="shared" si="18"/>
        <v>5.9389075527499745E-2</v>
      </c>
      <c r="Y88" s="56">
        <f t="shared" si="19"/>
        <v>0.18351224337997421</v>
      </c>
      <c r="Z88" s="79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x14ac:dyDescent="0.3">
      <c r="A89" s="55">
        <v>1</v>
      </c>
      <c r="B89" s="56" t="s">
        <v>102</v>
      </c>
      <c r="C89" s="56">
        <f t="shared" si="20"/>
        <v>86</v>
      </c>
      <c r="D89" s="56">
        <f t="shared" si="12"/>
        <v>29.998170000000002</v>
      </c>
      <c r="E89" s="94">
        <v>13.41</v>
      </c>
      <c r="F89" s="94">
        <f>($C$4/E89)+F88</f>
        <v>8.6238324874230781</v>
      </c>
      <c r="G89" s="56">
        <v>7000</v>
      </c>
      <c r="H89" s="56">
        <v>3</v>
      </c>
      <c r="I89" s="94">
        <f>E89-E88</f>
        <v>0</v>
      </c>
      <c r="J89" s="56">
        <f>(0.5*VEHICLE!$C$71*VEHICLE!$C$28*VEHICLE!$C$27*'Drive Cycle'!E89^2)</f>
        <v>159.97581505520998</v>
      </c>
      <c r="K89" s="56">
        <f>IF(A89=1,VEHICLE!$S$5,IF(A89=2,VEHICLE!$Q$5,IF(A89=3,VEHICLE!$R$5,IF(A89=4,VEHICLE!$P$5,1))))</f>
        <v>72.351594900000009</v>
      </c>
      <c r="L89" s="56">
        <v>0</v>
      </c>
      <c r="M89" s="56">
        <f t="shared" si="21"/>
        <v>0</v>
      </c>
      <c r="N89" s="56">
        <f t="shared" si="13"/>
        <v>0</v>
      </c>
      <c r="O89" s="56">
        <f t="shared" si="14"/>
        <v>0</v>
      </c>
      <c r="P89" s="56">
        <f t="shared" si="15"/>
        <v>232.32740995520999</v>
      </c>
      <c r="Q89" s="56">
        <f>IF(H89=1,I89*VEHICLE!$C$69,IF(H89=2,VEHICLE!$C$70*I89,IF(H89=3,VEHICLE!$C$71*I89,0)))</f>
        <v>0</v>
      </c>
      <c r="R89" s="56">
        <f>(J89+K89+O89+Q89)</f>
        <v>232.32740995520999</v>
      </c>
      <c r="S89" s="56">
        <f t="shared" si="16"/>
        <v>232.32740995520999</v>
      </c>
      <c r="T89" s="56">
        <f>ABS((R89)/((2*PI()*G89)/60))</f>
        <v>0.31693762037236189</v>
      </c>
      <c r="U89" s="56">
        <f t="shared" si="17"/>
        <v>1</v>
      </c>
      <c r="V89" s="56">
        <f>INDEX(BSFC!$D$4:$AD$26,MATCH(U89,BSFC!$B$4:$B$26,0),MATCH(G89,BSFC!$D$2:$AD$2,0))</f>
        <v>920.25590927999997</v>
      </c>
      <c r="W89" s="56">
        <f t="shared" si="22"/>
        <v>5.9389075527499745E-2</v>
      </c>
      <c r="X89" s="56">
        <f t="shared" si="18"/>
        <v>5.9389075527499745E-2</v>
      </c>
      <c r="Y89" s="56">
        <f t="shared" si="19"/>
        <v>0.18351224337997421</v>
      </c>
      <c r="Z89" s="79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x14ac:dyDescent="0.3">
      <c r="A90" s="55">
        <v>1</v>
      </c>
      <c r="B90" s="56" t="s">
        <v>102</v>
      </c>
      <c r="C90" s="56">
        <f t="shared" si="20"/>
        <v>87</v>
      </c>
      <c r="D90" s="56">
        <f t="shared" si="12"/>
        <v>29.998170000000002</v>
      </c>
      <c r="E90" s="94">
        <v>13.41</v>
      </c>
      <c r="F90" s="94">
        <f>($C$4/E90)+F89</f>
        <v>8.6984037029338914</v>
      </c>
      <c r="G90" s="56">
        <v>7000</v>
      </c>
      <c r="H90" s="56">
        <v>3</v>
      </c>
      <c r="I90" s="94">
        <f>E90-E89</f>
        <v>0</v>
      </c>
      <c r="J90" s="56">
        <f>(0.5*VEHICLE!$C$71*VEHICLE!$C$28*VEHICLE!$C$27*'Drive Cycle'!E90^2)</f>
        <v>159.97581505520998</v>
      </c>
      <c r="K90" s="56">
        <f>IF(A90=1,VEHICLE!$S$5,IF(A90=2,VEHICLE!$Q$5,IF(A90=3,VEHICLE!$R$5,IF(A90=4,VEHICLE!$P$5,1))))</f>
        <v>72.351594900000009</v>
      </c>
      <c r="L90" s="56">
        <v>0</v>
      </c>
      <c r="M90" s="56">
        <f t="shared" si="21"/>
        <v>0</v>
      </c>
      <c r="N90" s="56">
        <f t="shared" si="13"/>
        <v>0</v>
      </c>
      <c r="O90" s="56">
        <f t="shared" si="14"/>
        <v>0</v>
      </c>
      <c r="P90" s="56">
        <f t="shared" si="15"/>
        <v>232.32740995520999</v>
      </c>
      <c r="Q90" s="56">
        <f>IF(H90=1,I90*VEHICLE!$C$69,IF(H90=2,VEHICLE!$C$70*I90,IF(H90=3,VEHICLE!$C$71*I90,0)))</f>
        <v>0</v>
      </c>
      <c r="R90" s="56">
        <f>(J90+K90+O90+Q90)</f>
        <v>232.32740995520999</v>
      </c>
      <c r="S90" s="56">
        <f t="shared" si="16"/>
        <v>232.32740995520999</v>
      </c>
      <c r="T90" s="56">
        <f>ABS((R90)/((2*PI()*G90)/60))</f>
        <v>0.31693762037236189</v>
      </c>
      <c r="U90" s="56">
        <f t="shared" si="17"/>
        <v>1</v>
      </c>
      <c r="V90" s="56">
        <f>INDEX(BSFC!$D$4:$AD$26,MATCH(U90,BSFC!$B$4:$B$26,0),MATCH(G90,BSFC!$D$2:$AD$2,0))</f>
        <v>920.25590927999997</v>
      </c>
      <c r="W90" s="56">
        <f t="shared" si="22"/>
        <v>5.9389075527499745E-2</v>
      </c>
      <c r="X90" s="56">
        <f t="shared" si="18"/>
        <v>5.9389075527499745E-2</v>
      </c>
      <c r="Y90" s="56">
        <f t="shared" si="19"/>
        <v>0.18351224337997421</v>
      </c>
      <c r="Z90" s="79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x14ac:dyDescent="0.3">
      <c r="A91" s="55">
        <v>1</v>
      </c>
      <c r="B91" s="56" t="s">
        <v>102</v>
      </c>
      <c r="C91" s="56">
        <f t="shared" si="20"/>
        <v>88</v>
      </c>
      <c r="D91" s="56">
        <f t="shared" si="12"/>
        <v>29.998170000000002</v>
      </c>
      <c r="E91" s="94">
        <v>13.41</v>
      </c>
      <c r="F91" s="94">
        <f>($C$4/E91)+F90</f>
        <v>8.7729749184447048</v>
      </c>
      <c r="G91" s="56">
        <v>7000</v>
      </c>
      <c r="H91" s="56">
        <v>3</v>
      </c>
      <c r="I91" s="94">
        <f>E91-E90</f>
        <v>0</v>
      </c>
      <c r="J91" s="56">
        <f>(0.5*VEHICLE!$C$71*VEHICLE!$C$28*VEHICLE!$C$27*'Drive Cycle'!E91^2)</f>
        <v>159.97581505520998</v>
      </c>
      <c r="K91" s="56">
        <f>IF(A91=1,VEHICLE!$S$5,IF(A91=2,VEHICLE!$Q$5,IF(A91=3,VEHICLE!$R$5,IF(A91=4,VEHICLE!$P$5,1))))</f>
        <v>72.351594900000009</v>
      </c>
      <c r="L91" s="56">
        <v>0</v>
      </c>
      <c r="M91" s="56">
        <f t="shared" si="21"/>
        <v>0</v>
      </c>
      <c r="N91" s="56">
        <f t="shared" si="13"/>
        <v>0</v>
      </c>
      <c r="O91" s="56">
        <f t="shared" si="14"/>
        <v>0</v>
      </c>
      <c r="P91" s="56">
        <f t="shared" si="15"/>
        <v>232.32740995520999</v>
      </c>
      <c r="Q91" s="56">
        <f>IF(H91=1,I91*VEHICLE!$C$69,IF(H91=2,VEHICLE!$C$70*I91,IF(H91=3,VEHICLE!$C$71*I91,0)))</f>
        <v>0</v>
      </c>
      <c r="R91" s="56">
        <f>(J91+K91+O91+Q91)</f>
        <v>232.32740995520999</v>
      </c>
      <c r="S91" s="56">
        <f t="shared" si="16"/>
        <v>232.32740995520999</v>
      </c>
      <c r="T91" s="56">
        <f>ABS((R91)/((2*PI()*G91)/60))</f>
        <v>0.31693762037236189</v>
      </c>
      <c r="U91" s="56">
        <f t="shared" si="17"/>
        <v>1</v>
      </c>
      <c r="V91" s="56">
        <f>INDEX(BSFC!$D$4:$AD$26,MATCH(U91,BSFC!$B$4:$B$26,0),MATCH(G91,BSFC!$D$2:$AD$2,0))</f>
        <v>920.25590927999997</v>
      </c>
      <c r="W91" s="56">
        <f t="shared" si="22"/>
        <v>5.9389075527499745E-2</v>
      </c>
      <c r="X91" s="56">
        <f t="shared" si="18"/>
        <v>5.9389075527499745E-2</v>
      </c>
      <c r="Y91" s="56">
        <f t="shared" si="19"/>
        <v>0.18351224337997421</v>
      </c>
      <c r="Z91" s="79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x14ac:dyDescent="0.3">
      <c r="A92" s="55">
        <v>1</v>
      </c>
      <c r="B92" s="56" t="s">
        <v>102</v>
      </c>
      <c r="C92" s="56">
        <f t="shared" si="20"/>
        <v>89</v>
      </c>
      <c r="D92" s="56">
        <f t="shared" si="12"/>
        <v>29.998170000000002</v>
      </c>
      <c r="E92" s="94">
        <v>13.41</v>
      </c>
      <c r="F92" s="94">
        <f>($C$4/E92)+F91</f>
        <v>8.8475461339555181</v>
      </c>
      <c r="G92" s="56">
        <v>7000</v>
      </c>
      <c r="H92" s="56">
        <v>3</v>
      </c>
      <c r="I92" s="94">
        <f>E92-E91</f>
        <v>0</v>
      </c>
      <c r="J92" s="56">
        <f>(0.5*VEHICLE!$C$71*VEHICLE!$C$28*VEHICLE!$C$27*'Drive Cycle'!E92^2)</f>
        <v>159.97581505520998</v>
      </c>
      <c r="K92" s="56">
        <f>IF(A92=1,VEHICLE!$S$5,IF(A92=2,VEHICLE!$Q$5,IF(A92=3,VEHICLE!$R$5,IF(A92=4,VEHICLE!$P$5,1))))</f>
        <v>72.351594900000009</v>
      </c>
      <c r="L92" s="56">
        <v>0</v>
      </c>
      <c r="M92" s="56">
        <f t="shared" si="21"/>
        <v>0</v>
      </c>
      <c r="N92" s="56">
        <f t="shared" si="13"/>
        <v>0</v>
      </c>
      <c r="O92" s="56">
        <f t="shared" si="14"/>
        <v>0</v>
      </c>
      <c r="P92" s="56">
        <f t="shared" si="15"/>
        <v>232.32740995520999</v>
      </c>
      <c r="Q92" s="56">
        <f>IF(H92=1,I92*VEHICLE!$C$69,IF(H92=2,VEHICLE!$C$70*I92,IF(H92=3,VEHICLE!$C$71*I92,0)))</f>
        <v>0</v>
      </c>
      <c r="R92" s="56">
        <f>(J92+K92+O92+Q92)</f>
        <v>232.32740995520999</v>
      </c>
      <c r="S92" s="56">
        <f t="shared" si="16"/>
        <v>232.32740995520999</v>
      </c>
      <c r="T92" s="56">
        <f>ABS((R92)/((2*PI()*G92)/60))</f>
        <v>0.31693762037236189</v>
      </c>
      <c r="U92" s="56">
        <f t="shared" si="17"/>
        <v>1</v>
      </c>
      <c r="V92" s="56">
        <f>INDEX(BSFC!$D$4:$AD$26,MATCH(U92,BSFC!$B$4:$B$26,0),MATCH(G92,BSFC!$D$2:$AD$2,0))</f>
        <v>920.25590927999997</v>
      </c>
      <c r="W92" s="56">
        <f t="shared" si="22"/>
        <v>5.9389075527499745E-2</v>
      </c>
      <c r="X92" s="56">
        <f t="shared" si="18"/>
        <v>5.9389075527499745E-2</v>
      </c>
      <c r="Y92" s="56">
        <f t="shared" si="19"/>
        <v>0.18351224337997421</v>
      </c>
      <c r="Z92" s="79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x14ac:dyDescent="0.3">
      <c r="A93" s="55">
        <v>1</v>
      </c>
      <c r="B93" s="56" t="s">
        <v>102</v>
      </c>
      <c r="C93" s="56">
        <f t="shared" si="20"/>
        <v>90</v>
      </c>
      <c r="D93" s="56">
        <f t="shared" si="12"/>
        <v>29.998170000000002</v>
      </c>
      <c r="E93" s="94">
        <v>13.41</v>
      </c>
      <c r="F93" s="94">
        <f>($C$4/E93)+F92</f>
        <v>8.9221173494663315</v>
      </c>
      <c r="G93" s="56">
        <v>7000</v>
      </c>
      <c r="H93" s="56">
        <v>3</v>
      </c>
      <c r="I93" s="94">
        <f>E93-E92</f>
        <v>0</v>
      </c>
      <c r="J93" s="56">
        <f>(0.5*VEHICLE!$C$71*VEHICLE!$C$28*VEHICLE!$C$27*'Drive Cycle'!E93^2)</f>
        <v>159.97581505520998</v>
      </c>
      <c r="K93" s="56">
        <f>IF(A93=1,VEHICLE!$S$5,IF(A93=2,VEHICLE!$Q$5,IF(A93=3,VEHICLE!$R$5,IF(A93=4,VEHICLE!$P$5,1))))</f>
        <v>72.351594900000009</v>
      </c>
      <c r="L93" s="56">
        <v>0</v>
      </c>
      <c r="M93" s="56">
        <f t="shared" si="21"/>
        <v>0</v>
      </c>
      <c r="N93" s="56">
        <f t="shared" si="13"/>
        <v>0</v>
      </c>
      <c r="O93" s="56">
        <f t="shared" si="14"/>
        <v>0</v>
      </c>
      <c r="P93" s="56">
        <f t="shared" si="15"/>
        <v>232.32740995520999</v>
      </c>
      <c r="Q93" s="56">
        <f>IF(H93=1,I93*VEHICLE!$C$69,IF(H93=2,VEHICLE!$C$70*I93,IF(H93=3,VEHICLE!$C$71*I93,0)))</f>
        <v>0</v>
      </c>
      <c r="R93" s="56">
        <f>(J93+K93+O93+Q93)</f>
        <v>232.32740995520999</v>
      </c>
      <c r="S93" s="56">
        <f t="shared" si="16"/>
        <v>232.32740995520999</v>
      </c>
      <c r="T93" s="56">
        <f>ABS((R93)/((2*PI()*G93)/60))</f>
        <v>0.31693762037236189</v>
      </c>
      <c r="U93" s="56">
        <f t="shared" si="17"/>
        <v>1</v>
      </c>
      <c r="V93" s="56">
        <f>INDEX(BSFC!$D$4:$AD$26,MATCH(U93,BSFC!$B$4:$B$26,0),MATCH(G93,BSFC!$D$2:$AD$2,0))</f>
        <v>920.25590927999997</v>
      </c>
      <c r="W93" s="56">
        <f t="shared" si="22"/>
        <v>5.9389075527499745E-2</v>
      </c>
      <c r="X93" s="56">
        <f t="shared" si="18"/>
        <v>5.9389075527499745E-2</v>
      </c>
      <c r="Y93" s="56">
        <f t="shared" si="19"/>
        <v>0.18351224337997421</v>
      </c>
      <c r="Z93" s="79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x14ac:dyDescent="0.3">
      <c r="A94" s="55">
        <v>1</v>
      </c>
      <c r="B94" s="56" t="s">
        <v>102</v>
      </c>
      <c r="C94" s="56">
        <f t="shared" si="20"/>
        <v>91</v>
      </c>
      <c r="D94" s="56">
        <f t="shared" si="12"/>
        <v>29.998170000000002</v>
      </c>
      <c r="E94" s="94">
        <v>13.41</v>
      </c>
      <c r="F94" s="94">
        <f>($C$4/E94)+F93</f>
        <v>8.9966885649771449</v>
      </c>
      <c r="G94" s="56">
        <v>7000</v>
      </c>
      <c r="H94" s="56">
        <v>3</v>
      </c>
      <c r="I94" s="94">
        <f>E94-E93</f>
        <v>0</v>
      </c>
      <c r="J94" s="56">
        <f>(0.5*VEHICLE!$C$71*VEHICLE!$C$28*VEHICLE!$C$27*'Drive Cycle'!E94^2)</f>
        <v>159.97581505520998</v>
      </c>
      <c r="K94" s="56">
        <f>IF(A94=1,VEHICLE!$S$5,IF(A94=2,VEHICLE!$Q$5,IF(A94=3,VEHICLE!$R$5,IF(A94=4,VEHICLE!$P$5,1))))</f>
        <v>72.351594900000009</v>
      </c>
      <c r="L94" s="56">
        <v>0</v>
      </c>
      <c r="M94" s="56">
        <f t="shared" si="21"/>
        <v>0</v>
      </c>
      <c r="N94" s="56">
        <f t="shared" si="13"/>
        <v>0</v>
      </c>
      <c r="O94" s="56">
        <f t="shared" si="14"/>
        <v>0</v>
      </c>
      <c r="P94" s="56">
        <f t="shared" si="15"/>
        <v>232.32740995520999</v>
      </c>
      <c r="Q94" s="56">
        <f>IF(H94=1,I94*VEHICLE!$C$69,IF(H94=2,VEHICLE!$C$70*I94,IF(H94=3,VEHICLE!$C$71*I94,0)))</f>
        <v>0</v>
      </c>
      <c r="R94" s="56">
        <f>(J94+K94+O94+Q94)</f>
        <v>232.32740995520999</v>
      </c>
      <c r="S94" s="56">
        <f t="shared" si="16"/>
        <v>232.32740995520999</v>
      </c>
      <c r="T94" s="56">
        <f>ABS((R94)/((2*PI()*G94)/60))</f>
        <v>0.31693762037236189</v>
      </c>
      <c r="U94" s="56">
        <f t="shared" si="17"/>
        <v>1</v>
      </c>
      <c r="V94" s="56">
        <f>INDEX(BSFC!$D$4:$AD$26,MATCH(U94,BSFC!$B$4:$B$26,0),MATCH(G94,BSFC!$D$2:$AD$2,0))</f>
        <v>920.25590927999997</v>
      </c>
      <c r="W94" s="56">
        <f t="shared" si="22"/>
        <v>5.9389075527499745E-2</v>
      </c>
      <c r="X94" s="56">
        <f t="shared" si="18"/>
        <v>5.9389075527499745E-2</v>
      </c>
      <c r="Y94" s="56">
        <f t="shared" si="19"/>
        <v>0.18351224337997421</v>
      </c>
      <c r="Z94" s="79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x14ac:dyDescent="0.3">
      <c r="A95" s="55">
        <v>1</v>
      </c>
      <c r="B95" s="56" t="s">
        <v>102</v>
      </c>
      <c r="C95" s="56">
        <f t="shared" si="20"/>
        <v>92</v>
      </c>
      <c r="D95" s="56">
        <f t="shared" si="12"/>
        <v>29.998170000000002</v>
      </c>
      <c r="E95" s="94">
        <v>13.41</v>
      </c>
      <c r="F95" s="94">
        <f>($C$4/E95)+F94</f>
        <v>9.0712597804879582</v>
      </c>
      <c r="G95" s="56">
        <v>7000</v>
      </c>
      <c r="H95" s="56">
        <v>3</v>
      </c>
      <c r="I95" s="94">
        <f>E95-E94</f>
        <v>0</v>
      </c>
      <c r="J95" s="56">
        <f>(0.5*VEHICLE!$C$71*VEHICLE!$C$28*VEHICLE!$C$27*'Drive Cycle'!E95^2)</f>
        <v>159.97581505520998</v>
      </c>
      <c r="K95" s="56">
        <f>IF(A95=1,VEHICLE!$S$5,IF(A95=2,VEHICLE!$Q$5,IF(A95=3,VEHICLE!$R$5,IF(A95=4,VEHICLE!$P$5,1))))</f>
        <v>72.351594900000009</v>
      </c>
      <c r="L95" s="56">
        <v>0</v>
      </c>
      <c r="M95" s="56">
        <f t="shared" si="21"/>
        <v>0</v>
      </c>
      <c r="N95" s="56">
        <f t="shared" si="13"/>
        <v>0</v>
      </c>
      <c r="O95" s="56">
        <f t="shared" si="14"/>
        <v>0</v>
      </c>
      <c r="P95" s="56">
        <f t="shared" si="15"/>
        <v>232.32740995520999</v>
      </c>
      <c r="Q95" s="56">
        <f>IF(H95=1,I95*VEHICLE!$C$69,IF(H95=2,VEHICLE!$C$70*I95,IF(H95=3,VEHICLE!$C$71*I95,0)))</f>
        <v>0</v>
      </c>
      <c r="R95" s="56">
        <f>(J95+K95+O95+Q95)</f>
        <v>232.32740995520999</v>
      </c>
      <c r="S95" s="56">
        <f t="shared" si="16"/>
        <v>232.32740995520999</v>
      </c>
      <c r="T95" s="56">
        <f>ABS((R95)/((2*PI()*G95)/60))</f>
        <v>0.31693762037236189</v>
      </c>
      <c r="U95" s="56">
        <f t="shared" si="17"/>
        <v>1</v>
      </c>
      <c r="V95" s="56">
        <f>INDEX(BSFC!$D$4:$AD$26,MATCH(U95,BSFC!$B$4:$B$26,0),MATCH(G95,BSFC!$D$2:$AD$2,0))</f>
        <v>920.25590927999997</v>
      </c>
      <c r="W95" s="56">
        <f t="shared" si="22"/>
        <v>5.9389075527499745E-2</v>
      </c>
      <c r="X95" s="56">
        <f t="shared" si="18"/>
        <v>5.9389075527499745E-2</v>
      </c>
      <c r="Y95" s="56">
        <f t="shared" si="19"/>
        <v>0.18351224337997421</v>
      </c>
      <c r="Z95" s="79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x14ac:dyDescent="0.3">
      <c r="A96" s="55">
        <v>1</v>
      </c>
      <c r="B96" s="56" t="s">
        <v>102</v>
      </c>
      <c r="C96" s="56">
        <f t="shared" si="20"/>
        <v>93</v>
      </c>
      <c r="D96" s="56">
        <f t="shared" si="12"/>
        <v>29.081000000000003</v>
      </c>
      <c r="E96" s="94">
        <v>13</v>
      </c>
      <c r="F96" s="94">
        <f>($C$4/E96)+F95</f>
        <v>9.1481828574110349</v>
      </c>
      <c r="G96" s="56">
        <v>6500</v>
      </c>
      <c r="H96" s="56">
        <v>2</v>
      </c>
      <c r="I96" s="94">
        <f>E96-E95</f>
        <v>-0.41000000000000014</v>
      </c>
      <c r="J96" s="56">
        <f>(0.5*VEHICLE!$C$71*VEHICLE!$C$28*VEHICLE!$C$27*'Drive Cycle'!E96^2)</f>
        <v>150.34309289999999</v>
      </c>
      <c r="K96" s="56">
        <f>IF(A96=1,VEHICLE!$S$5,IF(A96=2,VEHICLE!$Q$5,IF(A96=3,VEHICLE!$R$5,IF(A96=4,VEHICLE!$P$5,1))))</f>
        <v>72.351594900000009</v>
      </c>
      <c r="L96" s="56">
        <f>L95+0.5</f>
        <v>0.5</v>
      </c>
      <c r="M96" s="56">
        <f t="shared" si="21"/>
        <v>0.5</v>
      </c>
      <c r="N96" s="56">
        <f t="shared" si="13"/>
        <v>26.56505117707799</v>
      </c>
      <c r="O96" s="56">
        <f t="shared" si="14"/>
        <v>193.03527636160186</v>
      </c>
      <c r="P96" s="56">
        <f t="shared" si="15"/>
        <v>415.72996416160186</v>
      </c>
      <c r="Q96" s="56">
        <f>IF(H96=1,I96*VEHICLE!$C$69,IF(H96=2,VEHICLE!$C$70*I96,IF(H96=3,VEHICLE!$C$71*I96,0)))</f>
        <v>-239.9108794773482</v>
      </c>
      <c r="R96" s="56">
        <f>(J96+K96+O96+Q96)</f>
        <v>175.81908468425365</v>
      </c>
      <c r="S96" s="56">
        <f t="shared" si="16"/>
        <v>175.81908468425365</v>
      </c>
      <c r="T96" s="56">
        <f>ABS((R96)/((2*PI()*G96)/60))</f>
        <v>0.25829978231438322</v>
      </c>
      <c r="U96" s="56">
        <f t="shared" si="17"/>
        <v>1</v>
      </c>
      <c r="V96" s="56">
        <f>INDEX(BSFC!$D$4:$AD$26,MATCH(U96,BSFC!$B$4:$B$26,0),MATCH(G96,BSFC!$D$2:$AD$2,0))</f>
        <v>925.65735288000019</v>
      </c>
      <c r="W96" s="56">
        <f t="shared" si="22"/>
        <v>4.5207841254058558E-2</v>
      </c>
      <c r="X96" s="56">
        <f t="shared" si="18"/>
        <v>4.5207841254058558E-2</v>
      </c>
      <c r="Y96" s="56">
        <f t="shared" si="19"/>
        <v>0.13969222947504092</v>
      </c>
      <c r="Z96" s="79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x14ac:dyDescent="0.3">
      <c r="A97" s="55">
        <v>1</v>
      </c>
      <c r="B97" s="56" t="s">
        <v>102</v>
      </c>
      <c r="C97" s="56">
        <f t="shared" si="20"/>
        <v>94</v>
      </c>
      <c r="D97" s="56">
        <f t="shared" si="12"/>
        <v>27.962500000000002</v>
      </c>
      <c r="E97" s="94">
        <v>12.5</v>
      </c>
      <c r="F97" s="94">
        <f>($C$4/E97)+F96</f>
        <v>9.2281828574110349</v>
      </c>
      <c r="G97" s="56">
        <v>6000</v>
      </c>
      <c r="H97" s="56">
        <v>2</v>
      </c>
      <c r="I97" s="94">
        <f>E97-E96</f>
        <v>-0.5</v>
      </c>
      <c r="J97" s="56">
        <f>(0.5*VEHICLE!$C$71*VEHICLE!$C$28*VEHICLE!$C$27*'Drive Cycle'!E97^2)</f>
        <v>139.00064062499999</v>
      </c>
      <c r="K97" s="56">
        <f>IF(A97=1,VEHICLE!$S$5,IF(A97=2,VEHICLE!$Q$5,IF(A97=3,VEHICLE!$R$5,IF(A97=4,VEHICLE!$P$5,1))))</f>
        <v>72.351594900000009</v>
      </c>
      <c r="L97" s="56">
        <f t="shared" ref="L97:L112" si="23">L96+0.5</f>
        <v>1</v>
      </c>
      <c r="M97" s="56">
        <f t="shared" si="21"/>
        <v>0.5</v>
      </c>
      <c r="N97" s="56">
        <f t="shared" si="13"/>
        <v>26.56505117707799</v>
      </c>
      <c r="O97" s="56">
        <f t="shared" si="14"/>
        <v>193.03527636160186</v>
      </c>
      <c r="P97" s="56">
        <f t="shared" si="15"/>
        <v>404.38751188660183</v>
      </c>
      <c r="Q97" s="56">
        <f>IF(H97=1,I97*VEHICLE!$C$69,IF(H97=2,VEHICLE!$C$70*I97,IF(H97=3,VEHICLE!$C$71*I97,0)))</f>
        <v>-292.57424326505867</v>
      </c>
      <c r="R97" s="56">
        <f>(J97+K97+O97+Q97)</f>
        <v>111.81326862154316</v>
      </c>
      <c r="S97" s="56">
        <f t="shared" si="16"/>
        <v>111.81326862154316</v>
      </c>
      <c r="T97" s="56">
        <f>ABS((R97)/((2*PI()*G97)/60))</f>
        <v>0.17795634404380509</v>
      </c>
      <c r="U97" s="56">
        <f t="shared" si="17"/>
        <v>1</v>
      </c>
      <c r="V97" s="56">
        <f>INDEX(BSFC!$D$4:$AD$26,MATCH(U97,BSFC!$B$4:$B$26,0),MATCH(G97,BSFC!$D$2:$AD$2,0))</f>
        <v>933.91499472000044</v>
      </c>
      <c r="W97" s="56">
        <f t="shared" si="22"/>
        <v>2.9006691159531799E-2</v>
      </c>
      <c r="X97" s="56">
        <f t="shared" si="18"/>
        <v>2.9006691159531799E-2</v>
      </c>
      <c r="Y97" s="56">
        <f t="shared" si="19"/>
        <v>8.9630675682953256E-2</v>
      </c>
      <c r="Z97" s="79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x14ac:dyDescent="0.3">
      <c r="A98" s="55">
        <v>1</v>
      </c>
      <c r="B98" s="56" t="s">
        <v>102</v>
      </c>
      <c r="C98" s="56">
        <f t="shared" si="20"/>
        <v>95</v>
      </c>
      <c r="D98" s="56">
        <f t="shared" si="12"/>
        <v>26.844000000000001</v>
      </c>
      <c r="E98" s="94">
        <v>12</v>
      </c>
      <c r="F98" s="94">
        <f>($C$4/E98)+F97</f>
        <v>9.3115161907443689</v>
      </c>
      <c r="G98" s="56">
        <v>5500</v>
      </c>
      <c r="H98" s="56">
        <v>2</v>
      </c>
      <c r="I98" s="94">
        <f>E98-E97</f>
        <v>-0.5</v>
      </c>
      <c r="J98" s="56">
        <f>(0.5*VEHICLE!$C$71*VEHICLE!$C$28*VEHICLE!$C$27*'Drive Cycle'!E98^2)</f>
        <v>128.10299039999998</v>
      </c>
      <c r="K98" s="56">
        <f>IF(A98=1,VEHICLE!$S$5,IF(A98=2,VEHICLE!$Q$5,IF(A98=3,VEHICLE!$R$5,IF(A98=4,VEHICLE!$P$5,1))))</f>
        <v>72.351594900000009</v>
      </c>
      <c r="L98" s="56">
        <f t="shared" si="23"/>
        <v>1.5</v>
      </c>
      <c r="M98" s="56">
        <f t="shared" si="21"/>
        <v>0.5</v>
      </c>
      <c r="N98" s="56">
        <f t="shared" si="13"/>
        <v>26.56505117707799</v>
      </c>
      <c r="O98" s="56">
        <f t="shared" si="14"/>
        <v>193.03527636160186</v>
      </c>
      <c r="P98" s="56">
        <f t="shared" si="15"/>
        <v>393.48986166160182</v>
      </c>
      <c r="Q98" s="56">
        <f>IF(H98=1,I98*VEHICLE!$C$69,IF(H98=2,VEHICLE!$C$70*I98,IF(H98=3,VEHICLE!$C$71*I98,0)))</f>
        <v>-292.57424326505867</v>
      </c>
      <c r="R98" s="56">
        <f>(J98+K98+O98+Q98)</f>
        <v>100.91561839654315</v>
      </c>
      <c r="S98" s="56">
        <f t="shared" si="16"/>
        <v>100.91561839654315</v>
      </c>
      <c r="T98" s="56">
        <f>ABS((R98)/((2*PI()*G98)/60))</f>
        <v>0.17521330366893006</v>
      </c>
      <c r="U98" s="56">
        <f t="shared" si="17"/>
        <v>1</v>
      </c>
      <c r="V98" s="56">
        <f>INDEX(BSFC!$D$4:$AD$26,MATCH(U98,BSFC!$B$4:$B$26,0),MATCH(G98,BSFC!$D$2:$AD$2,0))</f>
        <v>937.88833920000002</v>
      </c>
      <c r="W98" s="56">
        <f t="shared" si="22"/>
        <v>2.6290994927020788E-2</v>
      </c>
      <c r="X98" s="56">
        <f t="shared" si="18"/>
        <v>2.6290994927020788E-2</v>
      </c>
      <c r="Y98" s="56">
        <f t="shared" si="19"/>
        <v>8.1239174324494234E-2</v>
      </c>
      <c r="Z98" s="79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x14ac:dyDescent="0.3">
      <c r="A99" s="55">
        <v>1</v>
      </c>
      <c r="B99" s="56" t="s">
        <v>102</v>
      </c>
      <c r="C99" s="56">
        <f t="shared" si="20"/>
        <v>96</v>
      </c>
      <c r="D99" s="56">
        <f t="shared" si="12"/>
        <v>25.7255</v>
      </c>
      <c r="E99" s="94">
        <v>11.5</v>
      </c>
      <c r="F99" s="94">
        <f>($C$4/E99)+F98</f>
        <v>9.3984727124834997</v>
      </c>
      <c r="G99" s="56">
        <v>5250</v>
      </c>
      <c r="H99" s="56">
        <v>2</v>
      </c>
      <c r="I99" s="94">
        <f>E99-E98</f>
        <v>-0.5</v>
      </c>
      <c r="J99" s="56">
        <f>(0.5*VEHICLE!$C$71*VEHICLE!$C$28*VEHICLE!$C$27*'Drive Cycle'!E99^2)</f>
        <v>117.65014222499998</v>
      </c>
      <c r="K99" s="56">
        <f>IF(A99=1,VEHICLE!$S$5,IF(A99=2,VEHICLE!$Q$5,IF(A99=3,VEHICLE!$R$5,IF(A99=4,VEHICLE!$P$5,1))))</f>
        <v>72.351594900000009</v>
      </c>
      <c r="L99" s="56">
        <f t="shared" si="23"/>
        <v>2</v>
      </c>
      <c r="M99" s="56">
        <f t="shared" si="21"/>
        <v>0.5</v>
      </c>
      <c r="N99" s="56">
        <f t="shared" si="13"/>
        <v>26.56505117707799</v>
      </c>
      <c r="O99" s="56">
        <f t="shared" si="14"/>
        <v>193.03527636160186</v>
      </c>
      <c r="P99" s="56">
        <f t="shared" si="15"/>
        <v>383.03701348660184</v>
      </c>
      <c r="Q99" s="56">
        <f>IF(H99=1,I99*VEHICLE!$C$69,IF(H99=2,VEHICLE!$C$70*I99,IF(H99=3,VEHICLE!$C$71*I99,0)))</f>
        <v>-292.57424326505867</v>
      </c>
      <c r="R99" s="56">
        <f>(J99+K99+O99+Q99)</f>
        <v>90.462770221543167</v>
      </c>
      <c r="S99" s="56">
        <f t="shared" si="16"/>
        <v>90.462770221543167</v>
      </c>
      <c r="T99" s="56">
        <f>ABS((R99)/((2*PI()*G99)/60))</f>
        <v>0.16454396624622752</v>
      </c>
      <c r="U99" s="56">
        <f t="shared" si="17"/>
        <v>1</v>
      </c>
      <c r="V99" s="56">
        <f>INDEX(BSFC!$D$4:$AD$26,MATCH(U99,BSFC!$B$4:$B$26,0),MATCH(G99,BSFC!$D$2:$AD$2,0))</f>
        <v>959.82391135999978</v>
      </c>
      <c r="W99" s="56">
        <f t="shared" si="22"/>
        <v>2.4118980540695133E-2</v>
      </c>
      <c r="X99" s="56">
        <f t="shared" si="18"/>
        <v>2.4118980540695133E-2</v>
      </c>
      <c r="Y99" s="56">
        <f t="shared" si="19"/>
        <v>7.4527649870747961E-2</v>
      </c>
      <c r="Z99" s="79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x14ac:dyDescent="0.3">
      <c r="A100" s="55">
        <v>1</v>
      </c>
      <c r="B100" s="56" t="s">
        <v>102</v>
      </c>
      <c r="C100" s="56">
        <f t="shared" si="20"/>
        <v>97</v>
      </c>
      <c r="D100" s="56">
        <f t="shared" si="12"/>
        <v>24.606999999999999</v>
      </c>
      <c r="E100" s="94">
        <v>11</v>
      </c>
      <c r="F100" s="94">
        <f>($C$4/E100)+F99</f>
        <v>9.4893818033925914</v>
      </c>
      <c r="G100" s="56">
        <v>5250</v>
      </c>
      <c r="H100" s="56">
        <v>2</v>
      </c>
      <c r="I100" s="94">
        <f>E100-E99</f>
        <v>-0.5</v>
      </c>
      <c r="J100" s="56">
        <f>(0.5*VEHICLE!$C$71*VEHICLE!$C$28*VEHICLE!$C$27*'Drive Cycle'!E100^2)</f>
        <v>107.64209609999999</v>
      </c>
      <c r="K100" s="56">
        <f>IF(A100=1,VEHICLE!$S$5,IF(A100=2,VEHICLE!$Q$5,IF(A100=3,VEHICLE!$R$5,IF(A100=4,VEHICLE!$P$5,1))))</f>
        <v>72.351594900000009</v>
      </c>
      <c r="L100" s="56">
        <f t="shared" si="23"/>
        <v>2.5</v>
      </c>
      <c r="M100" s="56">
        <f t="shared" si="21"/>
        <v>0.5</v>
      </c>
      <c r="N100" s="56">
        <f t="shared" si="13"/>
        <v>26.56505117707799</v>
      </c>
      <c r="O100" s="56">
        <f t="shared" si="14"/>
        <v>193.03527636160186</v>
      </c>
      <c r="P100" s="56">
        <f t="shared" si="15"/>
        <v>373.02896736160187</v>
      </c>
      <c r="Q100" s="56">
        <f>IF(H100=1,I100*VEHICLE!$C$69,IF(H100=2,VEHICLE!$C$70*I100,IF(H100=3,VEHICLE!$C$71*I100,0)))</f>
        <v>-292.57424326505867</v>
      </c>
      <c r="R100" s="56">
        <f>(J100+K100+O100+Q100)</f>
        <v>80.454724096543202</v>
      </c>
      <c r="S100" s="56">
        <f t="shared" si="16"/>
        <v>80.454724096543202</v>
      </c>
      <c r="T100" s="56">
        <f>ABS((R100)/((2*PI()*G100)/60))</f>
        <v>0.146340194686394</v>
      </c>
      <c r="U100" s="56">
        <f t="shared" si="17"/>
        <v>1</v>
      </c>
      <c r="V100" s="56">
        <f>INDEX(BSFC!$D$4:$AD$26,MATCH(U100,BSFC!$B$4:$B$26,0),MATCH(G100,BSFC!$D$2:$AD$2,0))</f>
        <v>959.82391135999978</v>
      </c>
      <c r="W100" s="56">
        <f t="shared" si="22"/>
        <v>2.1450657769370478E-2</v>
      </c>
      <c r="X100" s="56">
        <f t="shared" si="18"/>
        <v>2.1450657769370478E-2</v>
      </c>
      <c r="Y100" s="56">
        <f t="shared" si="19"/>
        <v>6.6282532507354774E-2</v>
      </c>
      <c r="Z100" s="79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x14ac:dyDescent="0.3">
      <c r="A101" s="55">
        <v>1</v>
      </c>
      <c r="B101" s="56" t="s">
        <v>102</v>
      </c>
      <c r="C101" s="56">
        <f t="shared" si="20"/>
        <v>98</v>
      </c>
      <c r="D101" s="56">
        <f t="shared" si="12"/>
        <v>24.606999999999999</v>
      </c>
      <c r="E101" s="94">
        <v>11</v>
      </c>
      <c r="F101" s="94">
        <f>($C$4/E101)+F100</f>
        <v>9.5802908943016831</v>
      </c>
      <c r="G101" s="56">
        <v>5250</v>
      </c>
      <c r="H101" s="56">
        <v>2</v>
      </c>
      <c r="I101" s="94">
        <f>E101-E100</f>
        <v>0</v>
      </c>
      <c r="J101" s="56">
        <f>(0.5*VEHICLE!$C$71*VEHICLE!$C$28*VEHICLE!$C$27*'Drive Cycle'!E101^2)</f>
        <v>107.64209609999999</v>
      </c>
      <c r="K101" s="56">
        <f>IF(A101=1,VEHICLE!$S$5,IF(A101=2,VEHICLE!$Q$5,IF(A101=3,VEHICLE!$R$5,IF(A101=4,VEHICLE!$P$5,1))))</f>
        <v>72.351594900000009</v>
      </c>
      <c r="L101" s="56">
        <f t="shared" si="23"/>
        <v>3</v>
      </c>
      <c r="M101" s="56">
        <f t="shared" si="21"/>
        <v>0.5</v>
      </c>
      <c r="N101" s="56">
        <f t="shared" si="13"/>
        <v>26.56505117707799</v>
      </c>
      <c r="O101" s="56">
        <f t="shared" si="14"/>
        <v>193.03527636160186</v>
      </c>
      <c r="P101" s="56">
        <f t="shared" si="15"/>
        <v>373.02896736160187</v>
      </c>
      <c r="Q101" s="56">
        <f>IF(H101=1,I101*VEHICLE!$C$69,IF(H101=2,VEHICLE!$C$70*I101,IF(H101=3,VEHICLE!$C$71*I101,0)))</f>
        <v>0</v>
      </c>
      <c r="R101" s="56">
        <f>(J101+K101+O101+Q101)</f>
        <v>373.02896736160187</v>
      </c>
      <c r="S101" s="56">
        <f t="shared" si="16"/>
        <v>373.02896736160187</v>
      </c>
      <c r="T101" s="56">
        <f>ABS((R101)/((2*PI()*G101)/60))</f>
        <v>0.67850747510930554</v>
      </c>
      <c r="U101" s="56">
        <f t="shared" si="17"/>
        <v>1</v>
      </c>
      <c r="V101" s="56">
        <f>INDEX(BSFC!$D$4:$AD$26,MATCH(U101,BSFC!$B$4:$B$26,0),MATCH(G101,BSFC!$D$2:$AD$2,0))</f>
        <v>959.82391135999978</v>
      </c>
      <c r="W101" s="56">
        <f t="shared" si="22"/>
        <v>9.945614513988732E-2</v>
      </c>
      <c r="X101" s="56">
        <f t="shared" si="18"/>
        <v>9.945614513988732E-2</v>
      </c>
      <c r="Y101" s="56">
        <f t="shared" si="19"/>
        <v>0.30731948848225182</v>
      </c>
      <c r="Z101" s="79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x14ac:dyDescent="0.3">
      <c r="A102" s="55">
        <v>1</v>
      </c>
      <c r="B102" s="56" t="s">
        <v>102</v>
      </c>
      <c r="C102" s="56">
        <f t="shared" si="20"/>
        <v>99</v>
      </c>
      <c r="D102" s="56">
        <f t="shared" si="12"/>
        <v>24.606999999999999</v>
      </c>
      <c r="E102" s="94">
        <v>11</v>
      </c>
      <c r="F102" s="94">
        <f>($C$4/E102)+F101</f>
        <v>9.6711999852107748</v>
      </c>
      <c r="G102" s="56">
        <v>5250</v>
      </c>
      <c r="H102" s="56">
        <v>2</v>
      </c>
      <c r="I102" s="94">
        <f>E102-E101</f>
        <v>0</v>
      </c>
      <c r="J102" s="56">
        <f>(0.5*VEHICLE!$C$71*VEHICLE!$C$28*VEHICLE!$C$27*'Drive Cycle'!E102^2)</f>
        <v>107.64209609999999</v>
      </c>
      <c r="K102" s="56">
        <f>IF(A102=1,VEHICLE!$S$5,IF(A102=2,VEHICLE!$Q$5,IF(A102=3,VEHICLE!$R$5,IF(A102=4,VEHICLE!$P$5,1))))</f>
        <v>72.351594900000009</v>
      </c>
      <c r="L102" s="56">
        <f t="shared" si="23"/>
        <v>3.5</v>
      </c>
      <c r="M102" s="56">
        <f t="shared" si="21"/>
        <v>0.5</v>
      </c>
      <c r="N102" s="56">
        <f t="shared" si="13"/>
        <v>26.56505117707799</v>
      </c>
      <c r="O102" s="56">
        <f t="shared" si="14"/>
        <v>193.03527636160186</v>
      </c>
      <c r="P102" s="56">
        <f t="shared" si="15"/>
        <v>373.02896736160187</v>
      </c>
      <c r="Q102" s="56">
        <f>IF(H102=1,I102*VEHICLE!$C$69,IF(H102=2,VEHICLE!$C$70*I102,IF(H102=3,VEHICLE!$C$71*I102,0)))</f>
        <v>0</v>
      </c>
      <c r="R102" s="56">
        <f>(J102+K102+O102+Q102)</f>
        <v>373.02896736160187</v>
      </c>
      <c r="S102" s="56">
        <f t="shared" si="16"/>
        <v>373.02896736160187</v>
      </c>
      <c r="T102" s="56">
        <f>ABS((R102)/((2*PI()*G102)/60))</f>
        <v>0.67850747510930554</v>
      </c>
      <c r="U102" s="56">
        <f t="shared" si="17"/>
        <v>1</v>
      </c>
      <c r="V102" s="56">
        <f>INDEX(BSFC!$D$4:$AD$26,MATCH(U102,BSFC!$B$4:$B$26,0),MATCH(G102,BSFC!$D$2:$AD$2,0))</f>
        <v>959.82391135999978</v>
      </c>
      <c r="W102" s="56">
        <f t="shared" si="22"/>
        <v>9.945614513988732E-2</v>
      </c>
      <c r="X102" s="56">
        <f t="shared" si="18"/>
        <v>9.945614513988732E-2</v>
      </c>
      <c r="Y102" s="56">
        <f t="shared" si="19"/>
        <v>0.30731948848225182</v>
      </c>
      <c r="Z102" s="79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x14ac:dyDescent="0.3">
      <c r="A103" s="55">
        <v>1</v>
      </c>
      <c r="B103" s="56" t="s">
        <v>102</v>
      </c>
      <c r="C103" s="56">
        <f t="shared" si="20"/>
        <v>100</v>
      </c>
      <c r="D103" s="56">
        <f t="shared" si="12"/>
        <v>24.606999999999999</v>
      </c>
      <c r="E103" s="94">
        <v>11</v>
      </c>
      <c r="F103" s="94">
        <f>($C$4/E103)+F102</f>
        <v>9.7621090761198666</v>
      </c>
      <c r="G103" s="56">
        <v>5250</v>
      </c>
      <c r="H103" s="56">
        <v>2</v>
      </c>
      <c r="I103" s="94">
        <f>E103-E102</f>
        <v>0</v>
      </c>
      <c r="J103" s="56">
        <f>(0.5*VEHICLE!$C$71*VEHICLE!$C$28*VEHICLE!$C$27*'Drive Cycle'!E103^2)</f>
        <v>107.64209609999999</v>
      </c>
      <c r="K103" s="56">
        <f>IF(A103=1,VEHICLE!$S$5,IF(A103=2,VEHICLE!$Q$5,IF(A103=3,VEHICLE!$R$5,IF(A103=4,VEHICLE!$P$5,1))))</f>
        <v>72.351594900000009</v>
      </c>
      <c r="L103" s="56">
        <f t="shared" si="23"/>
        <v>4</v>
      </c>
      <c r="M103" s="56">
        <f t="shared" si="21"/>
        <v>0.5</v>
      </c>
      <c r="N103" s="56">
        <f t="shared" si="13"/>
        <v>26.56505117707799</v>
      </c>
      <c r="O103" s="56">
        <f t="shared" si="14"/>
        <v>193.03527636160186</v>
      </c>
      <c r="P103" s="56">
        <f t="shared" si="15"/>
        <v>373.02896736160187</v>
      </c>
      <c r="Q103" s="56">
        <f>IF(H103=1,I103*VEHICLE!$C$69,IF(H103=2,VEHICLE!$C$70*I103,IF(H103=3,VEHICLE!$C$71*I103,0)))</f>
        <v>0</v>
      </c>
      <c r="R103" s="56">
        <f>(J103+K103+O103+Q103)</f>
        <v>373.02896736160187</v>
      </c>
      <c r="S103" s="56">
        <f t="shared" si="16"/>
        <v>373.02896736160187</v>
      </c>
      <c r="T103" s="56">
        <f>ABS((R103)/((2*PI()*G103)/60))</f>
        <v>0.67850747510930554</v>
      </c>
      <c r="U103" s="56">
        <f t="shared" si="17"/>
        <v>1</v>
      </c>
      <c r="V103" s="56">
        <f>INDEX(BSFC!$D$4:$AD$26,MATCH(U103,BSFC!$B$4:$B$26,0),MATCH(G103,BSFC!$D$2:$AD$2,0))</f>
        <v>959.82391135999978</v>
      </c>
      <c r="W103" s="56">
        <f t="shared" si="22"/>
        <v>9.945614513988732E-2</v>
      </c>
      <c r="X103" s="56">
        <f t="shared" si="18"/>
        <v>9.945614513988732E-2</v>
      </c>
      <c r="Y103" s="56">
        <f t="shared" si="19"/>
        <v>0.30731948848225182</v>
      </c>
      <c r="Z103" s="79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x14ac:dyDescent="0.3">
      <c r="A104" s="55">
        <v>1</v>
      </c>
      <c r="B104" s="56" t="s">
        <v>102</v>
      </c>
      <c r="C104" s="56">
        <f t="shared" si="20"/>
        <v>101</v>
      </c>
      <c r="D104" s="56">
        <f t="shared" si="12"/>
        <v>24.606999999999999</v>
      </c>
      <c r="E104" s="94">
        <v>11</v>
      </c>
      <c r="F104" s="94">
        <f>($C$4/E104)+F103</f>
        <v>9.8530181670289583</v>
      </c>
      <c r="G104" s="56">
        <v>5250</v>
      </c>
      <c r="H104" s="56">
        <v>2</v>
      </c>
      <c r="I104" s="94">
        <f>E104-E103</f>
        <v>0</v>
      </c>
      <c r="J104" s="56">
        <f>(0.5*VEHICLE!$C$71*VEHICLE!$C$28*VEHICLE!$C$27*'Drive Cycle'!E104^2)</f>
        <v>107.64209609999999</v>
      </c>
      <c r="K104" s="56">
        <f>IF(A104=1,VEHICLE!$S$5,IF(A104=2,VEHICLE!$Q$5,IF(A104=3,VEHICLE!$R$5,IF(A104=4,VEHICLE!$P$5,1))))</f>
        <v>72.351594900000009</v>
      </c>
      <c r="L104" s="56">
        <f t="shared" si="23"/>
        <v>4.5</v>
      </c>
      <c r="M104" s="56">
        <f t="shared" si="21"/>
        <v>0.5</v>
      </c>
      <c r="N104" s="56">
        <f t="shared" si="13"/>
        <v>26.56505117707799</v>
      </c>
      <c r="O104" s="56">
        <f t="shared" si="14"/>
        <v>193.03527636160186</v>
      </c>
      <c r="P104" s="56">
        <f t="shared" si="15"/>
        <v>373.02896736160187</v>
      </c>
      <c r="Q104" s="56">
        <f>IF(H104=1,I104*VEHICLE!$C$69,IF(H104=2,VEHICLE!$C$70*I104,IF(H104=3,VEHICLE!$C$71*I104,0)))</f>
        <v>0</v>
      </c>
      <c r="R104" s="56">
        <f>(J104+K104+O104+Q104)</f>
        <v>373.02896736160187</v>
      </c>
      <c r="S104" s="56">
        <f t="shared" si="16"/>
        <v>373.02896736160187</v>
      </c>
      <c r="T104" s="56">
        <f>ABS((R104)/((2*PI()*G104)/60))</f>
        <v>0.67850747510930554</v>
      </c>
      <c r="U104" s="56">
        <f t="shared" si="17"/>
        <v>1</v>
      </c>
      <c r="V104" s="56">
        <f>INDEX(BSFC!$D$4:$AD$26,MATCH(U104,BSFC!$B$4:$B$26,0),MATCH(G104,BSFC!$D$2:$AD$2,0))</f>
        <v>959.82391135999978</v>
      </c>
      <c r="W104" s="56">
        <f t="shared" si="22"/>
        <v>9.945614513988732E-2</v>
      </c>
      <c r="X104" s="56">
        <f t="shared" si="18"/>
        <v>9.945614513988732E-2</v>
      </c>
      <c r="Y104" s="56">
        <f t="shared" si="19"/>
        <v>0.30731948848225182</v>
      </c>
      <c r="Z104" s="79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x14ac:dyDescent="0.3">
      <c r="A105" s="55">
        <v>1</v>
      </c>
      <c r="B105" s="56" t="s">
        <v>102</v>
      </c>
      <c r="C105" s="56">
        <f t="shared" si="20"/>
        <v>102</v>
      </c>
      <c r="D105" s="56">
        <f t="shared" si="12"/>
        <v>24.606999999999999</v>
      </c>
      <c r="E105" s="94">
        <v>11</v>
      </c>
      <c r="F105" s="94">
        <f>($C$4/E105)+F104</f>
        <v>9.94392725793805</v>
      </c>
      <c r="G105" s="56">
        <v>5250</v>
      </c>
      <c r="H105" s="56">
        <v>2</v>
      </c>
      <c r="I105" s="94">
        <f>E105-E104</f>
        <v>0</v>
      </c>
      <c r="J105" s="56">
        <f>(0.5*VEHICLE!$C$71*VEHICLE!$C$28*VEHICLE!$C$27*'Drive Cycle'!E105^2)</f>
        <v>107.64209609999999</v>
      </c>
      <c r="K105" s="56">
        <f>IF(A105=1,VEHICLE!$S$5,IF(A105=2,VEHICLE!$Q$5,IF(A105=3,VEHICLE!$R$5,IF(A105=4,VEHICLE!$P$5,1))))</f>
        <v>72.351594900000009</v>
      </c>
      <c r="L105" s="56">
        <f t="shared" si="23"/>
        <v>5</v>
      </c>
      <c r="M105" s="56">
        <f t="shared" si="21"/>
        <v>0.5</v>
      </c>
      <c r="N105" s="56">
        <f t="shared" si="13"/>
        <v>26.56505117707799</v>
      </c>
      <c r="O105" s="56">
        <f t="shared" si="14"/>
        <v>193.03527636160186</v>
      </c>
      <c r="P105" s="56">
        <f t="shared" si="15"/>
        <v>373.02896736160187</v>
      </c>
      <c r="Q105" s="56">
        <f>IF(H105=1,I105*VEHICLE!$C$69,IF(H105=2,VEHICLE!$C$70*I105,IF(H105=3,VEHICLE!$C$71*I105,0)))</f>
        <v>0</v>
      </c>
      <c r="R105" s="56">
        <f>(J105+K105+O105+Q105)</f>
        <v>373.02896736160187</v>
      </c>
      <c r="S105" s="56">
        <f t="shared" si="16"/>
        <v>373.02896736160187</v>
      </c>
      <c r="T105" s="56">
        <f>ABS((R105)/((2*PI()*G105)/60))</f>
        <v>0.67850747510930554</v>
      </c>
      <c r="U105" s="56">
        <f t="shared" si="17"/>
        <v>1</v>
      </c>
      <c r="V105" s="56">
        <f>INDEX(BSFC!$D$4:$AD$26,MATCH(U105,BSFC!$B$4:$B$26,0),MATCH(G105,BSFC!$D$2:$AD$2,0))</f>
        <v>959.82391135999978</v>
      </c>
      <c r="W105" s="56">
        <f t="shared" si="22"/>
        <v>9.945614513988732E-2</v>
      </c>
      <c r="X105" s="56">
        <f t="shared" si="18"/>
        <v>9.945614513988732E-2</v>
      </c>
      <c r="Y105" s="56">
        <f t="shared" si="19"/>
        <v>0.30731948848225182</v>
      </c>
      <c r="Z105" s="79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x14ac:dyDescent="0.3">
      <c r="A106" s="55">
        <v>1</v>
      </c>
      <c r="B106" s="56" t="s">
        <v>102</v>
      </c>
      <c r="C106" s="56">
        <f t="shared" si="20"/>
        <v>103</v>
      </c>
      <c r="D106" s="56">
        <f t="shared" si="12"/>
        <v>24.606999999999999</v>
      </c>
      <c r="E106" s="94">
        <v>11</v>
      </c>
      <c r="F106" s="94">
        <f>($C$4/E106)+F105</f>
        <v>10.034836348847142</v>
      </c>
      <c r="G106" s="56">
        <v>5250</v>
      </c>
      <c r="H106" s="56">
        <v>2</v>
      </c>
      <c r="I106" s="94">
        <f>E106-E105</f>
        <v>0</v>
      </c>
      <c r="J106" s="56">
        <f>(0.5*VEHICLE!$C$71*VEHICLE!$C$28*VEHICLE!$C$27*'Drive Cycle'!E106^2)</f>
        <v>107.64209609999999</v>
      </c>
      <c r="K106" s="56">
        <f>IF(A106=1,VEHICLE!$S$5,IF(A106=2,VEHICLE!$Q$5,IF(A106=3,VEHICLE!$R$5,IF(A106=4,VEHICLE!$P$5,1))))</f>
        <v>72.351594900000009</v>
      </c>
      <c r="L106" s="56">
        <f>L105+0.5</f>
        <v>5.5</v>
      </c>
      <c r="M106" s="56">
        <f t="shared" si="21"/>
        <v>0.5</v>
      </c>
      <c r="N106" s="56">
        <f t="shared" si="13"/>
        <v>26.56505117707799</v>
      </c>
      <c r="O106" s="56">
        <f t="shared" si="14"/>
        <v>193.03527636160186</v>
      </c>
      <c r="P106" s="56">
        <f t="shared" si="15"/>
        <v>373.02896736160187</v>
      </c>
      <c r="Q106" s="56">
        <f>IF(H106=1,I106*VEHICLE!$C$69,IF(H106=2,VEHICLE!$C$70*I106,IF(H106=3,VEHICLE!$C$71*I106,0)))</f>
        <v>0</v>
      </c>
      <c r="R106" s="56">
        <f>(J106+K106+O106+Q106)</f>
        <v>373.02896736160187</v>
      </c>
      <c r="S106" s="56">
        <f t="shared" si="16"/>
        <v>373.02896736160187</v>
      </c>
      <c r="T106" s="56">
        <f>ABS((R106)/((2*PI()*G106)/60))</f>
        <v>0.67850747510930554</v>
      </c>
      <c r="U106" s="56">
        <f t="shared" si="17"/>
        <v>1</v>
      </c>
      <c r="V106" s="56">
        <f>INDEX(BSFC!$D$4:$AD$26,MATCH(U106,BSFC!$B$4:$B$26,0),MATCH(G106,BSFC!$D$2:$AD$2,0))</f>
        <v>959.82391135999978</v>
      </c>
      <c r="W106" s="56">
        <f t="shared" si="22"/>
        <v>9.945614513988732E-2</v>
      </c>
      <c r="X106" s="56">
        <f t="shared" si="18"/>
        <v>9.945614513988732E-2</v>
      </c>
      <c r="Y106" s="56">
        <f t="shared" si="19"/>
        <v>0.30731948848225182</v>
      </c>
      <c r="Z106" s="79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x14ac:dyDescent="0.3">
      <c r="A107" s="55">
        <v>1</v>
      </c>
      <c r="B107" s="56" t="s">
        <v>102</v>
      </c>
      <c r="C107" s="56">
        <f t="shared" si="20"/>
        <v>104</v>
      </c>
      <c r="D107" s="56">
        <f t="shared" si="12"/>
        <v>24.606999999999999</v>
      </c>
      <c r="E107" s="94">
        <v>11</v>
      </c>
      <c r="F107" s="94">
        <f>($C$4/E107)+F106</f>
        <v>10.125745439756233</v>
      </c>
      <c r="G107" s="56">
        <v>5250</v>
      </c>
      <c r="H107" s="56">
        <v>2</v>
      </c>
      <c r="I107" s="94">
        <f>E107-E106</f>
        <v>0</v>
      </c>
      <c r="J107" s="56">
        <f>(0.5*VEHICLE!$C$71*VEHICLE!$C$28*VEHICLE!$C$27*'Drive Cycle'!E107^2)</f>
        <v>107.64209609999999</v>
      </c>
      <c r="K107" s="56">
        <f>IF(A107=1,VEHICLE!$S$5,IF(A107=2,VEHICLE!$Q$5,IF(A107=3,VEHICLE!$R$5,IF(A107=4,VEHICLE!$P$5,1))))</f>
        <v>72.351594900000009</v>
      </c>
      <c r="L107" s="56">
        <f t="shared" si="23"/>
        <v>6</v>
      </c>
      <c r="M107" s="56">
        <f t="shared" si="21"/>
        <v>0.5</v>
      </c>
      <c r="N107" s="56">
        <f t="shared" si="13"/>
        <v>26.56505117707799</v>
      </c>
      <c r="O107" s="56">
        <f t="shared" si="14"/>
        <v>193.03527636160186</v>
      </c>
      <c r="P107" s="56">
        <f t="shared" si="15"/>
        <v>373.02896736160187</v>
      </c>
      <c r="Q107" s="56">
        <f>IF(H107=1,I107*VEHICLE!$C$69,IF(H107=2,VEHICLE!$C$70*I107,IF(H107=3,VEHICLE!$C$71*I107,0)))</f>
        <v>0</v>
      </c>
      <c r="R107" s="56">
        <f>(J107+K107+O107+Q107)</f>
        <v>373.02896736160187</v>
      </c>
      <c r="S107" s="56">
        <f t="shared" si="16"/>
        <v>373.02896736160187</v>
      </c>
      <c r="T107" s="56">
        <f>ABS((R107)/((2*PI()*G107)/60))</f>
        <v>0.67850747510930554</v>
      </c>
      <c r="U107" s="56">
        <f t="shared" si="17"/>
        <v>1</v>
      </c>
      <c r="V107" s="56">
        <f>INDEX(BSFC!$D$4:$AD$26,MATCH(U107,BSFC!$B$4:$B$26,0),MATCH(G107,BSFC!$D$2:$AD$2,0))</f>
        <v>959.82391135999978</v>
      </c>
      <c r="W107" s="56">
        <f t="shared" si="22"/>
        <v>9.945614513988732E-2</v>
      </c>
      <c r="X107" s="56">
        <f t="shared" si="18"/>
        <v>9.945614513988732E-2</v>
      </c>
      <c r="Y107" s="56">
        <f t="shared" si="19"/>
        <v>0.30731948848225182</v>
      </c>
      <c r="Z107" s="79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x14ac:dyDescent="0.3">
      <c r="A108" s="55">
        <v>1</v>
      </c>
      <c r="B108" s="56" t="s">
        <v>102</v>
      </c>
      <c r="C108" s="56">
        <f t="shared" si="20"/>
        <v>105</v>
      </c>
      <c r="D108" s="56">
        <f t="shared" si="12"/>
        <v>24.606999999999999</v>
      </c>
      <c r="E108" s="94">
        <v>11</v>
      </c>
      <c r="F108" s="94">
        <f>($C$4/E108)+F107</f>
        <v>10.216654530665325</v>
      </c>
      <c r="G108" s="56">
        <v>5250</v>
      </c>
      <c r="H108" s="56">
        <v>2</v>
      </c>
      <c r="I108" s="94">
        <f>E108-E107</f>
        <v>0</v>
      </c>
      <c r="J108" s="56">
        <f>(0.5*VEHICLE!$C$71*VEHICLE!$C$28*VEHICLE!$C$27*'Drive Cycle'!E108^2)</f>
        <v>107.64209609999999</v>
      </c>
      <c r="K108" s="56">
        <f>IF(A108=1,VEHICLE!$S$5,IF(A108=2,VEHICLE!$Q$5,IF(A108=3,VEHICLE!$R$5,IF(A108=4,VEHICLE!$P$5,1))))</f>
        <v>72.351594900000009</v>
      </c>
      <c r="L108" s="56">
        <f t="shared" si="23"/>
        <v>6.5</v>
      </c>
      <c r="M108" s="56">
        <f t="shared" si="21"/>
        <v>0.5</v>
      </c>
      <c r="N108" s="56">
        <f t="shared" si="13"/>
        <v>26.56505117707799</v>
      </c>
      <c r="O108" s="56">
        <f t="shared" si="14"/>
        <v>193.03527636160186</v>
      </c>
      <c r="P108" s="56">
        <f t="shared" si="15"/>
        <v>373.02896736160187</v>
      </c>
      <c r="Q108" s="56">
        <f>IF(H108=1,I108*VEHICLE!$C$69,IF(H108=2,VEHICLE!$C$70*I108,IF(H108=3,VEHICLE!$C$71*I108,0)))</f>
        <v>0</v>
      </c>
      <c r="R108" s="56">
        <f>(J108+K108+O108+Q108)</f>
        <v>373.02896736160187</v>
      </c>
      <c r="S108" s="56">
        <f t="shared" si="16"/>
        <v>373.02896736160187</v>
      </c>
      <c r="T108" s="56">
        <f>ABS((R108)/((2*PI()*G108)/60))</f>
        <v>0.67850747510930554</v>
      </c>
      <c r="U108" s="56">
        <f t="shared" si="17"/>
        <v>1</v>
      </c>
      <c r="V108" s="56">
        <f>INDEX(BSFC!$D$4:$AD$26,MATCH(U108,BSFC!$B$4:$B$26,0),MATCH(G108,BSFC!$D$2:$AD$2,0))</f>
        <v>959.82391135999978</v>
      </c>
      <c r="W108" s="56">
        <f t="shared" si="22"/>
        <v>9.945614513988732E-2</v>
      </c>
      <c r="X108" s="56">
        <f t="shared" si="18"/>
        <v>9.945614513988732E-2</v>
      </c>
      <c r="Y108" s="56">
        <f t="shared" si="19"/>
        <v>0.30731948848225182</v>
      </c>
      <c r="Z108" s="79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x14ac:dyDescent="0.3">
      <c r="A109" s="55">
        <v>1</v>
      </c>
      <c r="B109" s="56" t="s">
        <v>102</v>
      </c>
      <c r="C109" s="56">
        <f t="shared" si="20"/>
        <v>106</v>
      </c>
      <c r="D109" s="56">
        <f t="shared" si="12"/>
        <v>24.606999999999999</v>
      </c>
      <c r="E109" s="94">
        <v>11</v>
      </c>
      <c r="F109" s="94">
        <f>($C$4/E109)+F108</f>
        <v>10.307563621574417</v>
      </c>
      <c r="G109" s="56">
        <v>5250</v>
      </c>
      <c r="H109" s="56">
        <v>2</v>
      </c>
      <c r="I109" s="94">
        <f>E109-E108</f>
        <v>0</v>
      </c>
      <c r="J109" s="56">
        <f>(0.5*VEHICLE!$C$71*VEHICLE!$C$28*VEHICLE!$C$27*'Drive Cycle'!E109^2)</f>
        <v>107.64209609999999</v>
      </c>
      <c r="K109" s="56">
        <f>IF(A109=1,VEHICLE!$S$5,IF(A109=2,VEHICLE!$Q$5,IF(A109=3,VEHICLE!$R$5,IF(A109=4,VEHICLE!$P$5,1))))</f>
        <v>72.351594900000009</v>
      </c>
      <c r="L109" s="56">
        <f t="shared" si="23"/>
        <v>7</v>
      </c>
      <c r="M109" s="56">
        <f t="shared" si="21"/>
        <v>0.5</v>
      </c>
      <c r="N109" s="56">
        <f t="shared" si="13"/>
        <v>26.56505117707799</v>
      </c>
      <c r="O109" s="56">
        <f t="shared" si="14"/>
        <v>193.03527636160186</v>
      </c>
      <c r="P109" s="56">
        <f t="shared" si="15"/>
        <v>373.02896736160187</v>
      </c>
      <c r="Q109" s="56">
        <f>IF(H109=1,I109*VEHICLE!$C$69,IF(H109=2,VEHICLE!$C$70*I109,IF(H109=3,VEHICLE!$C$71*I109,0)))</f>
        <v>0</v>
      </c>
      <c r="R109" s="56">
        <f>(J109+K109+O109+Q109)</f>
        <v>373.02896736160187</v>
      </c>
      <c r="S109" s="56">
        <f t="shared" si="16"/>
        <v>373.02896736160187</v>
      </c>
      <c r="T109" s="56">
        <f>ABS((R109)/((2*PI()*G109)/60))</f>
        <v>0.67850747510930554</v>
      </c>
      <c r="U109" s="56">
        <f t="shared" si="17"/>
        <v>1</v>
      </c>
      <c r="V109" s="56">
        <f>INDEX(BSFC!$D$4:$AD$26,MATCH(U109,BSFC!$B$4:$B$26,0),MATCH(G109,BSFC!$D$2:$AD$2,0))</f>
        <v>959.82391135999978</v>
      </c>
      <c r="W109" s="56">
        <f t="shared" si="22"/>
        <v>9.945614513988732E-2</v>
      </c>
      <c r="X109" s="56">
        <f t="shared" si="18"/>
        <v>9.945614513988732E-2</v>
      </c>
      <c r="Y109" s="56">
        <f t="shared" si="19"/>
        <v>0.30731948848225182</v>
      </c>
      <c r="Z109" s="79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x14ac:dyDescent="0.3">
      <c r="A110" s="55">
        <v>1</v>
      </c>
      <c r="B110" s="56" t="s">
        <v>102</v>
      </c>
      <c r="C110" s="56">
        <f t="shared" si="20"/>
        <v>107</v>
      </c>
      <c r="D110" s="56">
        <f t="shared" si="12"/>
        <v>24.606999999999999</v>
      </c>
      <c r="E110" s="94">
        <v>11</v>
      </c>
      <c r="F110" s="94">
        <f>($C$4/E110)+F109</f>
        <v>10.398472712483509</v>
      </c>
      <c r="G110" s="56">
        <v>5250</v>
      </c>
      <c r="H110" s="56">
        <v>2</v>
      </c>
      <c r="I110" s="94">
        <f>E110-E109</f>
        <v>0</v>
      </c>
      <c r="J110" s="56">
        <f>(0.5*VEHICLE!$C$71*VEHICLE!$C$28*VEHICLE!$C$27*'Drive Cycle'!E110^2)</f>
        <v>107.64209609999999</v>
      </c>
      <c r="K110" s="56">
        <f>IF(A110=1,VEHICLE!$S$5,IF(A110=2,VEHICLE!$Q$5,IF(A110=3,VEHICLE!$R$5,IF(A110=4,VEHICLE!$P$5,1))))</f>
        <v>72.351594900000009</v>
      </c>
      <c r="L110" s="56">
        <f t="shared" si="23"/>
        <v>7.5</v>
      </c>
      <c r="M110" s="56">
        <f t="shared" si="21"/>
        <v>0.5</v>
      </c>
      <c r="N110" s="56">
        <f t="shared" si="13"/>
        <v>26.56505117707799</v>
      </c>
      <c r="O110" s="56">
        <f t="shared" si="14"/>
        <v>193.03527636160186</v>
      </c>
      <c r="P110" s="56">
        <f t="shared" si="15"/>
        <v>373.02896736160187</v>
      </c>
      <c r="Q110" s="56">
        <f>IF(H110=1,I110*VEHICLE!$C$69,IF(H110=2,VEHICLE!$C$70*I110,IF(H110=3,VEHICLE!$C$71*I110,0)))</f>
        <v>0</v>
      </c>
      <c r="R110" s="56">
        <f>(J110+K110+O110+Q110)</f>
        <v>373.02896736160187</v>
      </c>
      <c r="S110" s="56">
        <f t="shared" si="16"/>
        <v>373.02896736160187</v>
      </c>
      <c r="T110" s="56">
        <f>ABS((R110)/((2*PI()*G110)/60))</f>
        <v>0.67850747510930554</v>
      </c>
      <c r="U110" s="56">
        <f t="shared" si="17"/>
        <v>1</v>
      </c>
      <c r="V110" s="56">
        <f>INDEX(BSFC!$D$4:$AD$26,MATCH(U110,BSFC!$B$4:$B$26,0),MATCH(G110,BSFC!$D$2:$AD$2,0))</f>
        <v>959.82391135999978</v>
      </c>
      <c r="W110" s="56">
        <f t="shared" si="22"/>
        <v>9.945614513988732E-2</v>
      </c>
      <c r="X110" s="56">
        <f t="shared" si="18"/>
        <v>9.945614513988732E-2</v>
      </c>
      <c r="Y110" s="56">
        <f t="shared" si="19"/>
        <v>0.30731948848225182</v>
      </c>
      <c r="Z110" s="79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x14ac:dyDescent="0.3">
      <c r="A111" s="55">
        <v>1</v>
      </c>
      <c r="B111" s="56" t="s">
        <v>102</v>
      </c>
      <c r="C111" s="56">
        <f t="shared" si="20"/>
        <v>108</v>
      </c>
      <c r="D111" s="56">
        <f t="shared" si="12"/>
        <v>24.606999999999999</v>
      </c>
      <c r="E111" s="94">
        <v>11</v>
      </c>
      <c r="F111" s="94">
        <f>($C$4/E111)+F110</f>
        <v>10.4893818033926</v>
      </c>
      <c r="G111" s="56">
        <v>5250</v>
      </c>
      <c r="H111" s="56">
        <v>2</v>
      </c>
      <c r="I111" s="94">
        <f>E111-E110</f>
        <v>0</v>
      </c>
      <c r="J111" s="56">
        <f>(0.5*VEHICLE!$C$71*VEHICLE!$C$28*VEHICLE!$C$27*'Drive Cycle'!E111^2)</f>
        <v>107.64209609999999</v>
      </c>
      <c r="K111" s="56">
        <f>IF(A111=1,VEHICLE!$S$5,IF(A111=2,VEHICLE!$Q$5,IF(A111=3,VEHICLE!$R$5,IF(A111=4,VEHICLE!$P$5,1))))</f>
        <v>72.351594900000009</v>
      </c>
      <c r="L111" s="56">
        <f t="shared" si="23"/>
        <v>8</v>
      </c>
      <c r="M111" s="56">
        <f t="shared" si="21"/>
        <v>0.5</v>
      </c>
      <c r="N111" s="56">
        <f t="shared" si="13"/>
        <v>26.56505117707799</v>
      </c>
      <c r="O111" s="56">
        <f t="shared" si="14"/>
        <v>193.03527636160186</v>
      </c>
      <c r="P111" s="56">
        <f t="shared" si="15"/>
        <v>373.02896736160187</v>
      </c>
      <c r="Q111" s="56">
        <f>IF(H111=1,I111*VEHICLE!$C$69,IF(H111=2,VEHICLE!$C$70*I111,IF(H111=3,VEHICLE!$C$71*I111,0)))</f>
        <v>0</v>
      </c>
      <c r="R111" s="56">
        <f>(J111+K111+O111+Q111)</f>
        <v>373.02896736160187</v>
      </c>
      <c r="S111" s="56">
        <f t="shared" si="16"/>
        <v>373.02896736160187</v>
      </c>
      <c r="T111" s="56">
        <f>ABS((R111)/((2*PI()*G111)/60))</f>
        <v>0.67850747510930554</v>
      </c>
      <c r="U111" s="56">
        <f t="shared" si="17"/>
        <v>1</v>
      </c>
      <c r="V111" s="56">
        <f>INDEX(BSFC!$D$4:$AD$26,MATCH(U111,BSFC!$B$4:$B$26,0),MATCH(G111,BSFC!$D$2:$AD$2,0))</f>
        <v>959.82391135999978</v>
      </c>
      <c r="W111" s="56">
        <f t="shared" si="22"/>
        <v>9.945614513988732E-2</v>
      </c>
      <c r="X111" s="56">
        <f t="shared" si="18"/>
        <v>9.945614513988732E-2</v>
      </c>
      <c r="Y111" s="56">
        <f t="shared" si="19"/>
        <v>0.30731948848225182</v>
      </c>
      <c r="Z111" s="79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x14ac:dyDescent="0.3">
      <c r="A112" s="55">
        <v>1</v>
      </c>
      <c r="B112" s="56" t="s">
        <v>102</v>
      </c>
      <c r="C112" s="56">
        <f t="shared" si="20"/>
        <v>109</v>
      </c>
      <c r="D112" s="56">
        <f t="shared" si="12"/>
        <v>24.606999999999999</v>
      </c>
      <c r="E112" s="94">
        <v>11</v>
      </c>
      <c r="F112" s="94">
        <f>($C$4/E112)+F111</f>
        <v>10.580290894301692</v>
      </c>
      <c r="G112" s="56">
        <v>5500</v>
      </c>
      <c r="H112" s="56">
        <v>2</v>
      </c>
      <c r="I112" s="94">
        <f>E112-E111</f>
        <v>0</v>
      </c>
      <c r="J112" s="56">
        <f>(0.5*VEHICLE!$C$71*VEHICLE!$C$28*VEHICLE!$C$27*'Drive Cycle'!E112^2)</f>
        <v>107.64209609999999</v>
      </c>
      <c r="K112" s="56">
        <f>IF(A112=1,VEHICLE!$S$5,IF(A112=2,VEHICLE!$Q$5,IF(A112=3,VEHICLE!$R$5,IF(A112=4,VEHICLE!$P$5,1))))</f>
        <v>72.351594900000009</v>
      </c>
      <c r="L112" s="56">
        <f t="shared" si="23"/>
        <v>8.5</v>
      </c>
      <c r="M112" s="56">
        <f t="shared" si="21"/>
        <v>0.5</v>
      </c>
      <c r="N112" s="56">
        <f t="shared" si="13"/>
        <v>26.56505117707799</v>
      </c>
      <c r="O112" s="56">
        <f t="shared" si="14"/>
        <v>193.03527636160186</v>
      </c>
      <c r="P112" s="56">
        <f t="shared" si="15"/>
        <v>373.02896736160187</v>
      </c>
      <c r="Q112" s="56">
        <f>IF(H112=1,I112*VEHICLE!$C$69,IF(H112=2,VEHICLE!$C$70*I112,IF(H112=3,VEHICLE!$C$71*I112,0)))</f>
        <v>0</v>
      </c>
      <c r="R112" s="56">
        <f>(J112+K112+O112+Q112)</f>
        <v>373.02896736160187</v>
      </c>
      <c r="S112" s="56">
        <f t="shared" si="16"/>
        <v>373.02896736160187</v>
      </c>
      <c r="T112" s="56">
        <f>ABS((R112)/((2*PI()*G112)/60))</f>
        <v>0.6476662262407008</v>
      </c>
      <c r="U112" s="56">
        <f t="shared" si="17"/>
        <v>1</v>
      </c>
      <c r="V112" s="56">
        <f>INDEX(BSFC!$D$4:$AD$26,MATCH(U112,BSFC!$B$4:$B$26,0),MATCH(G112,BSFC!$D$2:$AD$2,0))</f>
        <v>937.88833920000002</v>
      </c>
      <c r="W112" s="56">
        <f t="shared" si="22"/>
        <v>9.718319963118438E-2</v>
      </c>
      <c r="X112" s="56">
        <f t="shared" si="18"/>
        <v>9.718319963118438E-2</v>
      </c>
      <c r="Y112" s="56">
        <f t="shared" si="19"/>
        <v>0.30029608686035975</v>
      </c>
      <c r="Z112" s="79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x14ac:dyDescent="0.3">
      <c r="A113" s="55">
        <v>1</v>
      </c>
      <c r="B113" s="56" t="s">
        <v>102</v>
      </c>
      <c r="C113" s="56">
        <f t="shared" si="20"/>
        <v>110</v>
      </c>
      <c r="D113" s="56">
        <f t="shared" si="12"/>
        <v>26.844000000000001</v>
      </c>
      <c r="E113" s="94">
        <v>12</v>
      </c>
      <c r="F113" s="94">
        <f>($C$4/E113)+F112</f>
        <v>10.663624227635026</v>
      </c>
      <c r="G113" s="56">
        <v>6000</v>
      </c>
      <c r="H113" s="56">
        <v>3</v>
      </c>
      <c r="I113" s="94">
        <f>E113-E112</f>
        <v>1</v>
      </c>
      <c r="J113" s="56">
        <f>(0.5*VEHICLE!$C$71*VEHICLE!$C$28*VEHICLE!$C$27*'Drive Cycle'!E113^2)</f>
        <v>128.10299039999998</v>
      </c>
      <c r="K113" s="56">
        <f>IF(A113=1,VEHICLE!$S$5,IF(A113=2,VEHICLE!$Q$5,IF(A113=3,VEHICLE!$R$5,IF(A113=4,VEHICLE!$P$5,1))))</f>
        <v>72.351594900000009</v>
      </c>
      <c r="L113" s="56">
        <f>L112</f>
        <v>8.5</v>
      </c>
      <c r="M113" s="56">
        <f t="shared" si="21"/>
        <v>0</v>
      </c>
      <c r="N113" s="56">
        <f t="shared" si="13"/>
        <v>0</v>
      </c>
      <c r="O113" s="56">
        <f t="shared" si="14"/>
        <v>0</v>
      </c>
      <c r="P113" s="56">
        <f t="shared" si="15"/>
        <v>200.45458529999999</v>
      </c>
      <c r="Q113" s="56">
        <f>IF(H113=1,I113*VEHICLE!$C$69,IF(H113=2,VEHICLE!$C$70*I113,IF(H113=3,VEHICLE!$C$71*I113,0)))</f>
        <v>1.167</v>
      </c>
      <c r="R113" s="56">
        <f>(J113+K113+O113+Q113)</f>
        <v>201.62158529999999</v>
      </c>
      <c r="S113" s="56">
        <f t="shared" si="16"/>
        <v>201.62158529999999</v>
      </c>
      <c r="T113" s="56">
        <f>ABS((R113)/((2*PI()*G113)/60))</f>
        <v>0.3208907193451922</v>
      </c>
      <c r="U113" s="56">
        <f t="shared" si="17"/>
        <v>1</v>
      </c>
      <c r="V113" s="56">
        <f>INDEX(BSFC!$D$4:$AD$26,MATCH(U113,BSFC!$B$4:$B$26,0),MATCH(G113,BSFC!$D$2:$AD$2,0))</f>
        <v>933.91499472000044</v>
      </c>
      <c r="W113" s="56">
        <f t="shared" si="22"/>
        <v>5.2304839380802118E-2</v>
      </c>
      <c r="X113" s="56">
        <f t="shared" si="18"/>
        <v>5.2304839380802118E-2</v>
      </c>
      <c r="Y113" s="56">
        <f t="shared" si="19"/>
        <v>0.16162195368667853</v>
      </c>
      <c r="Z113" s="79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x14ac:dyDescent="0.3">
      <c r="A114" s="55">
        <v>1</v>
      </c>
      <c r="B114" s="56" t="s">
        <v>102</v>
      </c>
      <c r="C114" s="56">
        <f t="shared" si="20"/>
        <v>111</v>
      </c>
      <c r="D114" s="56">
        <f t="shared" si="12"/>
        <v>29.081000000000003</v>
      </c>
      <c r="E114" s="94">
        <v>13</v>
      </c>
      <c r="F114" s="94">
        <f>($C$4/E114)+F113</f>
        <v>10.740547304558103</v>
      </c>
      <c r="G114" s="56">
        <v>6500</v>
      </c>
      <c r="H114" s="56">
        <v>3</v>
      </c>
      <c r="I114" s="94">
        <f>E114-E113</f>
        <v>1</v>
      </c>
      <c r="J114" s="56">
        <f>(0.5*VEHICLE!$C$71*VEHICLE!$C$28*VEHICLE!$C$27*'Drive Cycle'!E114^2)</f>
        <v>150.34309289999999</v>
      </c>
      <c r="K114" s="56">
        <f>IF(A114=1,VEHICLE!$S$5,IF(A114=2,VEHICLE!$Q$5,IF(A114=3,VEHICLE!$R$5,IF(A114=4,VEHICLE!$P$5,1))))</f>
        <v>72.351594900000009</v>
      </c>
      <c r="L114" s="56">
        <f t="shared" ref="L114:L122" si="24">L113</f>
        <v>8.5</v>
      </c>
      <c r="M114" s="56">
        <f t="shared" si="21"/>
        <v>0</v>
      </c>
      <c r="N114" s="56">
        <f t="shared" si="13"/>
        <v>0</v>
      </c>
      <c r="O114" s="56">
        <f t="shared" si="14"/>
        <v>0</v>
      </c>
      <c r="P114" s="56">
        <f t="shared" si="15"/>
        <v>222.6946878</v>
      </c>
      <c r="Q114" s="56">
        <f>IF(H114=1,I114*VEHICLE!$C$69,IF(H114=2,VEHICLE!$C$70*I114,IF(H114=3,VEHICLE!$C$71*I114,0)))</f>
        <v>1.167</v>
      </c>
      <c r="R114" s="56">
        <f>(J114+K114+O114+Q114)</f>
        <v>223.8616878</v>
      </c>
      <c r="S114" s="56">
        <f t="shared" si="16"/>
        <v>223.8616878</v>
      </c>
      <c r="T114" s="56">
        <f>ABS((R114)/((2*PI()*G114)/60))</f>
        <v>0.32888025399013515</v>
      </c>
      <c r="U114" s="56">
        <f t="shared" si="17"/>
        <v>1</v>
      </c>
      <c r="V114" s="56">
        <f>INDEX(BSFC!$D$4:$AD$26,MATCH(U114,BSFC!$B$4:$B$26,0),MATCH(G114,BSFC!$D$2:$AD$2,0))</f>
        <v>925.65735288000019</v>
      </c>
      <c r="W114" s="56">
        <f t="shared" si="22"/>
        <v>5.7560893705610287E-2</v>
      </c>
      <c r="X114" s="56">
        <f t="shared" si="18"/>
        <v>5.7560893705610287E-2</v>
      </c>
      <c r="Y114" s="56">
        <f t="shared" si="19"/>
        <v>0.17786316155033577</v>
      </c>
      <c r="Z114" s="79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x14ac:dyDescent="0.3">
      <c r="A115" s="55">
        <v>1</v>
      </c>
      <c r="B115" s="56" t="s">
        <v>102</v>
      </c>
      <c r="C115" s="56">
        <f t="shared" si="20"/>
        <v>112</v>
      </c>
      <c r="D115" s="56">
        <f t="shared" si="12"/>
        <v>29.998170000000002</v>
      </c>
      <c r="E115" s="94">
        <v>13.41</v>
      </c>
      <c r="F115" s="94">
        <f>($C$4/E115)+F114</f>
        <v>10.815118520068916</v>
      </c>
      <c r="G115" s="56">
        <v>6500</v>
      </c>
      <c r="H115" s="56">
        <v>3</v>
      </c>
      <c r="I115" s="94">
        <f>E115-E114</f>
        <v>0.41000000000000014</v>
      </c>
      <c r="J115" s="56">
        <f>(0.5*VEHICLE!$C$71*VEHICLE!$C$28*VEHICLE!$C$27*'Drive Cycle'!E115^2)</f>
        <v>159.97581505520998</v>
      </c>
      <c r="K115" s="56">
        <f>IF(A115=1,VEHICLE!$S$5,IF(A115=2,VEHICLE!$Q$5,IF(A115=3,VEHICLE!$R$5,IF(A115=4,VEHICLE!$P$5,1))))</f>
        <v>72.351594900000009</v>
      </c>
      <c r="L115" s="56">
        <f t="shared" si="24"/>
        <v>8.5</v>
      </c>
      <c r="M115" s="56">
        <f t="shared" si="21"/>
        <v>0</v>
      </c>
      <c r="N115" s="56">
        <f t="shared" si="13"/>
        <v>0</v>
      </c>
      <c r="O115" s="56">
        <f t="shared" si="14"/>
        <v>0</v>
      </c>
      <c r="P115" s="56">
        <f t="shared" si="15"/>
        <v>232.32740995520999</v>
      </c>
      <c r="Q115" s="56">
        <f>IF(H115=1,I115*VEHICLE!$C$69,IF(H115=2,VEHICLE!$C$70*I115,IF(H115=3,VEHICLE!$C$71*I115,0)))</f>
        <v>0.47847000000000017</v>
      </c>
      <c r="R115" s="56">
        <f>(J115+K115+O115+Q115)</f>
        <v>232.80587995520997</v>
      </c>
      <c r="S115" s="56">
        <f t="shared" si="16"/>
        <v>232.80587995520997</v>
      </c>
      <c r="T115" s="56">
        <f>ABS((R115)/((2*PI()*G115)/60))</f>
        <v>0.34202036839135441</v>
      </c>
      <c r="U115" s="56">
        <f t="shared" si="17"/>
        <v>1</v>
      </c>
      <c r="V115" s="56">
        <f>INDEX(BSFC!$D$4:$AD$26,MATCH(U115,BSFC!$B$4:$B$26,0),MATCH(G115,BSFC!$D$2:$AD$2,0))</f>
        <v>925.65735288000019</v>
      </c>
      <c r="W115" s="56">
        <f t="shared" si="22"/>
        <v>5.9860687381732988E-2</v>
      </c>
      <c r="X115" s="56">
        <f t="shared" si="18"/>
        <v>5.9860687381732988E-2</v>
      </c>
      <c r="Y115" s="56">
        <f t="shared" si="19"/>
        <v>0.18496952400955494</v>
      </c>
      <c r="Z115" s="79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x14ac:dyDescent="0.3">
      <c r="A116" s="55">
        <v>1</v>
      </c>
      <c r="B116" s="56" t="s">
        <v>102</v>
      </c>
      <c r="C116" s="56">
        <f t="shared" si="20"/>
        <v>113</v>
      </c>
      <c r="D116" s="56">
        <f t="shared" si="12"/>
        <v>29.998170000000002</v>
      </c>
      <c r="E116" s="94">
        <v>13.41</v>
      </c>
      <c r="F116" s="94">
        <f>($C$4/E116)+F115</f>
        <v>10.889689735579729</v>
      </c>
      <c r="G116" s="56">
        <v>6500</v>
      </c>
      <c r="H116" s="56">
        <v>3</v>
      </c>
      <c r="I116" s="94">
        <f>E116-E115</f>
        <v>0</v>
      </c>
      <c r="J116" s="56">
        <f>(0.5*VEHICLE!$C$71*VEHICLE!$C$28*VEHICLE!$C$27*'Drive Cycle'!E116^2)</f>
        <v>159.97581505520998</v>
      </c>
      <c r="K116" s="56">
        <f>IF(A116=1,VEHICLE!$S$5,IF(A116=2,VEHICLE!$Q$5,IF(A116=3,VEHICLE!$R$5,IF(A116=4,VEHICLE!$P$5,1))))</f>
        <v>72.351594900000009</v>
      </c>
      <c r="L116" s="56">
        <f t="shared" si="24"/>
        <v>8.5</v>
      </c>
      <c r="M116" s="56">
        <f t="shared" si="21"/>
        <v>0</v>
      </c>
      <c r="N116" s="56">
        <f t="shared" si="13"/>
        <v>0</v>
      </c>
      <c r="O116" s="56">
        <f t="shared" si="14"/>
        <v>0</v>
      </c>
      <c r="P116" s="56">
        <f t="shared" si="15"/>
        <v>232.32740995520999</v>
      </c>
      <c r="Q116" s="56">
        <f>IF(H116=1,I116*VEHICLE!$C$69,IF(H116=2,VEHICLE!$C$70*I116,IF(H116=3,VEHICLE!$C$71*I116,0)))</f>
        <v>0</v>
      </c>
      <c r="R116" s="56">
        <f>(J116+K116+O116+Q116)</f>
        <v>232.32740995520999</v>
      </c>
      <c r="S116" s="56">
        <f t="shared" si="16"/>
        <v>232.32740995520999</v>
      </c>
      <c r="T116" s="56">
        <f>ABS((R116)/((2*PI()*G116)/60))</f>
        <v>0.34131743732408198</v>
      </c>
      <c r="U116" s="56">
        <f t="shared" si="17"/>
        <v>1</v>
      </c>
      <c r="V116" s="56">
        <f>INDEX(BSFC!$D$4:$AD$26,MATCH(U116,BSFC!$B$4:$B$26,0),MATCH(G116,BSFC!$D$2:$AD$2,0))</f>
        <v>925.65735288000019</v>
      </c>
      <c r="W116" s="56">
        <f t="shared" si="22"/>
        <v>5.9737659805723972E-2</v>
      </c>
      <c r="X116" s="56">
        <f t="shared" si="18"/>
        <v>5.9737659805723972E-2</v>
      </c>
      <c r="Y116" s="56">
        <f t="shared" si="19"/>
        <v>0.18458936879968707</v>
      </c>
      <c r="Z116" s="79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x14ac:dyDescent="0.3">
      <c r="A117" s="55">
        <v>1</v>
      </c>
      <c r="B117" s="56" t="s">
        <v>102</v>
      </c>
      <c r="C117" s="56">
        <f t="shared" si="20"/>
        <v>114</v>
      </c>
      <c r="D117" s="56">
        <f t="shared" si="12"/>
        <v>29.998170000000002</v>
      </c>
      <c r="E117" s="94">
        <v>13.41</v>
      </c>
      <c r="F117" s="94">
        <f>($C$4/E117)+F116</f>
        <v>10.964260951090543</v>
      </c>
      <c r="G117" s="56">
        <v>6500</v>
      </c>
      <c r="H117" s="56">
        <v>3</v>
      </c>
      <c r="I117" s="94">
        <f>E117-E116</f>
        <v>0</v>
      </c>
      <c r="J117" s="56">
        <f>(0.5*VEHICLE!$C$71*VEHICLE!$C$28*VEHICLE!$C$27*'Drive Cycle'!E117^2)</f>
        <v>159.97581505520998</v>
      </c>
      <c r="K117" s="56">
        <f>IF(A117=1,VEHICLE!$S$5,IF(A117=2,VEHICLE!$Q$5,IF(A117=3,VEHICLE!$R$5,IF(A117=4,VEHICLE!$P$5,1))))</f>
        <v>72.351594900000009</v>
      </c>
      <c r="L117" s="56">
        <f t="shared" si="24"/>
        <v>8.5</v>
      </c>
      <c r="M117" s="56">
        <f t="shared" si="21"/>
        <v>0</v>
      </c>
      <c r="N117" s="56">
        <f t="shared" si="13"/>
        <v>0</v>
      </c>
      <c r="O117" s="56">
        <f t="shared" si="14"/>
        <v>0</v>
      </c>
      <c r="P117" s="56">
        <f t="shared" si="15"/>
        <v>232.32740995520999</v>
      </c>
      <c r="Q117" s="56">
        <f>IF(H117=1,I117*VEHICLE!$C$69,IF(H117=2,VEHICLE!$C$70*I117,IF(H117=3,VEHICLE!$C$71*I117,0)))</f>
        <v>0</v>
      </c>
      <c r="R117" s="56">
        <f>(J117+K117+O117+Q117)</f>
        <v>232.32740995520999</v>
      </c>
      <c r="S117" s="56">
        <f t="shared" si="16"/>
        <v>232.32740995520999</v>
      </c>
      <c r="T117" s="56">
        <f>ABS((R117)/((2*PI()*G117)/60))</f>
        <v>0.34131743732408198</v>
      </c>
      <c r="U117" s="56">
        <f t="shared" si="17"/>
        <v>1</v>
      </c>
      <c r="V117" s="56">
        <f>INDEX(BSFC!$D$4:$AD$26,MATCH(U117,BSFC!$B$4:$B$26,0),MATCH(G117,BSFC!$D$2:$AD$2,0))</f>
        <v>925.65735288000019</v>
      </c>
      <c r="W117" s="56">
        <f t="shared" si="22"/>
        <v>5.9737659805723972E-2</v>
      </c>
      <c r="X117" s="56">
        <f t="shared" si="18"/>
        <v>5.9737659805723972E-2</v>
      </c>
      <c r="Y117" s="56">
        <f t="shared" si="19"/>
        <v>0.18458936879968707</v>
      </c>
      <c r="Z117" s="79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x14ac:dyDescent="0.3">
      <c r="A118" s="55">
        <v>1</v>
      </c>
      <c r="B118" s="56" t="s">
        <v>102</v>
      </c>
      <c r="C118" s="56">
        <f t="shared" si="20"/>
        <v>115</v>
      </c>
      <c r="D118" s="56">
        <f t="shared" si="12"/>
        <v>29.998170000000002</v>
      </c>
      <c r="E118" s="94">
        <v>13.41</v>
      </c>
      <c r="F118" s="94">
        <f>($C$4/E118)+F117</f>
        <v>11.038832166601356</v>
      </c>
      <c r="G118" s="56">
        <v>6500</v>
      </c>
      <c r="H118" s="56">
        <v>3</v>
      </c>
      <c r="I118" s="94">
        <f>E118-E117</f>
        <v>0</v>
      </c>
      <c r="J118" s="56">
        <f>(0.5*VEHICLE!$C$71*VEHICLE!$C$28*VEHICLE!$C$27*'Drive Cycle'!E118^2)</f>
        <v>159.97581505520998</v>
      </c>
      <c r="K118" s="56">
        <f>IF(A118=1,VEHICLE!$S$5,IF(A118=2,VEHICLE!$Q$5,IF(A118=3,VEHICLE!$R$5,IF(A118=4,VEHICLE!$P$5,1))))</f>
        <v>72.351594900000009</v>
      </c>
      <c r="L118" s="56">
        <f t="shared" si="24"/>
        <v>8.5</v>
      </c>
      <c r="M118" s="56">
        <f t="shared" si="21"/>
        <v>0</v>
      </c>
      <c r="N118" s="56">
        <f t="shared" si="13"/>
        <v>0</v>
      </c>
      <c r="O118" s="56">
        <f t="shared" si="14"/>
        <v>0</v>
      </c>
      <c r="P118" s="56">
        <f t="shared" si="15"/>
        <v>232.32740995520999</v>
      </c>
      <c r="Q118" s="56">
        <f>IF(H118=1,I118*VEHICLE!$C$69,IF(H118=2,VEHICLE!$C$70*I118,IF(H118=3,VEHICLE!$C$71*I118,0)))</f>
        <v>0</v>
      </c>
      <c r="R118" s="56">
        <f>(J118+K118+O118+Q118)</f>
        <v>232.32740995520999</v>
      </c>
      <c r="S118" s="56">
        <f t="shared" si="16"/>
        <v>232.32740995520999</v>
      </c>
      <c r="T118" s="56">
        <f>ABS((R118)/((2*PI()*G118)/60))</f>
        <v>0.34131743732408198</v>
      </c>
      <c r="U118" s="56">
        <f t="shared" si="17"/>
        <v>1</v>
      </c>
      <c r="V118" s="56">
        <f>INDEX(BSFC!$D$4:$AD$26,MATCH(U118,BSFC!$B$4:$B$26,0),MATCH(G118,BSFC!$D$2:$AD$2,0))</f>
        <v>925.65735288000019</v>
      </c>
      <c r="W118" s="56">
        <f t="shared" si="22"/>
        <v>5.9737659805723972E-2</v>
      </c>
      <c r="X118" s="56">
        <f t="shared" si="18"/>
        <v>5.9737659805723972E-2</v>
      </c>
      <c r="Y118" s="56">
        <f t="shared" si="19"/>
        <v>0.18458936879968707</v>
      </c>
      <c r="Z118" s="79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x14ac:dyDescent="0.3">
      <c r="A119" s="55">
        <v>1</v>
      </c>
      <c r="B119" s="56" t="s">
        <v>102</v>
      </c>
      <c r="C119" s="56">
        <f t="shared" si="20"/>
        <v>116</v>
      </c>
      <c r="D119" s="56">
        <f t="shared" si="12"/>
        <v>22.37</v>
      </c>
      <c r="E119" s="94">
        <v>10</v>
      </c>
      <c r="F119" s="94">
        <f>($C$4/E119)+F118</f>
        <v>11.138832166601356</v>
      </c>
      <c r="G119" s="56">
        <v>6500</v>
      </c>
      <c r="H119" s="56">
        <v>3</v>
      </c>
      <c r="I119" s="94">
        <f>E119-E118</f>
        <v>-3.41</v>
      </c>
      <c r="J119" s="56">
        <f>(0.5*VEHICLE!$C$71*VEHICLE!$C$28*VEHICLE!$C$27*'Drive Cycle'!E119^2)</f>
        <v>88.960409999999996</v>
      </c>
      <c r="K119" s="56">
        <f>IF(A119=1,VEHICLE!$S$5,IF(A119=2,VEHICLE!$Q$5,IF(A119=3,VEHICLE!$R$5,IF(A119=4,VEHICLE!$P$5,1))))</f>
        <v>72.351594900000009</v>
      </c>
      <c r="L119" s="56">
        <f t="shared" si="24"/>
        <v>8.5</v>
      </c>
      <c r="M119" s="56">
        <f t="shared" si="21"/>
        <v>0</v>
      </c>
      <c r="N119" s="56">
        <f t="shared" si="13"/>
        <v>0</v>
      </c>
      <c r="O119" s="56">
        <f t="shared" si="14"/>
        <v>0</v>
      </c>
      <c r="P119" s="56">
        <f t="shared" si="15"/>
        <v>161.31200490000001</v>
      </c>
      <c r="Q119" s="56">
        <f>IF(H119=1,I119*VEHICLE!$C$69,IF(H119=2,VEHICLE!$C$70*I119,IF(H119=3,VEHICLE!$C$71*I119,0)))</f>
        <v>-3.9794700000000005</v>
      </c>
      <c r="R119" s="56">
        <f>(J119+K119+O119+Q119)</f>
        <v>157.33253490000001</v>
      </c>
      <c r="S119" s="56">
        <f t="shared" si="16"/>
        <v>157.33253490000001</v>
      </c>
      <c r="T119" s="56">
        <f>ABS((R119)/((2*PI()*G119)/60))</f>
        <v>0.23114077512473666</v>
      </c>
      <c r="U119" s="56">
        <f t="shared" si="17"/>
        <v>1</v>
      </c>
      <c r="V119" s="56">
        <f>INDEX(BSFC!$D$4:$AD$26,MATCH(U119,BSFC!$B$4:$B$26,0),MATCH(G119,BSFC!$D$2:$AD$2,0))</f>
        <v>925.65735288000019</v>
      </c>
      <c r="W119" s="56">
        <f t="shared" si="22"/>
        <v>4.0454449382620633E-2</v>
      </c>
      <c r="X119" s="56">
        <f t="shared" si="18"/>
        <v>4.0454449382620633E-2</v>
      </c>
      <c r="Y119" s="56">
        <f t="shared" si="19"/>
        <v>0.12500424859229775</v>
      </c>
      <c r="Z119" s="79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x14ac:dyDescent="0.3">
      <c r="A120" s="55">
        <v>1</v>
      </c>
      <c r="B120" s="56" t="s">
        <v>102</v>
      </c>
      <c r="C120" s="56">
        <f t="shared" si="20"/>
        <v>117</v>
      </c>
      <c r="D120" s="56">
        <f t="shared" si="12"/>
        <v>22.37</v>
      </c>
      <c r="E120" s="94">
        <v>10</v>
      </c>
      <c r="F120" s="94">
        <f>($C$4/E120)+F119</f>
        <v>11.238832166601355</v>
      </c>
      <c r="G120" s="56">
        <v>6500</v>
      </c>
      <c r="H120" s="56">
        <v>3</v>
      </c>
      <c r="I120" s="94">
        <f>E120-E119</f>
        <v>0</v>
      </c>
      <c r="J120" s="56">
        <f>(0.5*VEHICLE!$C$71*VEHICLE!$C$28*VEHICLE!$C$27*'Drive Cycle'!E120^2)</f>
        <v>88.960409999999996</v>
      </c>
      <c r="K120" s="56">
        <f>IF(A120=1,VEHICLE!$S$5,IF(A120=2,VEHICLE!$Q$5,IF(A120=3,VEHICLE!$R$5,IF(A120=4,VEHICLE!$P$5,1))))</f>
        <v>72.351594900000009</v>
      </c>
      <c r="L120" s="56">
        <f t="shared" si="24"/>
        <v>8.5</v>
      </c>
      <c r="M120" s="56">
        <f t="shared" si="21"/>
        <v>0</v>
      </c>
      <c r="N120" s="56">
        <f t="shared" si="13"/>
        <v>0</v>
      </c>
      <c r="O120" s="56">
        <f t="shared" si="14"/>
        <v>0</v>
      </c>
      <c r="P120" s="56">
        <f t="shared" si="15"/>
        <v>161.31200490000001</v>
      </c>
      <c r="Q120" s="56">
        <f>IF(H120=1,I120*VEHICLE!$C$69,IF(H120=2,VEHICLE!$C$70*I120,IF(H120=3,VEHICLE!$C$71*I120,0)))</f>
        <v>0</v>
      </c>
      <c r="R120" s="56">
        <f>(J120+K120+O120+Q120)</f>
        <v>161.31200490000001</v>
      </c>
      <c r="S120" s="56">
        <f t="shared" si="16"/>
        <v>161.31200490000001</v>
      </c>
      <c r="T120" s="56">
        <f>ABS((R120)/((2*PI()*G120)/60))</f>
        <v>0.23698710424522193</v>
      </c>
      <c r="U120" s="56">
        <f t="shared" si="17"/>
        <v>1</v>
      </c>
      <c r="V120" s="56">
        <f>INDEX(BSFC!$D$4:$AD$26,MATCH(U120,BSFC!$B$4:$B$26,0),MATCH(G120,BSFC!$D$2:$AD$2,0))</f>
        <v>925.65735288000019</v>
      </c>
      <c r="W120" s="56">
        <f t="shared" si="22"/>
        <v>4.1477678734305454E-2</v>
      </c>
      <c r="X120" s="56">
        <f t="shared" si="18"/>
        <v>4.1477678734305454E-2</v>
      </c>
      <c r="Y120" s="56">
        <f t="shared" si="19"/>
        <v>0.12816602728900384</v>
      </c>
      <c r="Z120" s="79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x14ac:dyDescent="0.3">
      <c r="A121" s="55">
        <v>1</v>
      </c>
      <c r="B121" s="56" t="s">
        <v>102</v>
      </c>
      <c r="C121" s="56">
        <f t="shared" si="20"/>
        <v>118</v>
      </c>
      <c r="D121" s="56">
        <f t="shared" si="12"/>
        <v>23.488500000000002</v>
      </c>
      <c r="E121" s="94">
        <v>10.5</v>
      </c>
      <c r="F121" s="94">
        <f>($C$4/E121)+F120</f>
        <v>11.33407026183945</v>
      </c>
      <c r="G121" s="56">
        <v>6500</v>
      </c>
      <c r="H121" s="56">
        <v>3</v>
      </c>
      <c r="I121" s="94">
        <f>E121-E120</f>
        <v>0.5</v>
      </c>
      <c r="J121" s="56">
        <f>(0.5*VEHICLE!$C$71*VEHICLE!$C$28*VEHICLE!$C$27*'Drive Cycle'!E121^2)</f>
        <v>98.078852024999989</v>
      </c>
      <c r="K121" s="56">
        <f>IF(A121=1,VEHICLE!$S$5,IF(A121=2,VEHICLE!$Q$5,IF(A121=3,VEHICLE!$R$5,IF(A121=4,VEHICLE!$P$5,1))))</f>
        <v>72.351594900000009</v>
      </c>
      <c r="L121" s="56">
        <f t="shared" si="24"/>
        <v>8.5</v>
      </c>
      <c r="M121" s="56">
        <f t="shared" si="21"/>
        <v>0</v>
      </c>
      <c r="N121" s="56">
        <f t="shared" si="13"/>
        <v>0</v>
      </c>
      <c r="O121" s="56">
        <f t="shared" si="14"/>
        <v>0</v>
      </c>
      <c r="P121" s="56">
        <f t="shared" si="15"/>
        <v>170.43044692500001</v>
      </c>
      <c r="Q121" s="56">
        <f>IF(H121=1,I121*VEHICLE!$C$69,IF(H121=2,VEHICLE!$C$70*I121,IF(H121=3,VEHICLE!$C$71*I121,0)))</f>
        <v>0.58350000000000002</v>
      </c>
      <c r="R121" s="56">
        <f>(J121+K121+O121+Q121)</f>
        <v>171.013946925</v>
      </c>
      <c r="S121" s="56">
        <f t="shared" si="16"/>
        <v>171.013946925</v>
      </c>
      <c r="T121" s="56">
        <f>ABS((R121)/((2*PI()*G121)/60))</f>
        <v>0.25124044606863494</v>
      </c>
      <c r="U121" s="56">
        <f t="shared" si="17"/>
        <v>1</v>
      </c>
      <c r="V121" s="56">
        <f>INDEX(BSFC!$D$4:$AD$26,MATCH(U121,BSFC!$B$4:$B$26,0),MATCH(G121,BSFC!$D$2:$AD$2,0))</f>
        <v>925.65735288000019</v>
      </c>
      <c r="W121" s="56">
        <f t="shared" si="22"/>
        <v>4.3972310393376769E-2</v>
      </c>
      <c r="X121" s="56">
        <f t="shared" si="18"/>
        <v>4.3972310393376769E-2</v>
      </c>
      <c r="Y121" s="56">
        <f t="shared" si="19"/>
        <v>0.13587443911553421</v>
      </c>
      <c r="Z121" s="79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x14ac:dyDescent="0.3">
      <c r="A122" s="55">
        <v>1</v>
      </c>
      <c r="B122" s="56" t="s">
        <v>102</v>
      </c>
      <c r="C122" s="56">
        <f t="shared" si="20"/>
        <v>119</v>
      </c>
      <c r="D122" s="56">
        <f t="shared" si="12"/>
        <v>23.488500000000002</v>
      </c>
      <c r="E122" s="94">
        <v>10.5</v>
      </c>
      <c r="F122" s="94">
        <f>($C$4/E122)+F121</f>
        <v>11.429308357077545</v>
      </c>
      <c r="G122" s="56">
        <v>6500</v>
      </c>
      <c r="H122" s="56">
        <v>3</v>
      </c>
      <c r="I122" s="94">
        <f>E122-E121</f>
        <v>0</v>
      </c>
      <c r="J122" s="56">
        <f>(0.5*VEHICLE!$C$71*VEHICLE!$C$28*VEHICLE!$C$27*'Drive Cycle'!E122^2)</f>
        <v>98.078852024999989</v>
      </c>
      <c r="K122" s="56">
        <f>IF(A122=1,VEHICLE!$S$5,IF(A122=2,VEHICLE!$Q$5,IF(A122=3,VEHICLE!$R$5,IF(A122=4,VEHICLE!$P$5,1))))</f>
        <v>72.351594900000009</v>
      </c>
      <c r="L122" s="56">
        <f t="shared" si="24"/>
        <v>8.5</v>
      </c>
      <c r="M122" s="56">
        <f t="shared" si="21"/>
        <v>0</v>
      </c>
      <c r="N122" s="56">
        <f t="shared" si="13"/>
        <v>0</v>
      </c>
      <c r="O122" s="56">
        <f t="shared" si="14"/>
        <v>0</v>
      </c>
      <c r="P122" s="56">
        <f t="shared" si="15"/>
        <v>170.43044692500001</v>
      </c>
      <c r="Q122" s="56">
        <f>IF(H122=1,I122*VEHICLE!$C$69,IF(H122=2,VEHICLE!$C$70*I122,IF(H122=3,VEHICLE!$C$71*I122,0)))</f>
        <v>0</v>
      </c>
      <c r="R122" s="56">
        <f>(J122+K122+O122+Q122)</f>
        <v>170.43044692500001</v>
      </c>
      <c r="S122" s="56">
        <f t="shared" si="16"/>
        <v>170.43044692500001</v>
      </c>
      <c r="T122" s="56">
        <f>ABS((R122)/((2*PI()*G122)/60))</f>
        <v>0.25038321305976613</v>
      </c>
      <c r="U122" s="56">
        <f t="shared" si="17"/>
        <v>1</v>
      </c>
      <c r="V122" s="56">
        <f>INDEX(BSFC!$D$4:$AD$26,MATCH(U122,BSFC!$B$4:$B$26,0),MATCH(G122,BSFC!$D$2:$AD$2,0))</f>
        <v>925.65735288000019</v>
      </c>
      <c r="W122" s="56">
        <f t="shared" si="22"/>
        <v>4.3822276764097466E-2</v>
      </c>
      <c r="X122" s="56">
        <f t="shared" si="18"/>
        <v>4.3822276764097466E-2</v>
      </c>
      <c r="Y122" s="56">
        <f t="shared" si="19"/>
        <v>0.13541083520106117</v>
      </c>
      <c r="Z122" s="79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x14ac:dyDescent="0.3">
      <c r="A123" s="55">
        <v>1</v>
      </c>
      <c r="B123" s="56" t="s">
        <v>102</v>
      </c>
      <c r="C123" s="56">
        <f t="shared" si="20"/>
        <v>120</v>
      </c>
      <c r="D123" s="56">
        <f t="shared" si="12"/>
        <v>25.7255</v>
      </c>
      <c r="E123" s="94">
        <v>11.5</v>
      </c>
      <c r="F123" s="94">
        <f>($C$4/E123)+F122</f>
        <v>11.516264878816676</v>
      </c>
      <c r="G123" s="56">
        <v>6500</v>
      </c>
      <c r="H123" s="56">
        <v>3</v>
      </c>
      <c r="I123" s="94">
        <f>E123-E122</f>
        <v>1</v>
      </c>
      <c r="J123" s="56">
        <f>(0.5*VEHICLE!$C$71*VEHICLE!$C$28*VEHICLE!$C$27*'Drive Cycle'!E123^2)</f>
        <v>117.65014222499998</v>
      </c>
      <c r="K123" s="56">
        <f>IF(A123=1,VEHICLE!$S$5,IF(A123=2,VEHICLE!$Q$5,IF(A123=3,VEHICLE!$R$5,IF(A123=4,VEHICLE!$P$5,1))))</f>
        <v>72.351594900000009</v>
      </c>
      <c r="L123" s="56">
        <v>8.5</v>
      </c>
      <c r="M123" s="56">
        <f t="shared" si="21"/>
        <v>0</v>
      </c>
      <c r="N123" s="56">
        <f t="shared" si="13"/>
        <v>0</v>
      </c>
      <c r="O123" s="56">
        <f t="shared" si="14"/>
        <v>0</v>
      </c>
      <c r="P123" s="56">
        <f t="shared" si="15"/>
        <v>190.00173712499998</v>
      </c>
      <c r="Q123" s="56">
        <f>IF(H123=1,I123*VEHICLE!$C$69,IF(H123=2,VEHICLE!$C$70*I123,IF(H123=3,VEHICLE!$C$71*I123,0)))</f>
        <v>1.167</v>
      </c>
      <c r="R123" s="56">
        <f>(J123+K123+O123+Q123)</f>
        <v>191.16873712499998</v>
      </c>
      <c r="S123" s="56">
        <f t="shared" si="16"/>
        <v>191.16873712499998</v>
      </c>
      <c r="T123" s="56">
        <f>ABS((R123)/((2*PI()*G123)/60))</f>
        <v>0.28085030287457419</v>
      </c>
      <c r="U123" s="56">
        <f t="shared" si="17"/>
        <v>1</v>
      </c>
      <c r="V123" s="56">
        <f>INDEX(BSFC!$D$4:$AD$26,MATCH(U123,BSFC!$B$4:$B$26,0),MATCH(G123,BSFC!$D$2:$AD$2,0))</f>
        <v>925.65735288000019</v>
      </c>
      <c r="W123" s="56">
        <f t="shared" si="22"/>
        <v>4.9154651989038921E-2</v>
      </c>
      <c r="X123" s="56">
        <f t="shared" si="18"/>
        <v>4.9154651989038921E-2</v>
      </c>
      <c r="Y123" s="56">
        <f t="shared" si="19"/>
        <v>0.15188787464613027</v>
      </c>
      <c r="Z123" s="79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x14ac:dyDescent="0.3">
      <c r="A124" s="55">
        <v>1</v>
      </c>
      <c r="B124" s="56" t="s">
        <v>102</v>
      </c>
      <c r="C124" s="56">
        <f t="shared" si="20"/>
        <v>121</v>
      </c>
      <c r="D124" s="56">
        <f t="shared" si="12"/>
        <v>27.962500000000002</v>
      </c>
      <c r="E124" s="94">
        <v>12.5</v>
      </c>
      <c r="F124" s="94">
        <f>($C$4/E124)+F123</f>
        <v>11.596264878816676</v>
      </c>
      <c r="G124" s="56">
        <v>6500</v>
      </c>
      <c r="H124" s="56">
        <v>3</v>
      </c>
      <c r="I124" s="94">
        <f>E124-E123</f>
        <v>1</v>
      </c>
      <c r="J124" s="56">
        <f>(0.5*VEHICLE!$C$71*VEHICLE!$C$28*VEHICLE!$C$27*'Drive Cycle'!E124^2)</f>
        <v>139.00064062499999</v>
      </c>
      <c r="K124" s="56">
        <f>IF(A124=1,VEHICLE!$S$5,IF(A124=2,VEHICLE!$Q$5,IF(A124=3,VEHICLE!$R$5,IF(A124=4,VEHICLE!$P$5,1))))</f>
        <v>72.351594900000009</v>
      </c>
      <c r="L124" s="56">
        <f>L123-0.35</f>
        <v>8.15</v>
      </c>
      <c r="M124" s="56">
        <f t="shared" si="21"/>
        <v>-0.34999999999999964</v>
      </c>
      <c r="N124" s="56">
        <f t="shared" si="13"/>
        <v>-19.290046219188717</v>
      </c>
      <c r="O124" s="56">
        <f t="shared" si="14"/>
        <v>-142.59245732963961</v>
      </c>
      <c r="P124" s="56">
        <f t="shared" si="15"/>
        <v>68.759778195360383</v>
      </c>
      <c r="Q124" s="56">
        <f>IF(H124=1,I124*VEHICLE!$C$69,IF(H124=2,VEHICLE!$C$70*I124,IF(H124=3,VEHICLE!$C$71*I124,0)))</f>
        <v>1.167</v>
      </c>
      <c r="R124" s="56">
        <f>(J124+K124+O124+Q124)</f>
        <v>69.926778195360384</v>
      </c>
      <c r="S124" s="56">
        <f t="shared" si="16"/>
        <v>69.926778195360384</v>
      </c>
      <c r="T124" s="56">
        <f>ABS((R124)/((2*PI()*G124)/60))</f>
        <v>0.10273100680875849</v>
      </c>
      <c r="U124" s="56">
        <f t="shared" si="17"/>
        <v>1</v>
      </c>
      <c r="V124" s="56">
        <f>INDEX(BSFC!$D$4:$AD$26,MATCH(U124,BSFC!$B$4:$B$26,0),MATCH(G124,BSFC!$D$2:$AD$2,0))</f>
        <v>925.65735288000019</v>
      </c>
      <c r="W124" s="56">
        <f t="shared" si="22"/>
        <v>1.7980065666595615E-2</v>
      </c>
      <c r="X124" s="56">
        <f t="shared" si="18"/>
        <v>1.7980065666595615E-2</v>
      </c>
      <c r="Y124" s="56">
        <f t="shared" si="19"/>
        <v>5.5558402909780452E-2</v>
      </c>
      <c r="Z124" s="79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x14ac:dyDescent="0.3">
      <c r="A125" s="55">
        <v>1</v>
      </c>
      <c r="B125" s="56" t="s">
        <v>102</v>
      </c>
      <c r="C125" s="56">
        <f t="shared" si="20"/>
        <v>122</v>
      </c>
      <c r="D125" s="56">
        <f t="shared" si="12"/>
        <v>29.998170000000002</v>
      </c>
      <c r="E125" s="94">
        <v>13.41</v>
      </c>
      <c r="F125" s="94">
        <f>($C$4/E125)+F124</f>
        <v>11.670836094327489</v>
      </c>
      <c r="G125" s="56">
        <v>6500</v>
      </c>
      <c r="H125" s="56">
        <v>3</v>
      </c>
      <c r="I125" s="94">
        <f>E125-E124</f>
        <v>0.91000000000000014</v>
      </c>
      <c r="J125" s="56">
        <f>(0.5*VEHICLE!$C$71*VEHICLE!$C$28*VEHICLE!$C$27*'Drive Cycle'!E125^2)</f>
        <v>159.97581505520998</v>
      </c>
      <c r="K125" s="56">
        <f>IF(A125=1,VEHICLE!$S$5,IF(A125=2,VEHICLE!$Q$5,IF(A125=3,VEHICLE!$R$5,IF(A125=4,VEHICLE!$P$5,1))))</f>
        <v>72.351594900000009</v>
      </c>
      <c r="L125" s="56">
        <f t="shared" ref="L125:L146" si="25">L124-0.35</f>
        <v>7.8000000000000007</v>
      </c>
      <c r="M125" s="56">
        <f t="shared" si="21"/>
        <v>-0.34999999999999964</v>
      </c>
      <c r="N125" s="56">
        <f t="shared" si="13"/>
        <v>-19.290046219188717</v>
      </c>
      <c r="O125" s="56">
        <f t="shared" si="14"/>
        <v>-142.59245732963961</v>
      </c>
      <c r="P125" s="56">
        <f t="shared" si="15"/>
        <v>89.734952625570372</v>
      </c>
      <c r="Q125" s="56">
        <f>IF(H125=1,I125*VEHICLE!$C$69,IF(H125=2,VEHICLE!$C$70*I125,IF(H125=3,VEHICLE!$C$71*I125,0)))</f>
        <v>1.0619700000000003</v>
      </c>
      <c r="R125" s="56">
        <f>(J125+K125+O125+Q125)</f>
        <v>90.796922625570375</v>
      </c>
      <c r="S125" s="56">
        <f t="shared" si="16"/>
        <v>90.796922625570375</v>
      </c>
      <c r="T125" s="56">
        <f>ABS((R125)/((2*PI()*G125)/60))</f>
        <v>0.13339180664669426</v>
      </c>
      <c r="U125" s="56">
        <f t="shared" si="17"/>
        <v>1</v>
      </c>
      <c r="V125" s="56">
        <f>INDEX(BSFC!$D$4:$AD$26,MATCH(U125,BSFC!$B$4:$B$26,0),MATCH(G125,BSFC!$D$2:$AD$2,0))</f>
        <v>925.65735288000019</v>
      </c>
      <c r="W125" s="56">
        <f t="shared" si="22"/>
        <v>2.3346344179787686E-2</v>
      </c>
      <c r="X125" s="56">
        <f t="shared" si="18"/>
        <v>2.3346344179787686E-2</v>
      </c>
      <c r="Y125" s="56">
        <f t="shared" si="19"/>
        <v>7.2140203515543941E-2</v>
      </c>
      <c r="Z125" s="79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x14ac:dyDescent="0.3">
      <c r="A126" s="55">
        <v>1</v>
      </c>
      <c r="B126" s="56" t="s">
        <v>102</v>
      </c>
      <c r="C126" s="56">
        <f t="shared" si="20"/>
        <v>123</v>
      </c>
      <c r="D126" s="56">
        <f t="shared" si="12"/>
        <v>29.998170000000002</v>
      </c>
      <c r="E126" s="94">
        <v>13.41</v>
      </c>
      <c r="F126" s="94">
        <f>($C$4/E126)+F125</f>
        <v>11.745407309838303</v>
      </c>
      <c r="G126" s="56">
        <v>6500</v>
      </c>
      <c r="H126" s="56">
        <v>3</v>
      </c>
      <c r="I126" s="94">
        <f>E126-E125</f>
        <v>0</v>
      </c>
      <c r="J126" s="56">
        <f>(0.5*VEHICLE!$C$71*VEHICLE!$C$28*VEHICLE!$C$27*'Drive Cycle'!E126^2)</f>
        <v>159.97581505520998</v>
      </c>
      <c r="K126" s="56">
        <f>IF(A126=1,VEHICLE!$S$5,IF(A126=2,VEHICLE!$Q$5,IF(A126=3,VEHICLE!$R$5,IF(A126=4,VEHICLE!$P$5,1))))</f>
        <v>72.351594900000009</v>
      </c>
      <c r="L126" s="56">
        <f t="shared" si="25"/>
        <v>7.4500000000000011</v>
      </c>
      <c r="M126" s="56">
        <f t="shared" si="21"/>
        <v>-0.34999999999999964</v>
      </c>
      <c r="N126" s="56">
        <f t="shared" si="13"/>
        <v>-19.290046219188717</v>
      </c>
      <c r="O126" s="56">
        <f t="shared" si="14"/>
        <v>-142.59245732963961</v>
      </c>
      <c r="P126" s="56">
        <f t="shared" si="15"/>
        <v>89.734952625570372</v>
      </c>
      <c r="Q126" s="56">
        <f>IF(H126=1,I126*VEHICLE!$C$69,IF(H126=2,VEHICLE!$C$70*I126,IF(H126=3,VEHICLE!$C$71*I126,0)))</f>
        <v>0</v>
      </c>
      <c r="R126" s="56">
        <f>(J126+K126+O126+Q126)</f>
        <v>89.734952625570372</v>
      </c>
      <c r="S126" s="56">
        <f t="shared" si="16"/>
        <v>89.734952625570372</v>
      </c>
      <c r="T126" s="56">
        <f>ABS((R126)/((2*PI()*G126)/60))</f>
        <v>0.13183164257055302</v>
      </c>
      <c r="U126" s="56">
        <f t="shared" si="17"/>
        <v>1</v>
      </c>
      <c r="V126" s="56">
        <f>INDEX(BSFC!$D$4:$AD$26,MATCH(U126,BSFC!$B$4:$B$26,0),MATCH(G126,BSFC!$D$2:$AD$2,0))</f>
        <v>925.65735288000019</v>
      </c>
      <c r="W126" s="56">
        <f t="shared" si="22"/>
        <v>2.307328297449936E-2</v>
      </c>
      <c r="X126" s="56">
        <f t="shared" si="18"/>
        <v>2.307328297449936E-2</v>
      </c>
      <c r="Y126" s="56">
        <f t="shared" si="19"/>
        <v>7.1296444391203015E-2</v>
      </c>
      <c r="Z126" s="79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x14ac:dyDescent="0.3">
      <c r="A127" s="55">
        <v>1</v>
      </c>
      <c r="B127" s="56" t="s">
        <v>102</v>
      </c>
      <c r="C127" s="56">
        <f t="shared" si="20"/>
        <v>124</v>
      </c>
      <c r="D127" s="56">
        <f t="shared" si="12"/>
        <v>29.998170000000002</v>
      </c>
      <c r="E127" s="94">
        <v>13.41</v>
      </c>
      <c r="F127" s="94">
        <f>($C$4/E127)+F126</f>
        <v>11.819978525349116</v>
      </c>
      <c r="G127" s="56">
        <v>6500</v>
      </c>
      <c r="H127" s="56">
        <v>3</v>
      </c>
      <c r="I127" s="94">
        <f>E127-E126</f>
        <v>0</v>
      </c>
      <c r="J127" s="56">
        <f>(0.5*VEHICLE!$C$71*VEHICLE!$C$28*VEHICLE!$C$27*'Drive Cycle'!E127^2)</f>
        <v>159.97581505520998</v>
      </c>
      <c r="K127" s="56">
        <f>IF(A127=1,VEHICLE!$S$5,IF(A127=2,VEHICLE!$Q$5,IF(A127=3,VEHICLE!$R$5,IF(A127=4,VEHICLE!$P$5,1))))</f>
        <v>72.351594900000009</v>
      </c>
      <c r="L127" s="56">
        <f t="shared" si="25"/>
        <v>7.1000000000000014</v>
      </c>
      <c r="M127" s="56">
        <f t="shared" si="21"/>
        <v>-0.34999999999999964</v>
      </c>
      <c r="N127" s="56">
        <f t="shared" si="13"/>
        <v>-19.290046219188717</v>
      </c>
      <c r="O127" s="56">
        <f t="shared" si="14"/>
        <v>-142.59245732963961</v>
      </c>
      <c r="P127" s="56">
        <f t="shared" si="15"/>
        <v>89.734952625570372</v>
      </c>
      <c r="Q127" s="56">
        <f>IF(H127=1,I127*VEHICLE!$C$69,IF(H127=2,VEHICLE!$C$70*I127,IF(H127=3,VEHICLE!$C$71*I127,0)))</f>
        <v>0</v>
      </c>
      <c r="R127" s="56">
        <f>(J127+K127+O127+Q127)</f>
        <v>89.734952625570372</v>
      </c>
      <c r="S127" s="56">
        <f t="shared" si="16"/>
        <v>89.734952625570372</v>
      </c>
      <c r="T127" s="56">
        <f>ABS((R127)/((2*PI()*G127)/60))</f>
        <v>0.13183164257055302</v>
      </c>
      <c r="U127" s="56">
        <f t="shared" si="17"/>
        <v>1</v>
      </c>
      <c r="V127" s="56">
        <f>INDEX(BSFC!$D$4:$AD$26,MATCH(U127,BSFC!$B$4:$B$26,0),MATCH(G127,BSFC!$D$2:$AD$2,0))</f>
        <v>925.65735288000019</v>
      </c>
      <c r="W127" s="56">
        <f t="shared" si="22"/>
        <v>2.307328297449936E-2</v>
      </c>
      <c r="X127" s="56">
        <f t="shared" si="18"/>
        <v>2.307328297449936E-2</v>
      </c>
      <c r="Y127" s="56">
        <f t="shared" si="19"/>
        <v>7.1296444391203015E-2</v>
      </c>
      <c r="Z127" s="79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x14ac:dyDescent="0.3">
      <c r="A128" s="55">
        <v>1</v>
      </c>
      <c r="B128" s="56" t="s">
        <v>102</v>
      </c>
      <c r="C128" s="56">
        <f t="shared" si="20"/>
        <v>125</v>
      </c>
      <c r="D128" s="56">
        <f t="shared" si="12"/>
        <v>29.998170000000002</v>
      </c>
      <c r="E128" s="94">
        <v>13.41</v>
      </c>
      <c r="F128" s="94">
        <f>($C$4/E128)+F127</f>
        <v>11.894549740859929</v>
      </c>
      <c r="G128" s="56">
        <v>6500</v>
      </c>
      <c r="H128" s="56">
        <v>3</v>
      </c>
      <c r="I128" s="94">
        <f>E128-E127</f>
        <v>0</v>
      </c>
      <c r="J128" s="56">
        <f>(0.5*VEHICLE!$C$71*VEHICLE!$C$28*VEHICLE!$C$27*'Drive Cycle'!E128^2)</f>
        <v>159.97581505520998</v>
      </c>
      <c r="K128" s="56">
        <f>IF(A128=1,VEHICLE!$S$5,IF(A128=2,VEHICLE!$Q$5,IF(A128=3,VEHICLE!$R$5,IF(A128=4,VEHICLE!$P$5,1))))</f>
        <v>72.351594900000009</v>
      </c>
      <c r="L128" s="56">
        <f t="shared" si="25"/>
        <v>6.7500000000000018</v>
      </c>
      <c r="M128" s="56">
        <f t="shared" si="21"/>
        <v>-0.34999999999999964</v>
      </c>
      <c r="N128" s="56">
        <f t="shared" si="13"/>
        <v>-19.290046219188717</v>
      </c>
      <c r="O128" s="56">
        <f t="shared" si="14"/>
        <v>-142.59245732963961</v>
      </c>
      <c r="P128" s="56">
        <f t="shared" si="15"/>
        <v>89.734952625570372</v>
      </c>
      <c r="Q128" s="56">
        <f>IF(H128=1,I128*VEHICLE!$C$69,IF(H128=2,VEHICLE!$C$70*I128,IF(H128=3,VEHICLE!$C$71*I128,0)))</f>
        <v>0</v>
      </c>
      <c r="R128" s="56">
        <f>(J128+K128+O128+Q128)</f>
        <v>89.734952625570372</v>
      </c>
      <c r="S128" s="56">
        <f t="shared" si="16"/>
        <v>89.734952625570372</v>
      </c>
      <c r="T128" s="56">
        <f>ABS((R128)/((2*PI()*G128)/60))</f>
        <v>0.13183164257055302</v>
      </c>
      <c r="U128" s="56">
        <f t="shared" si="17"/>
        <v>1</v>
      </c>
      <c r="V128" s="56">
        <f>INDEX(BSFC!$D$4:$AD$26,MATCH(U128,BSFC!$B$4:$B$26,0),MATCH(G128,BSFC!$D$2:$AD$2,0))</f>
        <v>925.65735288000019</v>
      </c>
      <c r="W128" s="56">
        <f t="shared" si="22"/>
        <v>2.307328297449936E-2</v>
      </c>
      <c r="X128" s="56">
        <f t="shared" si="18"/>
        <v>2.307328297449936E-2</v>
      </c>
      <c r="Y128" s="56">
        <f t="shared" si="19"/>
        <v>7.1296444391203015E-2</v>
      </c>
      <c r="Z128" s="79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x14ac:dyDescent="0.3">
      <c r="A129" s="55">
        <v>1</v>
      </c>
      <c r="B129" s="56" t="s">
        <v>102</v>
      </c>
      <c r="C129" s="56">
        <f t="shared" si="20"/>
        <v>126</v>
      </c>
      <c r="D129" s="56">
        <f t="shared" si="12"/>
        <v>29.998170000000002</v>
      </c>
      <c r="E129" s="94">
        <v>13.41</v>
      </c>
      <c r="F129" s="94">
        <f>($C$4/E129)+F128</f>
        <v>11.969120956370743</v>
      </c>
      <c r="G129" s="56">
        <v>6500</v>
      </c>
      <c r="H129" s="56">
        <v>3</v>
      </c>
      <c r="I129" s="94">
        <f>E129-E128</f>
        <v>0</v>
      </c>
      <c r="J129" s="56">
        <f>(0.5*VEHICLE!$C$71*VEHICLE!$C$28*VEHICLE!$C$27*'Drive Cycle'!E129^2)</f>
        <v>159.97581505520998</v>
      </c>
      <c r="K129" s="56">
        <f>IF(A129=1,VEHICLE!$S$5,IF(A129=2,VEHICLE!$Q$5,IF(A129=3,VEHICLE!$R$5,IF(A129=4,VEHICLE!$P$5,1))))</f>
        <v>72.351594900000009</v>
      </c>
      <c r="L129" s="56">
        <f t="shared" si="25"/>
        <v>6.4000000000000021</v>
      </c>
      <c r="M129" s="56">
        <f t="shared" si="21"/>
        <v>-0.34999999999999964</v>
      </c>
      <c r="N129" s="56">
        <f t="shared" si="13"/>
        <v>-19.290046219188717</v>
      </c>
      <c r="O129" s="56">
        <f t="shared" si="14"/>
        <v>-142.59245732963961</v>
      </c>
      <c r="P129" s="56">
        <f t="shared" si="15"/>
        <v>89.734952625570372</v>
      </c>
      <c r="Q129" s="56">
        <f>IF(H129=1,I129*VEHICLE!$C$69,IF(H129=2,VEHICLE!$C$70*I129,IF(H129=3,VEHICLE!$C$71*I129,0)))</f>
        <v>0</v>
      </c>
      <c r="R129" s="56">
        <f>(J129+K129+O129+Q129)</f>
        <v>89.734952625570372</v>
      </c>
      <c r="S129" s="56">
        <f t="shared" si="16"/>
        <v>89.734952625570372</v>
      </c>
      <c r="T129" s="56">
        <f>ABS((R129)/((2*PI()*G129)/60))</f>
        <v>0.13183164257055302</v>
      </c>
      <c r="U129" s="56">
        <f t="shared" si="17"/>
        <v>1</v>
      </c>
      <c r="V129" s="56">
        <f>INDEX(BSFC!$D$4:$AD$26,MATCH(U129,BSFC!$B$4:$B$26,0),MATCH(G129,BSFC!$D$2:$AD$2,0))</f>
        <v>925.65735288000019</v>
      </c>
      <c r="W129" s="56">
        <f t="shared" si="22"/>
        <v>2.307328297449936E-2</v>
      </c>
      <c r="X129" s="56">
        <f t="shared" si="18"/>
        <v>2.307328297449936E-2</v>
      </c>
      <c r="Y129" s="56">
        <f t="shared" si="19"/>
        <v>7.1296444391203015E-2</v>
      </c>
      <c r="Z129" s="79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x14ac:dyDescent="0.3">
      <c r="A130" s="55">
        <v>1</v>
      </c>
      <c r="B130" s="56" t="s">
        <v>102</v>
      </c>
      <c r="C130" s="56">
        <f t="shared" si="20"/>
        <v>127</v>
      </c>
      <c r="D130" s="56">
        <f t="shared" si="12"/>
        <v>29.998170000000002</v>
      </c>
      <c r="E130" s="94">
        <v>13.41</v>
      </c>
      <c r="F130" s="94">
        <f>($C$4/E130)+F129</f>
        <v>12.043692171881556</v>
      </c>
      <c r="G130" s="56">
        <v>6500</v>
      </c>
      <c r="H130" s="56">
        <v>3</v>
      </c>
      <c r="I130" s="94">
        <f>E130-E129</f>
        <v>0</v>
      </c>
      <c r="J130" s="56">
        <f>(0.5*VEHICLE!$C$71*VEHICLE!$C$28*VEHICLE!$C$27*'Drive Cycle'!E130^2)</f>
        <v>159.97581505520998</v>
      </c>
      <c r="K130" s="56">
        <f>IF(A130=1,VEHICLE!$S$5,IF(A130=2,VEHICLE!$Q$5,IF(A130=3,VEHICLE!$R$5,IF(A130=4,VEHICLE!$P$5,1))))</f>
        <v>72.351594900000009</v>
      </c>
      <c r="L130" s="56">
        <f t="shared" si="25"/>
        <v>6.0500000000000025</v>
      </c>
      <c r="M130" s="56">
        <f t="shared" si="21"/>
        <v>-0.34999999999999964</v>
      </c>
      <c r="N130" s="56">
        <f t="shared" si="13"/>
        <v>-19.290046219188717</v>
      </c>
      <c r="O130" s="56">
        <f t="shared" si="14"/>
        <v>-142.59245732963961</v>
      </c>
      <c r="P130" s="56">
        <f t="shared" si="15"/>
        <v>89.734952625570372</v>
      </c>
      <c r="Q130" s="56">
        <f>IF(H130=1,I130*VEHICLE!$C$69,IF(H130=2,VEHICLE!$C$70*I130,IF(H130=3,VEHICLE!$C$71*I130,0)))</f>
        <v>0</v>
      </c>
      <c r="R130" s="56">
        <f>(J130+K130+O130+Q130)</f>
        <v>89.734952625570372</v>
      </c>
      <c r="S130" s="56">
        <f t="shared" si="16"/>
        <v>89.734952625570372</v>
      </c>
      <c r="T130" s="56">
        <f>ABS((R130)/((2*PI()*G130)/60))</f>
        <v>0.13183164257055302</v>
      </c>
      <c r="U130" s="56">
        <f t="shared" si="17"/>
        <v>1</v>
      </c>
      <c r="V130" s="56">
        <f>INDEX(BSFC!$D$4:$AD$26,MATCH(U130,BSFC!$B$4:$B$26,0),MATCH(G130,BSFC!$D$2:$AD$2,0))</f>
        <v>925.65735288000019</v>
      </c>
      <c r="W130" s="56">
        <f t="shared" si="22"/>
        <v>2.307328297449936E-2</v>
      </c>
      <c r="X130" s="56">
        <f t="shared" si="18"/>
        <v>2.307328297449936E-2</v>
      </c>
      <c r="Y130" s="56">
        <f t="shared" si="19"/>
        <v>7.1296444391203015E-2</v>
      </c>
      <c r="Z130" s="79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x14ac:dyDescent="0.3">
      <c r="A131" s="55">
        <v>1</v>
      </c>
      <c r="B131" s="56" t="s">
        <v>102</v>
      </c>
      <c r="C131" s="56">
        <f t="shared" si="20"/>
        <v>128</v>
      </c>
      <c r="D131" s="56">
        <f t="shared" si="12"/>
        <v>29.998170000000002</v>
      </c>
      <c r="E131" s="94">
        <v>13.41</v>
      </c>
      <c r="F131" s="94">
        <f>($C$4/E131)+F130</f>
        <v>12.11826338739237</v>
      </c>
      <c r="G131" s="56">
        <v>6500</v>
      </c>
      <c r="H131" s="56">
        <v>3</v>
      </c>
      <c r="I131" s="94">
        <f>E131-E130</f>
        <v>0</v>
      </c>
      <c r="J131" s="56">
        <f>(0.5*VEHICLE!$C$71*VEHICLE!$C$28*VEHICLE!$C$27*'Drive Cycle'!E131^2)</f>
        <v>159.97581505520998</v>
      </c>
      <c r="K131" s="56">
        <f>IF(A131=1,VEHICLE!$S$5,IF(A131=2,VEHICLE!$Q$5,IF(A131=3,VEHICLE!$R$5,IF(A131=4,VEHICLE!$P$5,1))))</f>
        <v>72.351594900000009</v>
      </c>
      <c r="L131" s="56">
        <f t="shared" si="25"/>
        <v>5.7000000000000028</v>
      </c>
      <c r="M131" s="56">
        <f t="shared" si="21"/>
        <v>-0.34999999999999964</v>
      </c>
      <c r="N131" s="56">
        <f t="shared" si="13"/>
        <v>-19.290046219188717</v>
      </c>
      <c r="O131" s="56">
        <f t="shared" si="14"/>
        <v>-142.59245732963961</v>
      </c>
      <c r="P131" s="56">
        <f t="shared" si="15"/>
        <v>89.734952625570372</v>
      </c>
      <c r="Q131" s="56">
        <f>IF(H131=1,I131*VEHICLE!$C$69,IF(H131=2,VEHICLE!$C$70*I131,IF(H131=3,VEHICLE!$C$71*I131,0)))</f>
        <v>0</v>
      </c>
      <c r="R131" s="56">
        <f>(J131+K131+O131+Q131)</f>
        <v>89.734952625570372</v>
      </c>
      <c r="S131" s="56">
        <f t="shared" si="16"/>
        <v>89.734952625570372</v>
      </c>
      <c r="T131" s="56">
        <f>ABS((R131)/((2*PI()*G131)/60))</f>
        <v>0.13183164257055302</v>
      </c>
      <c r="U131" s="56">
        <f t="shared" si="17"/>
        <v>1</v>
      </c>
      <c r="V131" s="56">
        <f>INDEX(BSFC!$D$4:$AD$26,MATCH(U131,BSFC!$B$4:$B$26,0),MATCH(G131,BSFC!$D$2:$AD$2,0))</f>
        <v>925.65735288000019</v>
      </c>
      <c r="W131" s="56">
        <f t="shared" si="22"/>
        <v>2.307328297449936E-2</v>
      </c>
      <c r="X131" s="56">
        <f t="shared" si="18"/>
        <v>2.307328297449936E-2</v>
      </c>
      <c r="Y131" s="56">
        <f t="shared" si="19"/>
        <v>7.1296444391203015E-2</v>
      </c>
      <c r="Z131" s="79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x14ac:dyDescent="0.3">
      <c r="A132" s="55">
        <v>1</v>
      </c>
      <c r="B132" s="56" t="s">
        <v>102</v>
      </c>
      <c r="C132" s="56">
        <f t="shared" si="20"/>
        <v>129</v>
      </c>
      <c r="D132" s="56">
        <f t="shared" ref="D132:D195" si="26">E132*2.237</f>
        <v>29.998170000000002</v>
      </c>
      <c r="E132" s="94">
        <v>13.41</v>
      </c>
      <c r="F132" s="94">
        <f>($C$4/E132)+F131</f>
        <v>12.192834602903183</v>
      </c>
      <c r="G132" s="56">
        <v>6500</v>
      </c>
      <c r="H132" s="56">
        <v>3</v>
      </c>
      <c r="I132" s="94">
        <f>E132-E131</f>
        <v>0</v>
      </c>
      <c r="J132" s="56">
        <f>(0.5*VEHICLE!$C$71*VEHICLE!$C$28*VEHICLE!$C$27*'Drive Cycle'!E132^2)</f>
        <v>159.97581505520998</v>
      </c>
      <c r="K132" s="56">
        <f>IF(A132=1,VEHICLE!$S$5,IF(A132=2,VEHICLE!$Q$5,IF(A132=3,VEHICLE!$R$5,IF(A132=4,VEHICLE!$P$5,1))))</f>
        <v>72.351594900000009</v>
      </c>
      <c r="L132" s="56">
        <f t="shared" si="25"/>
        <v>5.3500000000000032</v>
      </c>
      <c r="M132" s="56">
        <f t="shared" si="21"/>
        <v>-0.34999999999999964</v>
      </c>
      <c r="N132" s="56">
        <f t="shared" ref="N132:N195" si="27">DEGREES(ATAN(M132/$C$4))</f>
        <v>-19.290046219188717</v>
      </c>
      <c r="O132" s="56">
        <f t="shared" ref="O132:O195" si="28">9.81*SIN(RADIANS(N132))*($C$47)</f>
        <v>-142.59245732963961</v>
      </c>
      <c r="P132" s="56">
        <f t="shared" ref="P132:P195" si="29">J132+K132+O132</f>
        <v>89.734952625570372</v>
      </c>
      <c r="Q132" s="56">
        <f>IF(H132=1,I132*VEHICLE!$C$69,IF(H132=2,VEHICLE!$C$70*I132,IF(H132=3,VEHICLE!$C$71*I132,0)))</f>
        <v>0</v>
      </c>
      <c r="R132" s="56">
        <f>(J132+K132+O132+Q132)</f>
        <v>89.734952625570372</v>
      </c>
      <c r="S132" s="56">
        <f t="shared" ref="S132:S195" si="30">ABS(R132)</f>
        <v>89.734952625570372</v>
      </c>
      <c r="T132" s="56">
        <f>ABS((R132)/((2*PI()*G132)/60))</f>
        <v>0.13183164257055302</v>
      </c>
      <c r="U132" s="56">
        <f t="shared" ref="U132:U195" si="31">ROUNDUP(T132,0)</f>
        <v>1</v>
      </c>
      <c r="V132" s="56">
        <f>INDEX(BSFC!$D$4:$AD$26,MATCH(U132,BSFC!$B$4:$B$26,0),MATCH(G132,BSFC!$D$2:$AD$2,0))</f>
        <v>925.65735288000019</v>
      </c>
      <c r="W132" s="56">
        <f t="shared" si="22"/>
        <v>2.307328297449936E-2</v>
      </c>
      <c r="X132" s="56">
        <f t="shared" ref="X132:X195" si="32">ABS(W132)</f>
        <v>2.307328297449936E-2</v>
      </c>
      <c r="Y132" s="56">
        <f t="shared" ref="Y132:Y195" si="33">W132*3.09</f>
        <v>7.1296444391203015E-2</v>
      </c>
      <c r="Z132" s="79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x14ac:dyDescent="0.3">
      <c r="A133" s="55">
        <v>1</v>
      </c>
      <c r="B133" s="56" t="s">
        <v>102</v>
      </c>
      <c r="C133" s="56">
        <f t="shared" ref="C133:C166" si="34">C132+1</f>
        <v>130</v>
      </c>
      <c r="D133" s="56">
        <f t="shared" si="26"/>
        <v>29.998170000000002</v>
      </c>
      <c r="E133" s="94">
        <v>13.41</v>
      </c>
      <c r="F133" s="94">
        <f>($C$4/E133)+F132</f>
        <v>12.267405818413996</v>
      </c>
      <c r="G133" s="56">
        <v>6500</v>
      </c>
      <c r="H133" s="56">
        <v>3</v>
      </c>
      <c r="I133" s="94">
        <f>E133-E132</f>
        <v>0</v>
      </c>
      <c r="J133" s="56">
        <f>(0.5*VEHICLE!$C$71*VEHICLE!$C$28*VEHICLE!$C$27*'Drive Cycle'!E133^2)</f>
        <v>159.97581505520998</v>
      </c>
      <c r="K133" s="56">
        <f>IF(A133=1,VEHICLE!$S$5,IF(A133=2,VEHICLE!$Q$5,IF(A133=3,VEHICLE!$R$5,IF(A133=4,VEHICLE!$P$5,1))))</f>
        <v>72.351594900000009</v>
      </c>
      <c r="L133" s="56">
        <f t="shared" si="25"/>
        <v>5.0000000000000036</v>
      </c>
      <c r="M133" s="56">
        <f t="shared" ref="M133:M196" si="35">L133-L132</f>
        <v>-0.34999999999999964</v>
      </c>
      <c r="N133" s="56">
        <f t="shared" si="27"/>
        <v>-19.290046219188717</v>
      </c>
      <c r="O133" s="56">
        <f t="shared" si="28"/>
        <v>-142.59245732963961</v>
      </c>
      <c r="P133" s="56">
        <f t="shared" si="29"/>
        <v>89.734952625570372</v>
      </c>
      <c r="Q133" s="56">
        <f>IF(H133=1,I133*VEHICLE!$C$69,IF(H133=2,VEHICLE!$C$70*I133,IF(H133=3,VEHICLE!$C$71*I133,0)))</f>
        <v>0</v>
      </c>
      <c r="R133" s="56">
        <f>(J133+K133+O133+Q133)</f>
        <v>89.734952625570372</v>
      </c>
      <c r="S133" s="56">
        <f t="shared" si="30"/>
        <v>89.734952625570372</v>
      </c>
      <c r="T133" s="56">
        <f>ABS((R133)/((2*PI()*G133)/60))</f>
        <v>0.13183164257055302</v>
      </c>
      <c r="U133" s="56">
        <f t="shared" si="31"/>
        <v>1</v>
      </c>
      <c r="V133" s="56">
        <f>INDEX(BSFC!$D$4:$AD$26,MATCH(U133,BSFC!$B$4:$B$26,0),MATCH(G133,BSFC!$D$2:$AD$2,0))</f>
        <v>925.65735288000019</v>
      </c>
      <c r="W133" s="56">
        <f t="shared" ref="W133:W196" si="36">(R133*V133/3600)/1000</f>
        <v>2.307328297449936E-2</v>
      </c>
      <c r="X133" s="56">
        <f t="shared" si="32"/>
        <v>2.307328297449936E-2</v>
      </c>
      <c r="Y133" s="56">
        <f t="shared" si="33"/>
        <v>7.1296444391203015E-2</v>
      </c>
      <c r="Z133" s="79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x14ac:dyDescent="0.3">
      <c r="A134" s="55">
        <v>1</v>
      </c>
      <c r="B134" s="56" t="s">
        <v>102</v>
      </c>
      <c r="C134" s="56">
        <f t="shared" si="34"/>
        <v>131</v>
      </c>
      <c r="D134" s="56">
        <f t="shared" si="26"/>
        <v>29.998170000000002</v>
      </c>
      <c r="E134" s="94">
        <v>13.41</v>
      </c>
      <c r="F134" s="94">
        <f>($C$4/E134)+F133</f>
        <v>12.34197703392481</v>
      </c>
      <c r="G134" s="56">
        <v>6500</v>
      </c>
      <c r="H134" s="56">
        <v>3</v>
      </c>
      <c r="I134" s="94">
        <f>E134-E133</f>
        <v>0</v>
      </c>
      <c r="J134" s="56">
        <f>(0.5*VEHICLE!$C$71*VEHICLE!$C$28*VEHICLE!$C$27*'Drive Cycle'!E134^2)</f>
        <v>159.97581505520998</v>
      </c>
      <c r="K134" s="56">
        <f>IF(A134=1,VEHICLE!$S$5,IF(A134=2,VEHICLE!$Q$5,IF(A134=3,VEHICLE!$R$5,IF(A134=4,VEHICLE!$P$5,1))))</f>
        <v>72.351594900000009</v>
      </c>
      <c r="L134" s="56">
        <f t="shared" si="25"/>
        <v>4.6500000000000039</v>
      </c>
      <c r="M134" s="56">
        <f t="shared" si="35"/>
        <v>-0.34999999999999964</v>
      </c>
      <c r="N134" s="56">
        <f t="shared" si="27"/>
        <v>-19.290046219188717</v>
      </c>
      <c r="O134" s="56">
        <f t="shared" si="28"/>
        <v>-142.59245732963961</v>
      </c>
      <c r="P134" s="56">
        <f t="shared" si="29"/>
        <v>89.734952625570372</v>
      </c>
      <c r="Q134" s="56">
        <f>IF(H134=1,I134*VEHICLE!$C$69,IF(H134=2,VEHICLE!$C$70*I134,IF(H134=3,VEHICLE!$C$71*I134,0)))</f>
        <v>0</v>
      </c>
      <c r="R134" s="56">
        <f>(J134+K134+O134+Q134)</f>
        <v>89.734952625570372</v>
      </c>
      <c r="S134" s="56">
        <f t="shared" si="30"/>
        <v>89.734952625570372</v>
      </c>
      <c r="T134" s="56">
        <f>ABS((R134)/((2*PI()*G134)/60))</f>
        <v>0.13183164257055302</v>
      </c>
      <c r="U134" s="56">
        <f t="shared" si="31"/>
        <v>1</v>
      </c>
      <c r="V134" s="56">
        <f>INDEX(BSFC!$D$4:$AD$26,MATCH(U134,BSFC!$B$4:$B$26,0),MATCH(G134,BSFC!$D$2:$AD$2,0))</f>
        <v>925.65735288000019</v>
      </c>
      <c r="W134" s="56">
        <f t="shared" si="36"/>
        <v>2.307328297449936E-2</v>
      </c>
      <c r="X134" s="56">
        <f t="shared" si="32"/>
        <v>2.307328297449936E-2</v>
      </c>
      <c r="Y134" s="56">
        <f t="shared" si="33"/>
        <v>7.1296444391203015E-2</v>
      </c>
      <c r="Z134" s="79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x14ac:dyDescent="0.3">
      <c r="A135" s="55">
        <v>1</v>
      </c>
      <c r="B135" s="56" t="s">
        <v>102</v>
      </c>
      <c r="C135" s="56">
        <f t="shared" si="34"/>
        <v>132</v>
      </c>
      <c r="D135" s="56">
        <f t="shared" si="26"/>
        <v>29.998170000000002</v>
      </c>
      <c r="E135" s="94">
        <v>13.41</v>
      </c>
      <c r="F135" s="94">
        <f>($C$4/E135)+F134</f>
        <v>12.416548249435623</v>
      </c>
      <c r="G135" s="56">
        <v>6500</v>
      </c>
      <c r="H135" s="56">
        <v>3</v>
      </c>
      <c r="I135" s="94">
        <f>E135-E134</f>
        <v>0</v>
      </c>
      <c r="J135" s="56">
        <f>(0.5*VEHICLE!$C$71*VEHICLE!$C$28*VEHICLE!$C$27*'Drive Cycle'!E135^2)</f>
        <v>159.97581505520998</v>
      </c>
      <c r="K135" s="56">
        <f>IF(A135=1,VEHICLE!$S$5,IF(A135=2,VEHICLE!$Q$5,IF(A135=3,VEHICLE!$R$5,IF(A135=4,VEHICLE!$P$5,1))))</f>
        <v>72.351594900000009</v>
      </c>
      <c r="L135" s="56">
        <f t="shared" si="25"/>
        <v>4.3000000000000043</v>
      </c>
      <c r="M135" s="56">
        <f t="shared" si="35"/>
        <v>-0.34999999999999964</v>
      </c>
      <c r="N135" s="56">
        <f t="shared" si="27"/>
        <v>-19.290046219188717</v>
      </c>
      <c r="O135" s="56">
        <f t="shared" si="28"/>
        <v>-142.59245732963961</v>
      </c>
      <c r="P135" s="56">
        <f t="shared" si="29"/>
        <v>89.734952625570372</v>
      </c>
      <c r="Q135" s="56">
        <f>IF(H135=1,I135*VEHICLE!$C$69,IF(H135=2,VEHICLE!$C$70*I135,IF(H135=3,VEHICLE!$C$71*I135,0)))</f>
        <v>0</v>
      </c>
      <c r="R135" s="56">
        <f>(J135+K135+O135+Q135)</f>
        <v>89.734952625570372</v>
      </c>
      <c r="S135" s="56">
        <f t="shared" si="30"/>
        <v>89.734952625570372</v>
      </c>
      <c r="T135" s="56">
        <f>ABS((R135)/((2*PI()*G135)/60))</f>
        <v>0.13183164257055302</v>
      </c>
      <c r="U135" s="56">
        <f t="shared" si="31"/>
        <v>1</v>
      </c>
      <c r="V135" s="56">
        <f>INDEX(BSFC!$D$4:$AD$26,MATCH(U135,BSFC!$B$4:$B$26,0),MATCH(G135,BSFC!$D$2:$AD$2,0))</f>
        <v>925.65735288000019</v>
      </c>
      <c r="W135" s="56">
        <f t="shared" si="36"/>
        <v>2.307328297449936E-2</v>
      </c>
      <c r="X135" s="56">
        <f t="shared" si="32"/>
        <v>2.307328297449936E-2</v>
      </c>
      <c r="Y135" s="56">
        <f t="shared" si="33"/>
        <v>7.1296444391203015E-2</v>
      </c>
      <c r="Z135" s="79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x14ac:dyDescent="0.3">
      <c r="A136" s="55">
        <v>1</v>
      </c>
      <c r="B136" s="56" t="s">
        <v>102</v>
      </c>
      <c r="C136" s="56">
        <f t="shared" si="34"/>
        <v>133</v>
      </c>
      <c r="D136" s="56">
        <f t="shared" si="26"/>
        <v>29.998170000000002</v>
      </c>
      <c r="E136" s="94">
        <v>13.41</v>
      </c>
      <c r="F136" s="94">
        <f>($C$4/E136)+F135</f>
        <v>12.491119464946436</v>
      </c>
      <c r="G136" s="56">
        <v>6500</v>
      </c>
      <c r="H136" s="56">
        <v>3</v>
      </c>
      <c r="I136" s="94">
        <f>E136-E135</f>
        <v>0</v>
      </c>
      <c r="J136" s="56">
        <f>(0.5*VEHICLE!$C$71*VEHICLE!$C$28*VEHICLE!$C$27*'Drive Cycle'!E136^2)</f>
        <v>159.97581505520998</v>
      </c>
      <c r="K136" s="56">
        <f>IF(A136=1,VEHICLE!$S$5,IF(A136=2,VEHICLE!$Q$5,IF(A136=3,VEHICLE!$R$5,IF(A136=4,VEHICLE!$P$5,1))))</f>
        <v>72.351594900000009</v>
      </c>
      <c r="L136" s="56">
        <f t="shared" si="25"/>
        <v>3.9500000000000042</v>
      </c>
      <c r="M136" s="56">
        <f t="shared" si="35"/>
        <v>-0.35000000000000009</v>
      </c>
      <c r="N136" s="56">
        <f t="shared" si="27"/>
        <v>-19.290046219188739</v>
      </c>
      <c r="O136" s="56">
        <f t="shared" si="28"/>
        <v>-142.59245732963976</v>
      </c>
      <c r="P136" s="56">
        <f t="shared" si="29"/>
        <v>89.73495262557023</v>
      </c>
      <c r="Q136" s="56">
        <f>IF(H136=1,I136*VEHICLE!$C$69,IF(H136=2,VEHICLE!$C$70*I136,IF(H136=3,VEHICLE!$C$71*I136,0)))</f>
        <v>0</v>
      </c>
      <c r="R136" s="56">
        <f>(J136+K136+O136+Q136)</f>
        <v>89.73495262557023</v>
      </c>
      <c r="S136" s="56">
        <f t="shared" si="30"/>
        <v>89.73495262557023</v>
      </c>
      <c r="T136" s="56">
        <f>ABS((R136)/((2*PI()*G136)/60))</f>
        <v>0.1318316425705528</v>
      </c>
      <c r="U136" s="56">
        <f t="shared" si="31"/>
        <v>1</v>
      </c>
      <c r="V136" s="56">
        <f>INDEX(BSFC!$D$4:$AD$26,MATCH(U136,BSFC!$B$4:$B$26,0),MATCH(G136,BSFC!$D$2:$AD$2,0))</f>
        <v>925.65735288000019</v>
      </c>
      <c r="W136" s="56">
        <f t="shared" si="36"/>
        <v>2.3073282974499325E-2</v>
      </c>
      <c r="X136" s="56">
        <f t="shared" si="32"/>
        <v>2.3073282974499325E-2</v>
      </c>
      <c r="Y136" s="56">
        <f t="shared" si="33"/>
        <v>7.1296444391202918E-2</v>
      </c>
      <c r="Z136" s="79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x14ac:dyDescent="0.3">
      <c r="A137" s="55">
        <v>1</v>
      </c>
      <c r="B137" s="56" t="s">
        <v>102</v>
      </c>
      <c r="C137" s="56">
        <f t="shared" si="34"/>
        <v>134</v>
      </c>
      <c r="D137" s="56">
        <f t="shared" si="26"/>
        <v>29.998170000000002</v>
      </c>
      <c r="E137" s="94">
        <v>13.41</v>
      </c>
      <c r="F137" s="94">
        <f>($C$4/E137)+F136</f>
        <v>12.56569068045725</v>
      </c>
      <c r="G137" s="56">
        <v>6500</v>
      </c>
      <c r="H137" s="56">
        <v>3</v>
      </c>
      <c r="I137" s="94">
        <f>E137-E136</f>
        <v>0</v>
      </c>
      <c r="J137" s="56">
        <f>(0.5*VEHICLE!$C$71*VEHICLE!$C$28*VEHICLE!$C$27*'Drive Cycle'!E137^2)</f>
        <v>159.97581505520998</v>
      </c>
      <c r="K137" s="56">
        <f>IF(A137=1,VEHICLE!$S$5,IF(A137=2,VEHICLE!$Q$5,IF(A137=3,VEHICLE!$R$5,IF(A137=4,VEHICLE!$P$5,1))))</f>
        <v>72.351594900000009</v>
      </c>
      <c r="L137" s="56">
        <f t="shared" si="25"/>
        <v>3.6000000000000041</v>
      </c>
      <c r="M137" s="56">
        <f t="shared" si="35"/>
        <v>-0.35000000000000009</v>
      </c>
      <c r="N137" s="56">
        <f t="shared" si="27"/>
        <v>-19.290046219188739</v>
      </c>
      <c r="O137" s="56">
        <f t="shared" si="28"/>
        <v>-142.59245732963976</v>
      </c>
      <c r="P137" s="56">
        <f t="shared" si="29"/>
        <v>89.73495262557023</v>
      </c>
      <c r="Q137" s="56">
        <f>IF(H137=1,I137*VEHICLE!$C$69,IF(H137=2,VEHICLE!$C$70*I137,IF(H137=3,VEHICLE!$C$71*I137,0)))</f>
        <v>0</v>
      </c>
      <c r="R137" s="56">
        <f>(J137+K137+O137+Q137)</f>
        <v>89.73495262557023</v>
      </c>
      <c r="S137" s="56">
        <f t="shared" si="30"/>
        <v>89.73495262557023</v>
      </c>
      <c r="T137" s="56">
        <f>ABS((R137)/((2*PI()*G137)/60))</f>
        <v>0.1318316425705528</v>
      </c>
      <c r="U137" s="56">
        <f t="shared" si="31"/>
        <v>1</v>
      </c>
      <c r="V137" s="56">
        <f>INDEX(BSFC!$D$4:$AD$26,MATCH(U137,BSFC!$B$4:$B$26,0),MATCH(G137,BSFC!$D$2:$AD$2,0))</f>
        <v>925.65735288000019</v>
      </c>
      <c r="W137" s="56">
        <f t="shared" si="36"/>
        <v>2.3073282974499325E-2</v>
      </c>
      <c r="X137" s="56">
        <f t="shared" si="32"/>
        <v>2.3073282974499325E-2</v>
      </c>
      <c r="Y137" s="56">
        <f t="shared" si="33"/>
        <v>7.1296444391202918E-2</v>
      </c>
      <c r="Z137" s="79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x14ac:dyDescent="0.3">
      <c r="A138" s="55">
        <v>1</v>
      </c>
      <c r="B138" s="56" t="s">
        <v>102</v>
      </c>
      <c r="C138" s="56">
        <f t="shared" si="34"/>
        <v>135</v>
      </c>
      <c r="D138" s="56">
        <f t="shared" si="26"/>
        <v>29.998170000000002</v>
      </c>
      <c r="E138" s="94">
        <v>13.41</v>
      </c>
      <c r="F138" s="94">
        <f>($C$4/E138)+F137</f>
        <v>12.640261895968063</v>
      </c>
      <c r="G138" s="56">
        <v>6500</v>
      </c>
      <c r="H138" s="56">
        <v>3</v>
      </c>
      <c r="I138" s="94">
        <f>E138-E137</f>
        <v>0</v>
      </c>
      <c r="J138" s="56">
        <f>(0.5*VEHICLE!$C$71*VEHICLE!$C$28*VEHICLE!$C$27*'Drive Cycle'!E138^2)</f>
        <v>159.97581505520998</v>
      </c>
      <c r="K138" s="56">
        <f>IF(A138=1,VEHICLE!$S$5,IF(A138=2,VEHICLE!$Q$5,IF(A138=3,VEHICLE!$R$5,IF(A138=4,VEHICLE!$P$5,1))))</f>
        <v>72.351594900000009</v>
      </c>
      <c r="L138" s="56">
        <f t="shared" si="25"/>
        <v>3.250000000000004</v>
      </c>
      <c r="M138" s="56">
        <f t="shared" si="35"/>
        <v>-0.35000000000000009</v>
      </c>
      <c r="N138" s="56">
        <f t="shared" si="27"/>
        <v>-19.290046219188739</v>
      </c>
      <c r="O138" s="56">
        <f t="shared" si="28"/>
        <v>-142.59245732963976</v>
      </c>
      <c r="P138" s="56">
        <f t="shared" si="29"/>
        <v>89.73495262557023</v>
      </c>
      <c r="Q138" s="56">
        <f>IF(H138=1,I138*VEHICLE!$C$69,IF(H138=2,VEHICLE!$C$70*I138,IF(H138=3,VEHICLE!$C$71*I138,0)))</f>
        <v>0</v>
      </c>
      <c r="R138" s="56">
        <f>(J138+K138+O138+Q138)</f>
        <v>89.73495262557023</v>
      </c>
      <c r="S138" s="56">
        <f t="shared" si="30"/>
        <v>89.73495262557023</v>
      </c>
      <c r="T138" s="56">
        <f>ABS((R138)/((2*PI()*G138)/60))</f>
        <v>0.1318316425705528</v>
      </c>
      <c r="U138" s="56">
        <f t="shared" si="31"/>
        <v>1</v>
      </c>
      <c r="V138" s="56">
        <f>INDEX(BSFC!$D$4:$AD$26,MATCH(U138,BSFC!$B$4:$B$26,0),MATCH(G138,BSFC!$D$2:$AD$2,0))</f>
        <v>925.65735288000019</v>
      </c>
      <c r="W138" s="56">
        <f t="shared" si="36"/>
        <v>2.3073282974499325E-2</v>
      </c>
      <c r="X138" s="56">
        <f t="shared" si="32"/>
        <v>2.3073282974499325E-2</v>
      </c>
      <c r="Y138" s="56">
        <f t="shared" si="33"/>
        <v>7.1296444391202918E-2</v>
      </c>
      <c r="Z138" s="79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x14ac:dyDescent="0.3">
      <c r="A139" s="55">
        <v>1</v>
      </c>
      <c r="B139" s="56" t="s">
        <v>102</v>
      </c>
      <c r="C139" s="56">
        <f t="shared" si="34"/>
        <v>136</v>
      </c>
      <c r="D139" s="56">
        <f t="shared" si="26"/>
        <v>29.998170000000002</v>
      </c>
      <c r="E139" s="94">
        <v>13.41</v>
      </c>
      <c r="F139" s="94">
        <f>($C$4/E139)+F138</f>
        <v>12.714833111478876</v>
      </c>
      <c r="G139" s="56">
        <v>6500</v>
      </c>
      <c r="H139" s="56">
        <v>3</v>
      </c>
      <c r="I139" s="94">
        <f>E139-E138</f>
        <v>0</v>
      </c>
      <c r="J139" s="56">
        <f>(0.5*VEHICLE!$C$71*VEHICLE!$C$28*VEHICLE!$C$27*'Drive Cycle'!E139^2)</f>
        <v>159.97581505520998</v>
      </c>
      <c r="K139" s="56">
        <f>IF(A139=1,VEHICLE!$S$5,IF(A139=2,VEHICLE!$Q$5,IF(A139=3,VEHICLE!$R$5,IF(A139=4,VEHICLE!$P$5,1))))</f>
        <v>72.351594900000009</v>
      </c>
      <c r="L139" s="56">
        <f>L138-0.35</f>
        <v>2.9000000000000039</v>
      </c>
      <c r="M139" s="56">
        <f t="shared" si="35"/>
        <v>-0.35000000000000009</v>
      </c>
      <c r="N139" s="56">
        <f t="shared" si="27"/>
        <v>-19.290046219188739</v>
      </c>
      <c r="O139" s="56">
        <f t="shared" si="28"/>
        <v>-142.59245732963976</v>
      </c>
      <c r="P139" s="56">
        <f t="shared" si="29"/>
        <v>89.73495262557023</v>
      </c>
      <c r="Q139" s="56">
        <f>IF(H139=1,I139*VEHICLE!$C$69,IF(H139=2,VEHICLE!$C$70*I139,IF(H139=3,VEHICLE!$C$71*I139,0)))</f>
        <v>0</v>
      </c>
      <c r="R139" s="56">
        <f>(J139+K139+O139+Q139)</f>
        <v>89.73495262557023</v>
      </c>
      <c r="S139" s="56">
        <f t="shared" si="30"/>
        <v>89.73495262557023</v>
      </c>
      <c r="T139" s="56">
        <f>ABS((R139)/((2*PI()*G139)/60))</f>
        <v>0.1318316425705528</v>
      </c>
      <c r="U139" s="56">
        <f t="shared" si="31"/>
        <v>1</v>
      </c>
      <c r="V139" s="56">
        <f>INDEX(BSFC!$D$4:$AD$26,MATCH(U139,BSFC!$B$4:$B$26,0),MATCH(G139,BSFC!$D$2:$AD$2,0))</f>
        <v>925.65735288000019</v>
      </c>
      <c r="W139" s="56">
        <f t="shared" si="36"/>
        <v>2.3073282974499325E-2</v>
      </c>
      <c r="X139" s="56">
        <f t="shared" si="32"/>
        <v>2.3073282974499325E-2</v>
      </c>
      <c r="Y139" s="56">
        <f t="shared" si="33"/>
        <v>7.1296444391202918E-2</v>
      </c>
      <c r="Z139" s="79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x14ac:dyDescent="0.3">
      <c r="A140" s="55">
        <v>1</v>
      </c>
      <c r="B140" s="56" t="s">
        <v>102</v>
      </c>
      <c r="C140" s="56">
        <f t="shared" si="34"/>
        <v>137</v>
      </c>
      <c r="D140" s="56">
        <f t="shared" si="26"/>
        <v>29.998170000000002</v>
      </c>
      <c r="E140" s="94">
        <v>13.41</v>
      </c>
      <c r="F140" s="94">
        <f>($C$4/E140)+F139</f>
        <v>12.78940432698969</v>
      </c>
      <c r="G140" s="56">
        <v>6500</v>
      </c>
      <c r="H140" s="56">
        <v>3</v>
      </c>
      <c r="I140" s="94">
        <f>E140-E139</f>
        <v>0</v>
      </c>
      <c r="J140" s="56">
        <f>(0.5*VEHICLE!$C$71*VEHICLE!$C$28*VEHICLE!$C$27*'Drive Cycle'!E140^2)</f>
        <v>159.97581505520998</v>
      </c>
      <c r="K140" s="56">
        <f>IF(A140=1,VEHICLE!$S$5,IF(A140=2,VEHICLE!$Q$5,IF(A140=3,VEHICLE!$R$5,IF(A140=4,VEHICLE!$P$5,1))))</f>
        <v>72.351594900000009</v>
      </c>
      <c r="L140" s="56">
        <f t="shared" si="25"/>
        <v>2.5500000000000038</v>
      </c>
      <c r="M140" s="56">
        <f t="shared" si="35"/>
        <v>-0.35000000000000009</v>
      </c>
      <c r="N140" s="56">
        <f t="shared" si="27"/>
        <v>-19.290046219188739</v>
      </c>
      <c r="O140" s="56">
        <f t="shared" si="28"/>
        <v>-142.59245732963976</v>
      </c>
      <c r="P140" s="56">
        <f t="shared" si="29"/>
        <v>89.73495262557023</v>
      </c>
      <c r="Q140" s="56">
        <f>IF(H140=1,I140*VEHICLE!$C$69,IF(H140=2,VEHICLE!$C$70*I140,IF(H140=3,VEHICLE!$C$71*I140,0)))</f>
        <v>0</v>
      </c>
      <c r="R140" s="56">
        <f>(J140+K140+O140+Q140)</f>
        <v>89.73495262557023</v>
      </c>
      <c r="S140" s="56">
        <f t="shared" si="30"/>
        <v>89.73495262557023</v>
      </c>
      <c r="T140" s="56">
        <f>ABS((R140)/((2*PI()*G140)/60))</f>
        <v>0.1318316425705528</v>
      </c>
      <c r="U140" s="56">
        <f t="shared" si="31"/>
        <v>1</v>
      </c>
      <c r="V140" s="56">
        <f>INDEX(BSFC!$D$4:$AD$26,MATCH(U140,BSFC!$B$4:$B$26,0),MATCH(G140,BSFC!$D$2:$AD$2,0))</f>
        <v>925.65735288000019</v>
      </c>
      <c r="W140" s="56">
        <f t="shared" si="36"/>
        <v>2.3073282974499325E-2</v>
      </c>
      <c r="X140" s="56">
        <f t="shared" si="32"/>
        <v>2.3073282974499325E-2</v>
      </c>
      <c r="Y140" s="56">
        <f t="shared" si="33"/>
        <v>7.1296444391202918E-2</v>
      </c>
      <c r="Z140" s="79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x14ac:dyDescent="0.3">
      <c r="A141" s="55">
        <v>1</v>
      </c>
      <c r="B141" s="56" t="s">
        <v>102</v>
      </c>
      <c r="C141" s="56">
        <f t="shared" si="34"/>
        <v>138</v>
      </c>
      <c r="D141" s="56">
        <f t="shared" si="26"/>
        <v>29.998170000000002</v>
      </c>
      <c r="E141" s="94">
        <v>13.41</v>
      </c>
      <c r="F141" s="94">
        <f>($C$4/E141)+F140</f>
        <v>12.863975542500503</v>
      </c>
      <c r="G141" s="56">
        <v>6500</v>
      </c>
      <c r="H141" s="56">
        <v>3</v>
      </c>
      <c r="I141" s="94">
        <f>E141-E140</f>
        <v>0</v>
      </c>
      <c r="J141" s="56">
        <f>(0.5*VEHICLE!$C$71*VEHICLE!$C$28*VEHICLE!$C$27*'Drive Cycle'!E141^2)</f>
        <v>159.97581505520998</v>
      </c>
      <c r="K141" s="56">
        <f>IF(A141=1,VEHICLE!$S$5,IF(A141=2,VEHICLE!$Q$5,IF(A141=3,VEHICLE!$R$5,IF(A141=4,VEHICLE!$P$5,1))))</f>
        <v>72.351594900000009</v>
      </c>
      <c r="L141" s="56">
        <f t="shared" si="25"/>
        <v>2.2000000000000037</v>
      </c>
      <c r="M141" s="56">
        <f t="shared" si="35"/>
        <v>-0.35000000000000009</v>
      </c>
      <c r="N141" s="56">
        <f t="shared" si="27"/>
        <v>-19.290046219188739</v>
      </c>
      <c r="O141" s="56">
        <f t="shared" si="28"/>
        <v>-142.59245732963976</v>
      </c>
      <c r="P141" s="56">
        <f t="shared" si="29"/>
        <v>89.73495262557023</v>
      </c>
      <c r="Q141" s="56">
        <f>IF(H141=1,I141*VEHICLE!$C$69,IF(H141=2,VEHICLE!$C$70*I141,IF(H141=3,VEHICLE!$C$71*I141,0)))</f>
        <v>0</v>
      </c>
      <c r="R141" s="56">
        <f>(J141+K141+O141+Q141)</f>
        <v>89.73495262557023</v>
      </c>
      <c r="S141" s="56">
        <f t="shared" si="30"/>
        <v>89.73495262557023</v>
      </c>
      <c r="T141" s="56">
        <f>ABS((R141)/((2*PI()*G141)/60))</f>
        <v>0.1318316425705528</v>
      </c>
      <c r="U141" s="56">
        <f t="shared" si="31"/>
        <v>1</v>
      </c>
      <c r="V141" s="56">
        <f>INDEX(BSFC!$D$4:$AD$26,MATCH(U141,BSFC!$B$4:$B$26,0),MATCH(G141,BSFC!$D$2:$AD$2,0))</f>
        <v>925.65735288000019</v>
      </c>
      <c r="W141" s="56">
        <f t="shared" si="36"/>
        <v>2.3073282974499325E-2</v>
      </c>
      <c r="X141" s="56">
        <f t="shared" si="32"/>
        <v>2.3073282974499325E-2</v>
      </c>
      <c r="Y141" s="56">
        <f t="shared" si="33"/>
        <v>7.1296444391202918E-2</v>
      </c>
      <c r="Z141" s="79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x14ac:dyDescent="0.3">
      <c r="A142" s="55">
        <v>1</v>
      </c>
      <c r="B142" s="56" t="s">
        <v>102</v>
      </c>
      <c r="C142" s="56">
        <f t="shared" si="34"/>
        <v>139</v>
      </c>
      <c r="D142" s="56">
        <f t="shared" si="26"/>
        <v>29.998170000000002</v>
      </c>
      <c r="E142" s="94">
        <v>13.41</v>
      </c>
      <c r="F142" s="94">
        <f>($C$4/E142)+F141</f>
        <v>12.938546758011316</v>
      </c>
      <c r="G142" s="56">
        <v>6500</v>
      </c>
      <c r="H142" s="56">
        <v>3</v>
      </c>
      <c r="I142" s="94">
        <f>E142-E141</f>
        <v>0</v>
      </c>
      <c r="J142" s="56">
        <f>(0.5*VEHICLE!$C$71*VEHICLE!$C$28*VEHICLE!$C$27*'Drive Cycle'!E142^2)</f>
        <v>159.97581505520998</v>
      </c>
      <c r="K142" s="56">
        <f>IF(A142=1,VEHICLE!$S$5,IF(A142=2,VEHICLE!$Q$5,IF(A142=3,VEHICLE!$R$5,IF(A142=4,VEHICLE!$P$5,1))))</f>
        <v>72.351594900000009</v>
      </c>
      <c r="L142" s="56">
        <f t="shared" si="25"/>
        <v>1.8500000000000036</v>
      </c>
      <c r="M142" s="56">
        <f t="shared" si="35"/>
        <v>-0.35000000000000009</v>
      </c>
      <c r="N142" s="56">
        <f t="shared" si="27"/>
        <v>-19.290046219188739</v>
      </c>
      <c r="O142" s="56">
        <f t="shared" si="28"/>
        <v>-142.59245732963976</v>
      </c>
      <c r="P142" s="56">
        <f t="shared" si="29"/>
        <v>89.73495262557023</v>
      </c>
      <c r="Q142" s="56">
        <f>IF(H142=1,I142*VEHICLE!$C$69,IF(H142=2,VEHICLE!$C$70*I142,IF(H142=3,VEHICLE!$C$71*I142,0)))</f>
        <v>0</v>
      </c>
      <c r="R142" s="56">
        <f>(J142+K142+O142+Q142)</f>
        <v>89.73495262557023</v>
      </c>
      <c r="S142" s="56">
        <f t="shared" si="30"/>
        <v>89.73495262557023</v>
      </c>
      <c r="T142" s="56">
        <f>ABS((R142)/((2*PI()*G142)/60))</f>
        <v>0.1318316425705528</v>
      </c>
      <c r="U142" s="56">
        <f t="shared" si="31"/>
        <v>1</v>
      </c>
      <c r="V142" s="56">
        <f>INDEX(BSFC!$D$4:$AD$26,MATCH(U142,BSFC!$B$4:$B$26,0),MATCH(G142,BSFC!$D$2:$AD$2,0))</f>
        <v>925.65735288000019</v>
      </c>
      <c r="W142" s="56">
        <f t="shared" si="36"/>
        <v>2.3073282974499325E-2</v>
      </c>
      <c r="X142" s="56">
        <f t="shared" si="32"/>
        <v>2.3073282974499325E-2</v>
      </c>
      <c r="Y142" s="56">
        <f t="shared" si="33"/>
        <v>7.1296444391202918E-2</v>
      </c>
      <c r="Z142" s="79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x14ac:dyDescent="0.3">
      <c r="A143" s="55">
        <v>1</v>
      </c>
      <c r="B143" s="56" t="s">
        <v>102</v>
      </c>
      <c r="C143" s="56">
        <f t="shared" si="34"/>
        <v>140</v>
      </c>
      <c r="D143" s="56">
        <f t="shared" si="26"/>
        <v>29.998170000000002</v>
      </c>
      <c r="E143" s="94">
        <v>13.41</v>
      </c>
      <c r="F143" s="94">
        <f>($C$4/E143)+F142</f>
        <v>13.01311797352213</v>
      </c>
      <c r="G143" s="56">
        <v>6500</v>
      </c>
      <c r="H143" s="56">
        <v>3</v>
      </c>
      <c r="I143" s="94">
        <f>E143-E142</f>
        <v>0</v>
      </c>
      <c r="J143" s="56">
        <f>(0.5*VEHICLE!$C$71*VEHICLE!$C$28*VEHICLE!$C$27*'Drive Cycle'!E143^2)</f>
        <v>159.97581505520998</v>
      </c>
      <c r="K143" s="56">
        <f>IF(A143=1,VEHICLE!$S$5,IF(A143=2,VEHICLE!$Q$5,IF(A143=3,VEHICLE!$R$5,IF(A143=4,VEHICLE!$P$5,1))))</f>
        <v>72.351594900000009</v>
      </c>
      <c r="L143" s="56">
        <f t="shared" si="25"/>
        <v>1.5000000000000036</v>
      </c>
      <c r="M143" s="56">
        <f t="shared" si="35"/>
        <v>-0.35000000000000009</v>
      </c>
      <c r="N143" s="56">
        <f t="shared" si="27"/>
        <v>-19.290046219188739</v>
      </c>
      <c r="O143" s="56">
        <f t="shared" si="28"/>
        <v>-142.59245732963976</v>
      </c>
      <c r="P143" s="56">
        <f t="shared" si="29"/>
        <v>89.73495262557023</v>
      </c>
      <c r="Q143" s="56">
        <f>IF(H143=1,I143*VEHICLE!$C$69,IF(H143=2,VEHICLE!$C$70*I143,IF(H143=3,VEHICLE!$C$71*I143,0)))</f>
        <v>0</v>
      </c>
      <c r="R143" s="56">
        <f>(J143+K143+O143+Q143)</f>
        <v>89.73495262557023</v>
      </c>
      <c r="S143" s="56">
        <f t="shared" si="30"/>
        <v>89.73495262557023</v>
      </c>
      <c r="T143" s="56">
        <f>ABS((R143)/((2*PI()*G143)/60))</f>
        <v>0.1318316425705528</v>
      </c>
      <c r="U143" s="56">
        <f t="shared" si="31"/>
        <v>1</v>
      </c>
      <c r="V143" s="56">
        <f>INDEX(BSFC!$D$4:$AD$26,MATCH(U143,BSFC!$B$4:$B$26,0),MATCH(G143,BSFC!$D$2:$AD$2,0))</f>
        <v>925.65735288000019</v>
      </c>
      <c r="W143" s="56">
        <f t="shared" si="36"/>
        <v>2.3073282974499325E-2</v>
      </c>
      <c r="X143" s="56">
        <f t="shared" si="32"/>
        <v>2.3073282974499325E-2</v>
      </c>
      <c r="Y143" s="56">
        <f t="shared" si="33"/>
        <v>7.1296444391202918E-2</v>
      </c>
      <c r="Z143" s="79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x14ac:dyDescent="0.3">
      <c r="A144" s="55">
        <v>1</v>
      </c>
      <c r="B144" s="56" t="s">
        <v>102</v>
      </c>
      <c r="C144" s="56">
        <f t="shared" si="34"/>
        <v>141</v>
      </c>
      <c r="D144" s="56">
        <f t="shared" si="26"/>
        <v>29.998170000000002</v>
      </c>
      <c r="E144" s="94">
        <v>13.41</v>
      </c>
      <c r="F144" s="94">
        <f>($C$4/E144)+F143</f>
        <v>13.087689189032943</v>
      </c>
      <c r="G144" s="56">
        <v>6500</v>
      </c>
      <c r="H144" s="56">
        <v>3</v>
      </c>
      <c r="I144" s="94">
        <f>E144-E143</f>
        <v>0</v>
      </c>
      <c r="J144" s="56">
        <f>(0.5*VEHICLE!$C$71*VEHICLE!$C$28*VEHICLE!$C$27*'Drive Cycle'!E144^2)</f>
        <v>159.97581505520998</v>
      </c>
      <c r="K144" s="56">
        <f>IF(A144=1,VEHICLE!$S$5,IF(A144=2,VEHICLE!$Q$5,IF(A144=3,VEHICLE!$R$5,IF(A144=4,VEHICLE!$P$5,1))))</f>
        <v>72.351594900000009</v>
      </c>
      <c r="L144" s="56">
        <f t="shared" si="25"/>
        <v>1.1500000000000035</v>
      </c>
      <c r="M144" s="56">
        <f t="shared" si="35"/>
        <v>-0.35000000000000009</v>
      </c>
      <c r="N144" s="56">
        <f t="shared" si="27"/>
        <v>-19.290046219188739</v>
      </c>
      <c r="O144" s="56">
        <f t="shared" si="28"/>
        <v>-142.59245732963976</v>
      </c>
      <c r="P144" s="56">
        <f t="shared" si="29"/>
        <v>89.73495262557023</v>
      </c>
      <c r="Q144" s="56">
        <f>IF(H144=1,I144*VEHICLE!$C$69,IF(H144=2,VEHICLE!$C$70*I144,IF(H144=3,VEHICLE!$C$71*I144,0)))</f>
        <v>0</v>
      </c>
      <c r="R144" s="56">
        <f>(J144+K144+O144+Q144)</f>
        <v>89.73495262557023</v>
      </c>
      <c r="S144" s="56">
        <f t="shared" si="30"/>
        <v>89.73495262557023</v>
      </c>
      <c r="T144" s="56">
        <f>ABS((R144)/((2*PI()*G144)/60))</f>
        <v>0.1318316425705528</v>
      </c>
      <c r="U144" s="56">
        <f t="shared" si="31"/>
        <v>1</v>
      </c>
      <c r="V144" s="56">
        <f>INDEX(BSFC!$D$4:$AD$26,MATCH(U144,BSFC!$B$4:$B$26,0),MATCH(G144,BSFC!$D$2:$AD$2,0))</f>
        <v>925.65735288000019</v>
      </c>
      <c r="W144" s="56">
        <f t="shared" si="36"/>
        <v>2.3073282974499325E-2</v>
      </c>
      <c r="X144" s="56">
        <f t="shared" si="32"/>
        <v>2.3073282974499325E-2</v>
      </c>
      <c r="Y144" s="56">
        <f t="shared" si="33"/>
        <v>7.1296444391202918E-2</v>
      </c>
      <c r="Z144" s="79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x14ac:dyDescent="0.3">
      <c r="A145" s="55">
        <v>1</v>
      </c>
      <c r="B145" s="56" t="s">
        <v>102</v>
      </c>
      <c r="C145" s="56">
        <f t="shared" si="34"/>
        <v>142</v>
      </c>
      <c r="D145" s="56">
        <f t="shared" si="26"/>
        <v>29.998170000000002</v>
      </c>
      <c r="E145" s="94">
        <v>13.41</v>
      </c>
      <c r="F145" s="94">
        <f>($C$4/E145)+F144</f>
        <v>13.162260404543757</v>
      </c>
      <c r="G145" s="56">
        <v>6500</v>
      </c>
      <c r="H145" s="56">
        <v>3</v>
      </c>
      <c r="I145" s="94">
        <f>E145-E144</f>
        <v>0</v>
      </c>
      <c r="J145" s="56">
        <f>(0.5*VEHICLE!$C$71*VEHICLE!$C$28*VEHICLE!$C$27*'Drive Cycle'!E145^2)</f>
        <v>159.97581505520998</v>
      </c>
      <c r="K145" s="56">
        <f>IF(A145=1,VEHICLE!$S$5,IF(A145=2,VEHICLE!$Q$5,IF(A145=3,VEHICLE!$R$5,IF(A145=4,VEHICLE!$P$5,1))))</f>
        <v>72.351594900000009</v>
      </c>
      <c r="L145" s="56">
        <f t="shared" si="25"/>
        <v>0.80000000000000349</v>
      </c>
      <c r="M145" s="56">
        <f t="shared" si="35"/>
        <v>-0.35</v>
      </c>
      <c r="N145" s="56">
        <f t="shared" si="27"/>
        <v>-19.290046219188735</v>
      </c>
      <c r="O145" s="56">
        <f t="shared" si="28"/>
        <v>-142.59245732963973</v>
      </c>
      <c r="P145" s="56">
        <f t="shared" si="29"/>
        <v>89.734952625570259</v>
      </c>
      <c r="Q145" s="56">
        <f>IF(H145=1,I145*VEHICLE!$C$69,IF(H145=2,VEHICLE!$C$70*I145,IF(H145=3,VEHICLE!$C$71*I145,0)))</f>
        <v>0</v>
      </c>
      <c r="R145" s="56">
        <f>(J145+K145+O145+Q145)</f>
        <v>89.734952625570259</v>
      </c>
      <c r="S145" s="56">
        <f t="shared" si="30"/>
        <v>89.734952625570259</v>
      </c>
      <c r="T145" s="56">
        <f>ABS((R145)/((2*PI()*G145)/60))</f>
        <v>0.13183164257055285</v>
      </c>
      <c r="U145" s="56">
        <f t="shared" si="31"/>
        <v>1</v>
      </c>
      <c r="V145" s="56">
        <f>INDEX(BSFC!$D$4:$AD$26,MATCH(U145,BSFC!$B$4:$B$26,0),MATCH(G145,BSFC!$D$2:$AD$2,0))</f>
        <v>925.65735288000019</v>
      </c>
      <c r="W145" s="56">
        <f t="shared" si="36"/>
        <v>2.3073282974499332E-2</v>
      </c>
      <c r="X145" s="56">
        <f t="shared" si="32"/>
        <v>2.3073282974499332E-2</v>
      </c>
      <c r="Y145" s="56">
        <f t="shared" si="33"/>
        <v>7.1296444391202932E-2</v>
      </c>
      <c r="Z145" s="79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x14ac:dyDescent="0.3">
      <c r="A146" s="55">
        <v>1</v>
      </c>
      <c r="B146" s="56" t="s">
        <v>102</v>
      </c>
      <c r="C146" s="56">
        <f t="shared" si="34"/>
        <v>143</v>
      </c>
      <c r="D146" s="56">
        <f t="shared" si="26"/>
        <v>29.998170000000002</v>
      </c>
      <c r="E146" s="94">
        <v>13.41</v>
      </c>
      <c r="F146" s="94">
        <f>($C$4/E146)+F145</f>
        <v>13.23683162005457</v>
      </c>
      <c r="G146" s="56">
        <v>6500</v>
      </c>
      <c r="H146" s="56">
        <v>3</v>
      </c>
      <c r="I146" s="94">
        <f>E146-E145</f>
        <v>0</v>
      </c>
      <c r="J146" s="56">
        <f>(0.5*VEHICLE!$C$71*VEHICLE!$C$28*VEHICLE!$C$27*'Drive Cycle'!E146^2)</f>
        <v>159.97581505520998</v>
      </c>
      <c r="K146" s="56">
        <f>IF(A146=1,VEHICLE!$S$5,IF(A146=2,VEHICLE!$Q$5,IF(A146=3,VEHICLE!$R$5,IF(A146=4,VEHICLE!$P$5,1))))</f>
        <v>72.351594900000009</v>
      </c>
      <c r="L146" s="56">
        <f t="shared" si="25"/>
        <v>0.45000000000000351</v>
      </c>
      <c r="M146" s="56">
        <f t="shared" si="35"/>
        <v>-0.35</v>
      </c>
      <c r="N146" s="56">
        <f t="shared" si="27"/>
        <v>-19.290046219188735</v>
      </c>
      <c r="O146" s="56">
        <f t="shared" si="28"/>
        <v>-142.59245732963973</v>
      </c>
      <c r="P146" s="56">
        <f t="shared" si="29"/>
        <v>89.734952625570259</v>
      </c>
      <c r="Q146" s="56">
        <f>IF(H146=1,I146*VEHICLE!$C$69,IF(H146=2,VEHICLE!$C$70*I146,IF(H146=3,VEHICLE!$C$71*I146,0)))</f>
        <v>0</v>
      </c>
      <c r="R146" s="56">
        <f>(J146+K146+O146+Q146)</f>
        <v>89.734952625570259</v>
      </c>
      <c r="S146" s="56">
        <f t="shared" si="30"/>
        <v>89.734952625570259</v>
      </c>
      <c r="T146" s="56">
        <f>ABS((R146)/((2*PI()*G146)/60))</f>
        <v>0.13183164257055285</v>
      </c>
      <c r="U146" s="56">
        <f t="shared" si="31"/>
        <v>1</v>
      </c>
      <c r="V146" s="56">
        <f>INDEX(BSFC!$D$4:$AD$26,MATCH(U146,BSFC!$B$4:$B$26,0),MATCH(G146,BSFC!$D$2:$AD$2,0))</f>
        <v>925.65735288000019</v>
      </c>
      <c r="W146" s="56">
        <f t="shared" si="36"/>
        <v>2.3073282974499332E-2</v>
      </c>
      <c r="X146" s="56">
        <f t="shared" si="32"/>
        <v>2.3073282974499332E-2</v>
      </c>
      <c r="Y146" s="56">
        <f t="shared" si="33"/>
        <v>7.1296444391202932E-2</v>
      </c>
      <c r="Z146" s="79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x14ac:dyDescent="0.3">
      <c r="A147" s="55">
        <v>1</v>
      </c>
      <c r="B147" s="56" t="s">
        <v>102</v>
      </c>
      <c r="C147" s="56">
        <f t="shared" si="34"/>
        <v>144</v>
      </c>
      <c r="D147" s="56">
        <f t="shared" si="26"/>
        <v>29.998170000000002</v>
      </c>
      <c r="E147" s="94">
        <v>13.41</v>
      </c>
      <c r="F147" s="94">
        <f>($C$4/E147)+F146</f>
        <v>13.311402835565383</v>
      </c>
      <c r="G147" s="56">
        <v>6500</v>
      </c>
      <c r="H147" s="56">
        <v>3</v>
      </c>
      <c r="I147" s="94">
        <f>E147-E146</f>
        <v>0</v>
      </c>
      <c r="J147" s="56">
        <f>(0.5*VEHICLE!$C$71*VEHICLE!$C$28*VEHICLE!$C$27*'Drive Cycle'!E147^2)</f>
        <v>159.97581505520998</v>
      </c>
      <c r="K147" s="56">
        <f>IF(A147=1,VEHICLE!$S$5,IF(A147=2,VEHICLE!$Q$5,IF(A147=3,VEHICLE!$R$5,IF(A147=4,VEHICLE!$P$5,1))))</f>
        <v>72.351594900000009</v>
      </c>
      <c r="L147" s="56">
        <f>L146-0.35</f>
        <v>0.10000000000000353</v>
      </c>
      <c r="M147" s="56">
        <f t="shared" si="35"/>
        <v>-0.35</v>
      </c>
      <c r="N147" s="56">
        <f t="shared" si="27"/>
        <v>-19.290046219188735</v>
      </c>
      <c r="O147" s="56">
        <f t="shared" si="28"/>
        <v>-142.59245732963973</v>
      </c>
      <c r="P147" s="56">
        <f t="shared" si="29"/>
        <v>89.734952625570259</v>
      </c>
      <c r="Q147" s="56">
        <f>IF(H147=1,I147*VEHICLE!$C$69,IF(H147=2,VEHICLE!$C$70*I147,IF(H147=3,VEHICLE!$C$71*I147,0)))</f>
        <v>0</v>
      </c>
      <c r="R147" s="56">
        <f>(J147+K147+O147+Q147)</f>
        <v>89.734952625570259</v>
      </c>
      <c r="S147" s="56">
        <f t="shared" si="30"/>
        <v>89.734952625570259</v>
      </c>
      <c r="T147" s="56">
        <f>ABS((R147)/((2*PI()*G147)/60))</f>
        <v>0.13183164257055285</v>
      </c>
      <c r="U147" s="56">
        <f t="shared" si="31"/>
        <v>1</v>
      </c>
      <c r="V147" s="56">
        <f>INDEX(BSFC!$D$4:$AD$26,MATCH(U147,BSFC!$B$4:$B$26,0),MATCH(G147,BSFC!$D$2:$AD$2,0))</f>
        <v>925.65735288000019</v>
      </c>
      <c r="W147" s="56">
        <f t="shared" si="36"/>
        <v>2.3073282974499332E-2</v>
      </c>
      <c r="X147" s="56">
        <f t="shared" si="32"/>
        <v>2.3073282974499332E-2</v>
      </c>
      <c r="Y147" s="56">
        <f t="shared" si="33"/>
        <v>7.1296444391202932E-2</v>
      </c>
      <c r="Z147" s="79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x14ac:dyDescent="0.3">
      <c r="A148" s="55">
        <v>1</v>
      </c>
      <c r="B148" s="56" t="s">
        <v>102</v>
      </c>
      <c r="C148" s="56">
        <f t="shared" si="34"/>
        <v>145</v>
      </c>
      <c r="D148" s="56">
        <f t="shared" si="26"/>
        <v>29.998170000000002</v>
      </c>
      <c r="E148" s="94">
        <v>13.41</v>
      </c>
      <c r="F148" s="94">
        <f>($C$4/E148)+F147</f>
        <v>13.385974051076197</v>
      </c>
      <c r="G148" s="56">
        <v>6500</v>
      </c>
      <c r="H148" s="56">
        <v>3</v>
      </c>
      <c r="I148" s="94">
        <f>E148-E147</f>
        <v>0</v>
      </c>
      <c r="J148" s="56">
        <f>(0.5*VEHICLE!$C$71*VEHICLE!$C$28*VEHICLE!$C$27*'Drive Cycle'!E148^2)</f>
        <v>159.97581505520998</v>
      </c>
      <c r="K148" s="56">
        <f>IF(A148=1,VEHICLE!$S$5,IF(A148=2,VEHICLE!$Q$5,IF(A148=3,VEHICLE!$R$5,IF(A148=4,VEHICLE!$P$5,1))))</f>
        <v>72.351594900000009</v>
      </c>
      <c r="L148" s="56">
        <v>0</v>
      </c>
      <c r="M148" s="56">
        <f t="shared" si="35"/>
        <v>-0.10000000000000353</v>
      </c>
      <c r="N148" s="56">
        <f t="shared" si="27"/>
        <v>-5.7105931374998429</v>
      </c>
      <c r="O148" s="56">
        <f t="shared" si="28"/>
        <v>-42.94978527822547</v>
      </c>
      <c r="P148" s="56">
        <f t="shared" si="29"/>
        <v>189.37762467698451</v>
      </c>
      <c r="Q148" s="56">
        <f>IF(H148=1,I148*VEHICLE!$C$69,IF(H148=2,VEHICLE!$C$70*I148,IF(H148=3,VEHICLE!$C$71*I148,0)))</f>
        <v>0</v>
      </c>
      <c r="R148" s="56">
        <f>(J148+K148+O148+Q148)</f>
        <v>189.37762467698451</v>
      </c>
      <c r="S148" s="56">
        <f t="shared" si="30"/>
        <v>189.37762467698451</v>
      </c>
      <c r="T148" s="56">
        <f>ABS((R148)/((2*PI()*G148)/60))</f>
        <v>0.27821893918471186</v>
      </c>
      <c r="U148" s="56">
        <f t="shared" si="31"/>
        <v>1</v>
      </c>
      <c r="V148" s="56">
        <f>INDEX(BSFC!$D$4:$AD$26,MATCH(U148,BSFC!$B$4:$B$26,0),MATCH(G148,BSFC!$D$2:$AD$2,0))</f>
        <v>925.65735288000019</v>
      </c>
      <c r="W148" s="56">
        <f t="shared" si="36"/>
        <v>4.8694108542555466E-2</v>
      </c>
      <c r="X148" s="56">
        <f t="shared" si="32"/>
        <v>4.8694108542555466E-2</v>
      </c>
      <c r="Y148" s="56">
        <f t="shared" si="33"/>
        <v>0.15046479539649638</v>
      </c>
      <c r="Z148" s="79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x14ac:dyDescent="0.3">
      <c r="A149" s="55">
        <v>1</v>
      </c>
      <c r="B149" s="56" t="s">
        <v>102</v>
      </c>
      <c r="C149" s="56">
        <f t="shared" si="34"/>
        <v>146</v>
      </c>
      <c r="D149" s="56">
        <f t="shared" si="26"/>
        <v>29.998170000000002</v>
      </c>
      <c r="E149" s="94">
        <v>13.41</v>
      </c>
      <c r="F149" s="94">
        <f>($C$4/E149)+F148</f>
        <v>13.46054526658701</v>
      </c>
      <c r="G149" s="56">
        <v>6500</v>
      </c>
      <c r="H149" s="56">
        <v>3</v>
      </c>
      <c r="I149" s="94">
        <f>E149-E148</f>
        <v>0</v>
      </c>
      <c r="J149" s="56">
        <f>(0.5*VEHICLE!$C$71*VEHICLE!$C$28*VEHICLE!$C$27*'Drive Cycle'!E149^2)</f>
        <v>159.97581505520998</v>
      </c>
      <c r="K149" s="56">
        <f>IF(A149=1,VEHICLE!$S$5,IF(A149=2,VEHICLE!$Q$5,IF(A149=3,VEHICLE!$R$5,IF(A149=4,VEHICLE!$P$5,1))))</f>
        <v>72.351594900000009</v>
      </c>
      <c r="L149" s="56">
        <v>0</v>
      </c>
      <c r="M149" s="56">
        <f t="shared" si="35"/>
        <v>0</v>
      </c>
      <c r="N149" s="56">
        <f t="shared" si="27"/>
        <v>0</v>
      </c>
      <c r="O149" s="56">
        <f t="shared" si="28"/>
        <v>0</v>
      </c>
      <c r="P149" s="56">
        <f t="shared" si="29"/>
        <v>232.32740995520999</v>
      </c>
      <c r="Q149" s="56">
        <f>IF(H149=1,I149*VEHICLE!$C$69,IF(H149=2,VEHICLE!$C$70*I149,IF(H149=3,VEHICLE!$C$71*I149,0)))</f>
        <v>0</v>
      </c>
      <c r="R149" s="56">
        <f>(J149+K149+O149+Q149)</f>
        <v>232.32740995520999</v>
      </c>
      <c r="S149" s="56">
        <f t="shared" si="30"/>
        <v>232.32740995520999</v>
      </c>
      <c r="T149" s="56">
        <f>ABS((R149)/((2*PI()*G149)/60))</f>
        <v>0.34131743732408198</v>
      </c>
      <c r="U149" s="56">
        <f t="shared" si="31"/>
        <v>1</v>
      </c>
      <c r="V149" s="56">
        <f>INDEX(BSFC!$D$4:$AD$26,MATCH(U149,BSFC!$B$4:$B$26,0),MATCH(G149,BSFC!$D$2:$AD$2,0))</f>
        <v>925.65735288000019</v>
      </c>
      <c r="W149" s="56">
        <f t="shared" si="36"/>
        <v>5.9737659805723972E-2</v>
      </c>
      <c r="X149" s="56">
        <f t="shared" si="32"/>
        <v>5.9737659805723972E-2</v>
      </c>
      <c r="Y149" s="56">
        <f t="shared" si="33"/>
        <v>0.18458936879968707</v>
      </c>
      <c r="Z149" s="79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x14ac:dyDescent="0.3">
      <c r="A150" s="55">
        <v>1</v>
      </c>
      <c r="B150" s="56" t="s">
        <v>102</v>
      </c>
      <c r="C150" s="56">
        <f t="shared" si="34"/>
        <v>147</v>
      </c>
      <c r="D150" s="56">
        <f t="shared" si="26"/>
        <v>29.998170000000002</v>
      </c>
      <c r="E150" s="94">
        <v>13.41</v>
      </c>
      <c r="F150" s="94">
        <f>($C$4/E150)+F149</f>
        <v>13.535116482097823</v>
      </c>
      <c r="G150" s="56">
        <v>6500</v>
      </c>
      <c r="H150" s="56">
        <v>3</v>
      </c>
      <c r="I150" s="94">
        <f>E150-E149</f>
        <v>0</v>
      </c>
      <c r="J150" s="56">
        <f>(0.5*VEHICLE!$C$71*VEHICLE!$C$28*VEHICLE!$C$27*'Drive Cycle'!E150^2)</f>
        <v>159.97581505520998</v>
      </c>
      <c r="K150" s="56">
        <f>IF(A150=1,VEHICLE!$S$5,IF(A150=2,VEHICLE!$Q$5,IF(A150=3,VEHICLE!$R$5,IF(A150=4,VEHICLE!$P$5,1))))</f>
        <v>72.351594900000009</v>
      </c>
      <c r="L150" s="56">
        <v>0</v>
      </c>
      <c r="M150" s="56">
        <f t="shared" si="35"/>
        <v>0</v>
      </c>
      <c r="N150" s="56">
        <f t="shared" si="27"/>
        <v>0</v>
      </c>
      <c r="O150" s="56">
        <f t="shared" si="28"/>
        <v>0</v>
      </c>
      <c r="P150" s="56">
        <f t="shared" si="29"/>
        <v>232.32740995520999</v>
      </c>
      <c r="Q150" s="56">
        <f>IF(H150=1,I150*VEHICLE!$C$69,IF(H150=2,VEHICLE!$C$70*I150,IF(H150=3,VEHICLE!$C$71*I150,0)))</f>
        <v>0</v>
      </c>
      <c r="R150" s="56">
        <f>(J150+K150+O150+Q150)</f>
        <v>232.32740995520999</v>
      </c>
      <c r="S150" s="56">
        <f t="shared" si="30"/>
        <v>232.32740995520999</v>
      </c>
      <c r="T150" s="56">
        <f>ABS((R150)/((2*PI()*G150)/60))</f>
        <v>0.34131743732408198</v>
      </c>
      <c r="U150" s="56">
        <f t="shared" si="31"/>
        <v>1</v>
      </c>
      <c r="V150" s="56">
        <f>INDEX(BSFC!$D$4:$AD$26,MATCH(U150,BSFC!$B$4:$B$26,0),MATCH(G150,BSFC!$D$2:$AD$2,0))</f>
        <v>925.65735288000019</v>
      </c>
      <c r="W150" s="56">
        <f t="shared" si="36"/>
        <v>5.9737659805723972E-2</v>
      </c>
      <c r="X150" s="56">
        <f t="shared" si="32"/>
        <v>5.9737659805723972E-2</v>
      </c>
      <c r="Y150" s="56">
        <f t="shared" si="33"/>
        <v>0.18458936879968707</v>
      </c>
      <c r="Z150" s="79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x14ac:dyDescent="0.3">
      <c r="A151" s="55">
        <v>1</v>
      </c>
      <c r="B151" s="56" t="s">
        <v>102</v>
      </c>
      <c r="C151" s="56">
        <f t="shared" si="34"/>
        <v>148</v>
      </c>
      <c r="D151" s="56">
        <f t="shared" si="26"/>
        <v>29.998170000000002</v>
      </c>
      <c r="E151" s="94">
        <v>13.41</v>
      </c>
      <c r="F151" s="94">
        <f>($C$4/E151)+F150</f>
        <v>13.609687697608637</v>
      </c>
      <c r="G151" s="56">
        <v>6500</v>
      </c>
      <c r="H151" s="56">
        <v>3</v>
      </c>
      <c r="I151" s="94">
        <f>E151-E150</f>
        <v>0</v>
      </c>
      <c r="J151" s="56">
        <f>(0.5*VEHICLE!$C$71*VEHICLE!$C$28*VEHICLE!$C$27*'Drive Cycle'!E151^2)</f>
        <v>159.97581505520998</v>
      </c>
      <c r="K151" s="56">
        <f>IF(A151=1,VEHICLE!$S$5,IF(A151=2,VEHICLE!$Q$5,IF(A151=3,VEHICLE!$R$5,IF(A151=4,VEHICLE!$P$5,1))))</f>
        <v>72.351594900000009</v>
      </c>
      <c r="L151" s="56">
        <v>0</v>
      </c>
      <c r="M151" s="56">
        <f t="shared" si="35"/>
        <v>0</v>
      </c>
      <c r="N151" s="56">
        <f t="shared" si="27"/>
        <v>0</v>
      </c>
      <c r="O151" s="56">
        <f t="shared" si="28"/>
        <v>0</v>
      </c>
      <c r="P151" s="56">
        <f t="shared" si="29"/>
        <v>232.32740995520999</v>
      </c>
      <c r="Q151" s="56">
        <f>IF(H151=1,I151*VEHICLE!$C$69,IF(H151=2,VEHICLE!$C$70*I151,IF(H151=3,VEHICLE!$C$71*I151,0)))</f>
        <v>0</v>
      </c>
      <c r="R151" s="56">
        <f>(J151+K151+O151+Q151)</f>
        <v>232.32740995520999</v>
      </c>
      <c r="S151" s="56">
        <f t="shared" si="30"/>
        <v>232.32740995520999</v>
      </c>
      <c r="T151" s="56">
        <f>ABS((R151)/((2*PI()*G151)/60))</f>
        <v>0.34131743732408198</v>
      </c>
      <c r="U151" s="56">
        <f t="shared" si="31"/>
        <v>1</v>
      </c>
      <c r="V151" s="56">
        <f>INDEX(BSFC!$D$4:$AD$26,MATCH(U151,BSFC!$B$4:$B$26,0),MATCH(G151,BSFC!$D$2:$AD$2,0))</f>
        <v>925.65735288000019</v>
      </c>
      <c r="W151" s="56">
        <f t="shared" si="36"/>
        <v>5.9737659805723972E-2</v>
      </c>
      <c r="X151" s="56">
        <f t="shared" si="32"/>
        <v>5.9737659805723972E-2</v>
      </c>
      <c r="Y151" s="56">
        <f t="shared" si="33"/>
        <v>0.18458936879968707</v>
      </c>
      <c r="Z151" s="79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x14ac:dyDescent="0.3">
      <c r="A152" s="55">
        <v>1</v>
      </c>
      <c r="B152" s="56" t="s">
        <v>102</v>
      </c>
      <c r="C152" s="56">
        <f t="shared" si="34"/>
        <v>149</v>
      </c>
      <c r="D152" s="56">
        <f t="shared" si="26"/>
        <v>29.998170000000002</v>
      </c>
      <c r="E152" s="94">
        <v>13.41</v>
      </c>
      <c r="F152" s="94">
        <f>($C$4/E152)+F151</f>
        <v>13.68425891311945</v>
      </c>
      <c r="G152" s="56">
        <v>6500</v>
      </c>
      <c r="H152" s="56">
        <v>3</v>
      </c>
      <c r="I152" s="94">
        <f>E152-E151</f>
        <v>0</v>
      </c>
      <c r="J152" s="56">
        <f>(0.5*VEHICLE!$C$71*VEHICLE!$C$28*VEHICLE!$C$27*'Drive Cycle'!E152^2)</f>
        <v>159.97581505520998</v>
      </c>
      <c r="K152" s="56">
        <f>IF(A152=1,VEHICLE!$S$5,IF(A152=2,VEHICLE!$Q$5,IF(A152=3,VEHICLE!$R$5,IF(A152=4,VEHICLE!$P$5,1))))</f>
        <v>72.351594900000009</v>
      </c>
      <c r="L152" s="56">
        <v>0</v>
      </c>
      <c r="M152" s="56">
        <f t="shared" si="35"/>
        <v>0</v>
      </c>
      <c r="N152" s="56">
        <f t="shared" si="27"/>
        <v>0</v>
      </c>
      <c r="O152" s="56">
        <f t="shared" si="28"/>
        <v>0</v>
      </c>
      <c r="P152" s="56">
        <f t="shared" si="29"/>
        <v>232.32740995520999</v>
      </c>
      <c r="Q152" s="56">
        <f>IF(H152=1,I152*VEHICLE!$C$69,IF(H152=2,VEHICLE!$C$70*I152,IF(H152=3,VEHICLE!$C$71*I152,0)))</f>
        <v>0</v>
      </c>
      <c r="R152" s="56">
        <f>(J152+K152+O152+Q152)</f>
        <v>232.32740995520999</v>
      </c>
      <c r="S152" s="56">
        <f t="shared" si="30"/>
        <v>232.32740995520999</v>
      </c>
      <c r="T152" s="56">
        <f>ABS((R152)/((2*PI()*G152)/60))</f>
        <v>0.34131743732408198</v>
      </c>
      <c r="U152" s="56">
        <f t="shared" si="31"/>
        <v>1</v>
      </c>
      <c r="V152" s="56">
        <f>INDEX(BSFC!$D$4:$AD$26,MATCH(U152,BSFC!$B$4:$B$26,0),MATCH(G152,BSFC!$D$2:$AD$2,0))</f>
        <v>925.65735288000019</v>
      </c>
      <c r="W152" s="56">
        <f t="shared" si="36"/>
        <v>5.9737659805723972E-2</v>
      </c>
      <c r="X152" s="56">
        <f t="shared" si="32"/>
        <v>5.9737659805723972E-2</v>
      </c>
      <c r="Y152" s="56">
        <f t="shared" si="33"/>
        <v>0.18458936879968707</v>
      </c>
      <c r="Z152" s="79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x14ac:dyDescent="0.3">
      <c r="A153" s="55">
        <v>1</v>
      </c>
      <c r="B153" s="56" t="s">
        <v>102</v>
      </c>
      <c r="C153" s="56">
        <f t="shared" si="34"/>
        <v>150</v>
      </c>
      <c r="D153" s="56">
        <f t="shared" si="26"/>
        <v>29.998170000000002</v>
      </c>
      <c r="E153" s="94">
        <v>13.41</v>
      </c>
      <c r="F153" s="94">
        <f>($C$4/E153)+F152</f>
        <v>13.758830128630263</v>
      </c>
      <c r="G153" s="56">
        <v>6500</v>
      </c>
      <c r="H153" s="56">
        <v>3</v>
      </c>
      <c r="I153" s="94">
        <f>E153-E152</f>
        <v>0</v>
      </c>
      <c r="J153" s="56">
        <f>(0.5*VEHICLE!$C$71*VEHICLE!$C$28*VEHICLE!$C$27*'Drive Cycle'!E153^2)</f>
        <v>159.97581505520998</v>
      </c>
      <c r="K153" s="56">
        <f>IF(A153=1,VEHICLE!$S$5,IF(A153=2,VEHICLE!$Q$5,IF(A153=3,VEHICLE!$R$5,IF(A153=4,VEHICLE!$P$5,1))))</f>
        <v>72.351594900000009</v>
      </c>
      <c r="L153" s="56">
        <v>0</v>
      </c>
      <c r="M153" s="56">
        <f t="shared" si="35"/>
        <v>0</v>
      </c>
      <c r="N153" s="56">
        <f t="shared" si="27"/>
        <v>0</v>
      </c>
      <c r="O153" s="56">
        <f t="shared" si="28"/>
        <v>0</v>
      </c>
      <c r="P153" s="56">
        <f t="shared" si="29"/>
        <v>232.32740995520999</v>
      </c>
      <c r="Q153" s="56">
        <f>IF(H153=1,I153*VEHICLE!$C$69,IF(H153=2,VEHICLE!$C$70*I153,IF(H153=3,VEHICLE!$C$71*I153,0)))</f>
        <v>0</v>
      </c>
      <c r="R153" s="56">
        <f>(J153+K153+O153+Q153)</f>
        <v>232.32740995520999</v>
      </c>
      <c r="S153" s="56">
        <f t="shared" si="30"/>
        <v>232.32740995520999</v>
      </c>
      <c r="T153" s="56">
        <f>ABS((R153)/((2*PI()*G153)/60))</f>
        <v>0.34131743732408198</v>
      </c>
      <c r="U153" s="56">
        <f t="shared" si="31"/>
        <v>1</v>
      </c>
      <c r="V153" s="56">
        <f>INDEX(BSFC!$D$4:$AD$26,MATCH(U153,BSFC!$B$4:$B$26,0),MATCH(G153,BSFC!$D$2:$AD$2,0))</f>
        <v>925.65735288000019</v>
      </c>
      <c r="W153" s="56">
        <f t="shared" si="36"/>
        <v>5.9737659805723972E-2</v>
      </c>
      <c r="X153" s="56">
        <f t="shared" si="32"/>
        <v>5.9737659805723972E-2</v>
      </c>
      <c r="Y153" s="56">
        <f t="shared" si="33"/>
        <v>0.18458936879968707</v>
      </c>
      <c r="Z153" s="79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x14ac:dyDescent="0.3">
      <c r="A154" s="55">
        <v>1</v>
      </c>
      <c r="B154" s="56" t="s">
        <v>102</v>
      </c>
      <c r="C154" s="56">
        <f t="shared" si="34"/>
        <v>151</v>
      </c>
      <c r="D154" s="56">
        <f t="shared" si="26"/>
        <v>29.998170000000002</v>
      </c>
      <c r="E154" s="94">
        <v>13.41</v>
      </c>
      <c r="F154" s="94">
        <f>($C$4/E154)+F153</f>
        <v>13.833401344141077</v>
      </c>
      <c r="G154" s="56">
        <v>6500</v>
      </c>
      <c r="H154" s="56">
        <v>3</v>
      </c>
      <c r="I154" s="94">
        <f>E154-E153</f>
        <v>0</v>
      </c>
      <c r="J154" s="56">
        <f>(0.5*VEHICLE!$C$71*VEHICLE!$C$28*VEHICLE!$C$27*'Drive Cycle'!E154^2)</f>
        <v>159.97581505520998</v>
      </c>
      <c r="K154" s="56">
        <f>IF(A154=1,VEHICLE!$S$5,IF(A154=2,VEHICLE!$Q$5,IF(A154=3,VEHICLE!$R$5,IF(A154=4,VEHICLE!$P$5,1))))</f>
        <v>72.351594900000009</v>
      </c>
      <c r="L154" s="56">
        <v>0</v>
      </c>
      <c r="M154" s="56">
        <f t="shared" si="35"/>
        <v>0</v>
      </c>
      <c r="N154" s="56">
        <f t="shared" si="27"/>
        <v>0</v>
      </c>
      <c r="O154" s="56">
        <f t="shared" si="28"/>
        <v>0</v>
      </c>
      <c r="P154" s="56">
        <f t="shared" si="29"/>
        <v>232.32740995520999</v>
      </c>
      <c r="Q154" s="56">
        <f>IF(H154=1,I154*VEHICLE!$C$69,IF(H154=2,VEHICLE!$C$70*I154,IF(H154=3,VEHICLE!$C$71*I154,0)))</f>
        <v>0</v>
      </c>
      <c r="R154" s="56">
        <f>(J154+K154+O154+Q154)</f>
        <v>232.32740995520999</v>
      </c>
      <c r="S154" s="56">
        <f t="shared" si="30"/>
        <v>232.32740995520999</v>
      </c>
      <c r="T154" s="56">
        <f>ABS((R154)/((2*PI()*G154)/60))</f>
        <v>0.34131743732408198</v>
      </c>
      <c r="U154" s="56">
        <f t="shared" si="31"/>
        <v>1</v>
      </c>
      <c r="V154" s="56">
        <f>INDEX(BSFC!$D$4:$AD$26,MATCH(U154,BSFC!$B$4:$B$26,0),MATCH(G154,BSFC!$D$2:$AD$2,0))</f>
        <v>925.65735288000019</v>
      </c>
      <c r="W154" s="56">
        <f t="shared" si="36"/>
        <v>5.9737659805723972E-2</v>
      </c>
      <c r="X154" s="56">
        <f t="shared" si="32"/>
        <v>5.9737659805723972E-2</v>
      </c>
      <c r="Y154" s="56">
        <f t="shared" si="33"/>
        <v>0.18458936879968707</v>
      </c>
      <c r="Z154" s="79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x14ac:dyDescent="0.3">
      <c r="A155" s="55">
        <v>1</v>
      </c>
      <c r="B155" s="56" t="s">
        <v>102</v>
      </c>
      <c r="C155" s="56">
        <f t="shared" si="34"/>
        <v>152</v>
      </c>
      <c r="D155" s="56">
        <f t="shared" si="26"/>
        <v>29.998170000000002</v>
      </c>
      <c r="E155" s="94">
        <v>13.41</v>
      </c>
      <c r="F155" s="94">
        <f>($C$4/E155)+F154</f>
        <v>13.90797255965189</v>
      </c>
      <c r="G155" s="56">
        <v>6500</v>
      </c>
      <c r="H155" s="56">
        <v>3</v>
      </c>
      <c r="I155" s="94">
        <f>E155-E154</f>
        <v>0</v>
      </c>
      <c r="J155" s="56">
        <f>(0.5*VEHICLE!$C$71*VEHICLE!$C$28*VEHICLE!$C$27*'Drive Cycle'!E155^2)</f>
        <v>159.97581505520998</v>
      </c>
      <c r="K155" s="56">
        <f>IF(A155=1,VEHICLE!$S$5,IF(A155=2,VEHICLE!$Q$5,IF(A155=3,VEHICLE!$R$5,IF(A155=4,VEHICLE!$P$5,1))))</f>
        <v>72.351594900000009</v>
      </c>
      <c r="L155" s="56">
        <v>0</v>
      </c>
      <c r="M155" s="56">
        <f t="shared" si="35"/>
        <v>0</v>
      </c>
      <c r="N155" s="56">
        <f t="shared" si="27"/>
        <v>0</v>
      </c>
      <c r="O155" s="56">
        <f t="shared" si="28"/>
        <v>0</v>
      </c>
      <c r="P155" s="56">
        <f t="shared" si="29"/>
        <v>232.32740995520999</v>
      </c>
      <c r="Q155" s="56">
        <f>IF(H155=1,I155*VEHICLE!$C$69,IF(H155=2,VEHICLE!$C$70*I155,IF(H155=3,VEHICLE!$C$71*I155,0)))</f>
        <v>0</v>
      </c>
      <c r="R155" s="56">
        <f>(J155+K155+O155+Q155)</f>
        <v>232.32740995520999</v>
      </c>
      <c r="S155" s="56">
        <f t="shared" si="30"/>
        <v>232.32740995520999</v>
      </c>
      <c r="T155" s="56">
        <f>ABS((R155)/((2*PI()*G155)/60))</f>
        <v>0.34131743732408198</v>
      </c>
      <c r="U155" s="56">
        <f t="shared" si="31"/>
        <v>1</v>
      </c>
      <c r="V155" s="56">
        <f>INDEX(BSFC!$D$4:$AD$26,MATCH(U155,BSFC!$B$4:$B$26,0),MATCH(G155,BSFC!$D$2:$AD$2,0))</f>
        <v>925.65735288000019</v>
      </c>
      <c r="W155" s="56">
        <f t="shared" si="36"/>
        <v>5.9737659805723972E-2</v>
      </c>
      <c r="X155" s="56">
        <f t="shared" si="32"/>
        <v>5.9737659805723972E-2</v>
      </c>
      <c r="Y155" s="56">
        <f t="shared" si="33"/>
        <v>0.18458936879968707</v>
      </c>
      <c r="Z155" s="79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x14ac:dyDescent="0.3">
      <c r="A156" s="55">
        <v>1</v>
      </c>
      <c r="B156" s="56" t="s">
        <v>102</v>
      </c>
      <c r="C156" s="56">
        <f t="shared" si="34"/>
        <v>153</v>
      </c>
      <c r="D156" s="56">
        <f t="shared" si="26"/>
        <v>29.998170000000002</v>
      </c>
      <c r="E156" s="94">
        <v>13.41</v>
      </c>
      <c r="F156" s="94">
        <f>($C$4/E156)+F155</f>
        <v>13.982543775162704</v>
      </c>
      <c r="G156" s="56">
        <v>6500</v>
      </c>
      <c r="H156" s="56">
        <v>3</v>
      </c>
      <c r="I156" s="94">
        <f>E156-E155</f>
        <v>0</v>
      </c>
      <c r="J156" s="56">
        <f>(0.5*VEHICLE!$C$71*VEHICLE!$C$28*VEHICLE!$C$27*'Drive Cycle'!E156^2)</f>
        <v>159.97581505520998</v>
      </c>
      <c r="K156" s="56">
        <f>IF(A156=1,VEHICLE!$S$5,IF(A156=2,VEHICLE!$Q$5,IF(A156=3,VEHICLE!$R$5,IF(A156=4,VEHICLE!$P$5,1))))</f>
        <v>72.351594900000009</v>
      </c>
      <c r="L156" s="56">
        <v>0</v>
      </c>
      <c r="M156" s="56">
        <f t="shared" si="35"/>
        <v>0</v>
      </c>
      <c r="N156" s="56">
        <f t="shared" si="27"/>
        <v>0</v>
      </c>
      <c r="O156" s="56">
        <f t="shared" si="28"/>
        <v>0</v>
      </c>
      <c r="P156" s="56">
        <f t="shared" si="29"/>
        <v>232.32740995520999</v>
      </c>
      <c r="Q156" s="56">
        <f>IF(H156=1,I156*VEHICLE!$C$69,IF(H156=2,VEHICLE!$C$70*I156,IF(H156=3,VEHICLE!$C$71*I156,0)))</f>
        <v>0</v>
      </c>
      <c r="R156" s="56">
        <f>(J156+K156+O156+Q156)</f>
        <v>232.32740995520999</v>
      </c>
      <c r="S156" s="56">
        <f t="shared" si="30"/>
        <v>232.32740995520999</v>
      </c>
      <c r="T156" s="56">
        <f>ABS((R156)/((2*PI()*G156)/60))</f>
        <v>0.34131743732408198</v>
      </c>
      <c r="U156" s="56">
        <f t="shared" si="31"/>
        <v>1</v>
      </c>
      <c r="V156" s="56">
        <f>INDEX(BSFC!$D$4:$AD$26,MATCH(U156,BSFC!$B$4:$B$26,0),MATCH(G156,BSFC!$D$2:$AD$2,0))</f>
        <v>925.65735288000019</v>
      </c>
      <c r="W156" s="56">
        <f t="shared" si="36"/>
        <v>5.9737659805723972E-2</v>
      </c>
      <c r="X156" s="56">
        <f t="shared" si="32"/>
        <v>5.9737659805723972E-2</v>
      </c>
      <c r="Y156" s="56">
        <f t="shared" si="33"/>
        <v>0.18458936879968707</v>
      </c>
      <c r="Z156" s="79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x14ac:dyDescent="0.3">
      <c r="A157" s="55">
        <v>1</v>
      </c>
      <c r="B157" s="56" t="s">
        <v>102</v>
      </c>
      <c r="C157" s="56">
        <f t="shared" si="34"/>
        <v>154</v>
      </c>
      <c r="D157" s="56">
        <f t="shared" si="26"/>
        <v>29.998170000000002</v>
      </c>
      <c r="E157" s="94">
        <v>13.41</v>
      </c>
      <c r="F157" s="94">
        <f>($C$4/E157)+F156</f>
        <v>14.057114990673517</v>
      </c>
      <c r="G157" s="56">
        <v>6500</v>
      </c>
      <c r="H157" s="56">
        <v>3</v>
      </c>
      <c r="I157" s="94">
        <f>E157-E156</f>
        <v>0</v>
      </c>
      <c r="J157" s="56">
        <f>(0.5*VEHICLE!$C$71*VEHICLE!$C$28*VEHICLE!$C$27*'Drive Cycle'!E157^2)</f>
        <v>159.97581505520998</v>
      </c>
      <c r="K157" s="56">
        <f>IF(A157=1,VEHICLE!$S$5,IF(A157=2,VEHICLE!$Q$5,IF(A157=3,VEHICLE!$R$5,IF(A157=4,VEHICLE!$P$5,1))))</f>
        <v>72.351594900000009</v>
      </c>
      <c r="L157" s="56">
        <v>0</v>
      </c>
      <c r="M157" s="56">
        <f t="shared" si="35"/>
        <v>0</v>
      </c>
      <c r="N157" s="56">
        <f t="shared" si="27"/>
        <v>0</v>
      </c>
      <c r="O157" s="56">
        <f t="shared" si="28"/>
        <v>0</v>
      </c>
      <c r="P157" s="56">
        <f t="shared" si="29"/>
        <v>232.32740995520999</v>
      </c>
      <c r="Q157" s="56">
        <f>IF(H157=1,I157*VEHICLE!$C$69,IF(H157=2,VEHICLE!$C$70*I157,IF(H157=3,VEHICLE!$C$71*I157,0)))</f>
        <v>0</v>
      </c>
      <c r="R157" s="56">
        <f>(J157+K157+O157+Q157)</f>
        <v>232.32740995520999</v>
      </c>
      <c r="S157" s="56">
        <f t="shared" si="30"/>
        <v>232.32740995520999</v>
      </c>
      <c r="T157" s="56">
        <f>ABS((R157)/((2*PI()*G157)/60))</f>
        <v>0.34131743732408198</v>
      </c>
      <c r="U157" s="56">
        <f t="shared" si="31"/>
        <v>1</v>
      </c>
      <c r="V157" s="56">
        <f>INDEX(BSFC!$D$4:$AD$26,MATCH(U157,BSFC!$B$4:$B$26,0),MATCH(G157,BSFC!$D$2:$AD$2,0))</f>
        <v>925.65735288000019</v>
      </c>
      <c r="W157" s="56">
        <f t="shared" si="36"/>
        <v>5.9737659805723972E-2</v>
      </c>
      <c r="X157" s="56">
        <f t="shared" si="32"/>
        <v>5.9737659805723972E-2</v>
      </c>
      <c r="Y157" s="56">
        <f t="shared" si="33"/>
        <v>0.18458936879968707</v>
      </c>
      <c r="Z157" s="79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x14ac:dyDescent="0.3">
      <c r="A158" s="55">
        <v>1</v>
      </c>
      <c r="B158" s="56" t="s">
        <v>102</v>
      </c>
      <c r="C158" s="56">
        <f t="shared" si="34"/>
        <v>155</v>
      </c>
      <c r="D158" s="56">
        <f t="shared" si="26"/>
        <v>29.998170000000002</v>
      </c>
      <c r="E158" s="94">
        <v>13.41</v>
      </c>
      <c r="F158" s="94">
        <f>($C$4/E158)+F157</f>
        <v>14.13168620618433</v>
      </c>
      <c r="G158" s="56">
        <v>6500</v>
      </c>
      <c r="H158" s="56">
        <v>3</v>
      </c>
      <c r="I158" s="94">
        <f>E158-E157</f>
        <v>0</v>
      </c>
      <c r="J158" s="56">
        <f>(0.5*VEHICLE!$C$71*VEHICLE!$C$28*VEHICLE!$C$27*'Drive Cycle'!E158^2)</f>
        <v>159.97581505520998</v>
      </c>
      <c r="K158" s="56">
        <f>IF(A158=1,VEHICLE!$S$5,IF(A158=2,VEHICLE!$Q$5,IF(A158=3,VEHICLE!$R$5,IF(A158=4,VEHICLE!$P$5,1))))</f>
        <v>72.351594900000009</v>
      </c>
      <c r="L158" s="56">
        <v>0</v>
      </c>
      <c r="M158" s="56">
        <f t="shared" si="35"/>
        <v>0</v>
      </c>
      <c r="N158" s="56">
        <f t="shared" si="27"/>
        <v>0</v>
      </c>
      <c r="O158" s="56">
        <f t="shared" si="28"/>
        <v>0</v>
      </c>
      <c r="P158" s="56">
        <f t="shared" si="29"/>
        <v>232.32740995520999</v>
      </c>
      <c r="Q158" s="56">
        <f>IF(H158=1,I158*VEHICLE!$C$69,IF(H158=2,VEHICLE!$C$70*I158,IF(H158=3,VEHICLE!$C$71*I158,0)))</f>
        <v>0</v>
      </c>
      <c r="R158" s="56">
        <f>(J158+K158+O158+Q158)</f>
        <v>232.32740995520999</v>
      </c>
      <c r="S158" s="56">
        <f t="shared" si="30"/>
        <v>232.32740995520999</v>
      </c>
      <c r="T158" s="56">
        <f>ABS((R158)/((2*PI()*G158)/60))</f>
        <v>0.34131743732408198</v>
      </c>
      <c r="U158" s="56">
        <f t="shared" si="31"/>
        <v>1</v>
      </c>
      <c r="V158" s="56">
        <f>INDEX(BSFC!$D$4:$AD$26,MATCH(U158,BSFC!$B$4:$B$26,0),MATCH(G158,BSFC!$D$2:$AD$2,0))</f>
        <v>925.65735288000019</v>
      </c>
      <c r="W158" s="56">
        <f t="shared" si="36"/>
        <v>5.9737659805723972E-2</v>
      </c>
      <c r="X158" s="56">
        <f t="shared" si="32"/>
        <v>5.9737659805723972E-2</v>
      </c>
      <c r="Y158" s="56">
        <f t="shared" si="33"/>
        <v>0.18458936879968707</v>
      </c>
      <c r="Z158" s="79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x14ac:dyDescent="0.3">
      <c r="A159" s="55">
        <v>1</v>
      </c>
      <c r="B159" s="56" t="s">
        <v>102</v>
      </c>
      <c r="C159" s="56">
        <f t="shared" si="34"/>
        <v>156</v>
      </c>
      <c r="D159" s="56">
        <f t="shared" si="26"/>
        <v>29.998170000000002</v>
      </c>
      <c r="E159" s="94">
        <v>13.41</v>
      </c>
      <c r="F159" s="94">
        <f>($C$4/E159)+F158</f>
        <v>14.206257421695144</v>
      </c>
      <c r="G159" s="56">
        <v>6500</v>
      </c>
      <c r="H159" s="56">
        <v>3</v>
      </c>
      <c r="I159" s="94">
        <f>E159-E158</f>
        <v>0</v>
      </c>
      <c r="J159" s="56">
        <f>(0.5*VEHICLE!$C$71*VEHICLE!$C$28*VEHICLE!$C$27*'Drive Cycle'!E159^2)</f>
        <v>159.97581505520998</v>
      </c>
      <c r="K159" s="56">
        <f>IF(A159=1,VEHICLE!$S$5,IF(A159=2,VEHICLE!$Q$5,IF(A159=3,VEHICLE!$R$5,IF(A159=4,VEHICLE!$P$5,1))))</f>
        <v>72.351594900000009</v>
      </c>
      <c r="L159" s="56">
        <v>0</v>
      </c>
      <c r="M159" s="56">
        <f t="shared" si="35"/>
        <v>0</v>
      </c>
      <c r="N159" s="56">
        <f t="shared" si="27"/>
        <v>0</v>
      </c>
      <c r="O159" s="56">
        <f t="shared" si="28"/>
        <v>0</v>
      </c>
      <c r="P159" s="56">
        <f t="shared" si="29"/>
        <v>232.32740995520999</v>
      </c>
      <c r="Q159" s="56">
        <f>IF(H159=1,I159*VEHICLE!$C$69,IF(H159=2,VEHICLE!$C$70*I159,IF(H159=3,VEHICLE!$C$71*I159,0)))</f>
        <v>0</v>
      </c>
      <c r="R159" s="56">
        <f>(J159+K159+O159+Q159)</f>
        <v>232.32740995520999</v>
      </c>
      <c r="S159" s="56">
        <f t="shared" si="30"/>
        <v>232.32740995520999</v>
      </c>
      <c r="T159" s="56">
        <f>ABS((R159)/((2*PI()*G159)/60))</f>
        <v>0.34131743732408198</v>
      </c>
      <c r="U159" s="56">
        <f t="shared" si="31"/>
        <v>1</v>
      </c>
      <c r="V159" s="56">
        <f>INDEX(BSFC!$D$4:$AD$26,MATCH(U159,BSFC!$B$4:$B$26,0),MATCH(G159,BSFC!$D$2:$AD$2,0))</f>
        <v>925.65735288000019</v>
      </c>
      <c r="W159" s="56">
        <f t="shared" si="36"/>
        <v>5.9737659805723972E-2</v>
      </c>
      <c r="X159" s="56">
        <f t="shared" si="32"/>
        <v>5.9737659805723972E-2</v>
      </c>
      <c r="Y159" s="56">
        <f t="shared" si="33"/>
        <v>0.18458936879968707</v>
      </c>
      <c r="Z159" s="79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x14ac:dyDescent="0.3">
      <c r="A160" s="55">
        <v>1</v>
      </c>
      <c r="B160" s="56" t="s">
        <v>102</v>
      </c>
      <c r="C160" s="56">
        <f t="shared" si="34"/>
        <v>157</v>
      </c>
      <c r="D160" s="56">
        <f t="shared" si="26"/>
        <v>27.76117</v>
      </c>
      <c r="E160" s="94">
        <f t="shared" ref="E160:E169" si="37">E159-1</f>
        <v>12.41</v>
      </c>
      <c r="F160" s="94">
        <f>($C$4/E160)+F159</f>
        <v>14.286837598971534</v>
      </c>
      <c r="G160" s="56">
        <v>6500</v>
      </c>
      <c r="H160" s="56">
        <v>3</v>
      </c>
      <c r="I160" s="94">
        <f>E160-E159</f>
        <v>-1</v>
      </c>
      <c r="J160" s="56">
        <f>(0.5*VEHICLE!$C$71*VEHICLE!$C$28*VEHICLE!$C$27*'Drive Cycle'!E160^2)</f>
        <v>137.00623719320998</v>
      </c>
      <c r="K160" s="56">
        <f>IF(A160=1,VEHICLE!$S$5,IF(A160=2,VEHICLE!$Q$5,IF(A160=3,VEHICLE!$R$5,IF(A160=4,VEHICLE!$P$5,1))))</f>
        <v>72.351594900000009</v>
      </c>
      <c r="L160" s="56">
        <v>0</v>
      </c>
      <c r="M160" s="56">
        <f t="shared" si="35"/>
        <v>0</v>
      </c>
      <c r="N160" s="56">
        <f t="shared" si="27"/>
        <v>0</v>
      </c>
      <c r="O160" s="56">
        <f t="shared" si="28"/>
        <v>0</v>
      </c>
      <c r="P160" s="56">
        <f t="shared" si="29"/>
        <v>209.35783209320999</v>
      </c>
      <c r="Q160" s="56">
        <f>IF(H160=1,I160*VEHICLE!$C$69,IF(H160=2,VEHICLE!$C$70*I160,IF(H160=3,VEHICLE!$C$71*I160,0)))</f>
        <v>-1.167</v>
      </c>
      <c r="R160" s="56">
        <f>(J160+K160+O160+Q160)</f>
        <v>208.19083209320999</v>
      </c>
      <c r="S160" s="56">
        <f t="shared" si="30"/>
        <v>208.19083209320999</v>
      </c>
      <c r="T160" s="56">
        <f>ABS((R160)/((2*PI()*G160)/60))</f>
        <v>0.30585784646814623</v>
      </c>
      <c r="U160" s="56">
        <f t="shared" si="31"/>
        <v>1</v>
      </c>
      <c r="V160" s="56">
        <f>INDEX(BSFC!$D$4:$AD$26,MATCH(U160,BSFC!$B$4:$B$26,0),MATCH(G160,BSFC!$D$2:$AD$2,0))</f>
        <v>925.65735288000019</v>
      </c>
      <c r="W160" s="56">
        <f t="shared" si="36"/>
        <v>5.3531492924801492E-2</v>
      </c>
      <c r="X160" s="56">
        <f t="shared" si="32"/>
        <v>5.3531492924801492E-2</v>
      </c>
      <c r="Y160" s="56">
        <f t="shared" si="33"/>
        <v>0.1654123131376366</v>
      </c>
      <c r="Z160" s="79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x14ac:dyDescent="0.3">
      <c r="A161" s="55">
        <v>1</v>
      </c>
      <c r="B161" s="56" t="s">
        <v>102</v>
      </c>
      <c r="C161" s="56">
        <f t="shared" si="34"/>
        <v>158</v>
      </c>
      <c r="D161" s="56">
        <f t="shared" si="26"/>
        <v>25.524170000000002</v>
      </c>
      <c r="E161" s="94">
        <f t="shared" si="37"/>
        <v>11.41</v>
      </c>
      <c r="F161" s="94">
        <f>($C$4/E161)+F160</f>
        <v>14.374480017902297</v>
      </c>
      <c r="G161" s="56">
        <v>6500</v>
      </c>
      <c r="H161" s="56">
        <v>3</v>
      </c>
      <c r="I161" s="94">
        <f>E161-E160</f>
        <v>-1</v>
      </c>
      <c r="J161" s="56">
        <f>(0.5*VEHICLE!$C$71*VEHICLE!$C$28*VEHICLE!$C$27*'Drive Cycle'!E161^2)</f>
        <v>115.81586753120997</v>
      </c>
      <c r="K161" s="56">
        <f>IF(A161=1,VEHICLE!$S$5,IF(A161=2,VEHICLE!$Q$5,IF(A161=3,VEHICLE!$R$5,IF(A161=4,VEHICLE!$P$5,1))))</f>
        <v>72.351594900000009</v>
      </c>
      <c r="L161" s="56">
        <v>0</v>
      </c>
      <c r="M161" s="56">
        <f t="shared" si="35"/>
        <v>0</v>
      </c>
      <c r="N161" s="56">
        <f t="shared" si="27"/>
        <v>0</v>
      </c>
      <c r="O161" s="56">
        <f t="shared" si="28"/>
        <v>0</v>
      </c>
      <c r="P161" s="56">
        <f t="shared" si="29"/>
        <v>188.16746243120997</v>
      </c>
      <c r="Q161" s="56">
        <f>IF(H161=1,I161*VEHICLE!$C$69,IF(H161=2,VEHICLE!$C$70*I161,IF(H161=3,VEHICLE!$C$71*I161,0)))</f>
        <v>-1.167</v>
      </c>
      <c r="R161" s="56">
        <f>(J161+K161+O161+Q161)</f>
        <v>187.00046243120997</v>
      </c>
      <c r="S161" s="56">
        <f t="shared" si="30"/>
        <v>187.00046243120997</v>
      </c>
      <c r="T161" s="56">
        <f>ABS((R161)/((2*PI()*G161)/60))</f>
        <v>0.27472659652059078</v>
      </c>
      <c r="U161" s="56">
        <f t="shared" si="31"/>
        <v>1</v>
      </c>
      <c r="V161" s="56">
        <f>INDEX(BSFC!$D$4:$AD$26,MATCH(U161,BSFC!$B$4:$B$26,0),MATCH(G161,BSFC!$D$2:$AD$2,0))</f>
        <v>925.65735288000019</v>
      </c>
      <c r="W161" s="56">
        <f t="shared" si="36"/>
        <v>4.8082875844836039E-2</v>
      </c>
      <c r="X161" s="56">
        <f t="shared" si="32"/>
        <v>4.8082875844836039E-2</v>
      </c>
      <c r="Y161" s="56">
        <f t="shared" si="33"/>
        <v>0.14857608636054334</v>
      </c>
      <c r="Z161" s="79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x14ac:dyDescent="0.3">
      <c r="A162" s="55">
        <v>1</v>
      </c>
      <c r="B162" s="56" t="s">
        <v>102</v>
      </c>
      <c r="C162" s="56">
        <f t="shared" si="34"/>
        <v>159</v>
      </c>
      <c r="D162" s="56">
        <f t="shared" si="26"/>
        <v>23.28717</v>
      </c>
      <c r="E162" s="94">
        <f t="shared" si="37"/>
        <v>10.41</v>
      </c>
      <c r="F162" s="94">
        <f>($C$4/E162)+F161</f>
        <v>14.470541497249078</v>
      </c>
      <c r="G162" s="56">
        <f t="shared" ref="G162:G169" si="38">G161-500</f>
        <v>6000</v>
      </c>
      <c r="H162" s="56">
        <v>2</v>
      </c>
      <c r="I162" s="94">
        <f>E162-E161</f>
        <v>-1</v>
      </c>
      <c r="J162" s="56">
        <f>(0.5*VEHICLE!$C$71*VEHICLE!$C$28*VEHICLE!$C$27*'Drive Cycle'!E162^2)</f>
        <v>96.404706069209993</v>
      </c>
      <c r="K162" s="56">
        <f>IF(A162=1,VEHICLE!$S$5,IF(A162=2,VEHICLE!$Q$5,IF(A162=3,VEHICLE!$R$5,IF(A162=4,VEHICLE!$P$5,1))))</f>
        <v>72.351594900000009</v>
      </c>
      <c r="L162" s="56">
        <v>0</v>
      </c>
      <c r="M162" s="56">
        <f t="shared" si="35"/>
        <v>0</v>
      </c>
      <c r="N162" s="56">
        <f t="shared" si="27"/>
        <v>0</v>
      </c>
      <c r="O162" s="56">
        <f t="shared" si="28"/>
        <v>0</v>
      </c>
      <c r="P162" s="56">
        <f t="shared" si="29"/>
        <v>168.75630096921</v>
      </c>
      <c r="Q162" s="56">
        <f>IF(H162=1,I162*VEHICLE!$C$69,IF(H162=2,VEHICLE!$C$70*I162,IF(H162=3,VEHICLE!$C$71*I162,0)))</f>
        <v>-585.14848653011734</v>
      </c>
      <c r="R162" s="56">
        <f>(J162+K162+O162+Q162)</f>
        <v>-416.39218556090736</v>
      </c>
      <c r="S162" s="56">
        <f t="shared" si="30"/>
        <v>416.39218556090736</v>
      </c>
      <c r="T162" s="56">
        <f>ABS((R162)/((2*PI()*G162)/60))</f>
        <v>0.66270874596856133</v>
      </c>
      <c r="U162" s="56">
        <f t="shared" si="31"/>
        <v>1</v>
      </c>
      <c r="V162" s="56">
        <f>INDEX(BSFC!$D$4:$AD$26,MATCH(U162,BSFC!$B$4:$B$26,0),MATCH(G162,BSFC!$D$2:$AD$2,0))</f>
        <v>933.91499472000044</v>
      </c>
      <c r="W162" s="56">
        <f t="shared" si="36"/>
        <v>-0.10802080716099006</v>
      </c>
      <c r="X162" s="56">
        <f t="shared" si="32"/>
        <v>0.10802080716099006</v>
      </c>
      <c r="Y162" s="56">
        <f t="shared" si="33"/>
        <v>-0.3337842941274593</v>
      </c>
      <c r="Z162" s="79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x14ac:dyDescent="0.3">
      <c r="A163" s="55">
        <v>1</v>
      </c>
      <c r="B163" s="56" t="s">
        <v>102</v>
      </c>
      <c r="C163" s="56">
        <f t="shared" si="34"/>
        <v>160</v>
      </c>
      <c r="D163" s="56">
        <f t="shared" si="26"/>
        <v>21.050170000000001</v>
      </c>
      <c r="E163" s="94">
        <f t="shared" si="37"/>
        <v>9.41</v>
      </c>
      <c r="F163" s="94">
        <f>($C$4/E163)+F162</f>
        <v>14.57681142286013</v>
      </c>
      <c r="G163" s="56">
        <f t="shared" si="38"/>
        <v>5500</v>
      </c>
      <c r="H163" s="56">
        <v>2</v>
      </c>
      <c r="I163" s="94">
        <f>E163-E162</f>
        <v>-1</v>
      </c>
      <c r="J163" s="56">
        <f>(0.5*VEHICLE!$C$71*VEHICLE!$C$28*VEHICLE!$C$27*'Drive Cycle'!E163^2)</f>
        <v>78.772752807209997</v>
      </c>
      <c r="K163" s="56">
        <f>IF(A163=1,VEHICLE!$S$5,IF(A163=2,VEHICLE!$Q$5,IF(A163=3,VEHICLE!$R$5,IF(A163=4,VEHICLE!$P$5,1))))</f>
        <v>72.351594900000009</v>
      </c>
      <c r="L163" s="56">
        <v>0</v>
      </c>
      <c r="M163" s="56">
        <f t="shared" si="35"/>
        <v>0</v>
      </c>
      <c r="N163" s="56">
        <f t="shared" si="27"/>
        <v>0</v>
      </c>
      <c r="O163" s="56">
        <f t="shared" si="28"/>
        <v>0</v>
      </c>
      <c r="P163" s="56">
        <f t="shared" si="29"/>
        <v>151.12434770721001</v>
      </c>
      <c r="Q163" s="56">
        <f>IF(H163=1,I163*VEHICLE!$C$69,IF(H163=2,VEHICLE!$C$70*I163,IF(H163=3,VEHICLE!$C$71*I163,0)))</f>
        <v>-585.14848653011734</v>
      </c>
      <c r="R163" s="56">
        <f>(J163+K163+O163+Q163)</f>
        <v>-434.02413882290733</v>
      </c>
      <c r="S163" s="56">
        <f t="shared" si="30"/>
        <v>434.02413882290733</v>
      </c>
      <c r="T163" s="56">
        <f>ABS((R163)/((2*PI()*G163)/60))</f>
        <v>0.75356822307129501</v>
      </c>
      <c r="U163" s="56">
        <f t="shared" si="31"/>
        <v>1</v>
      </c>
      <c r="V163" s="56">
        <f>INDEX(BSFC!$D$4:$AD$26,MATCH(U163,BSFC!$B$4:$B$26,0),MATCH(G163,BSFC!$D$2:$AD$2,0))</f>
        <v>937.88833920000002</v>
      </c>
      <c r="W163" s="56">
        <f t="shared" si="36"/>
        <v>-0.11307393853703522</v>
      </c>
      <c r="X163" s="56">
        <f t="shared" si="32"/>
        <v>0.11307393853703522</v>
      </c>
      <c r="Y163" s="56">
        <f t="shared" si="33"/>
        <v>-0.34939847007943881</v>
      </c>
      <c r="Z163" s="79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x14ac:dyDescent="0.3">
      <c r="A164" s="55">
        <v>1</v>
      </c>
      <c r="B164" s="56" t="s">
        <v>102</v>
      </c>
      <c r="C164" s="56">
        <f t="shared" si="34"/>
        <v>161</v>
      </c>
      <c r="D164" s="56">
        <f t="shared" si="26"/>
        <v>18.81317</v>
      </c>
      <c r="E164" s="94">
        <f t="shared" si="37"/>
        <v>8.41</v>
      </c>
      <c r="F164" s="94">
        <f>($C$4/E164)+F163</f>
        <v>14.695717487069405</v>
      </c>
      <c r="G164" s="56">
        <f t="shared" si="38"/>
        <v>5000</v>
      </c>
      <c r="H164" s="56">
        <v>2</v>
      </c>
      <c r="I164" s="94">
        <f>E164-E163</f>
        <v>-1</v>
      </c>
      <c r="J164" s="56">
        <f>(0.5*VEHICLE!$C$71*VEHICLE!$C$28*VEHICLE!$C$27*'Drive Cycle'!E164^2)</f>
        <v>62.920007745209993</v>
      </c>
      <c r="K164" s="56">
        <f>IF(A164=1,VEHICLE!$S$5,IF(A164=2,VEHICLE!$Q$5,IF(A164=3,VEHICLE!$R$5,IF(A164=4,VEHICLE!$P$5,1))))</f>
        <v>72.351594900000009</v>
      </c>
      <c r="L164" s="56">
        <v>0</v>
      </c>
      <c r="M164" s="56">
        <f t="shared" si="35"/>
        <v>0</v>
      </c>
      <c r="N164" s="56">
        <f t="shared" si="27"/>
        <v>0</v>
      </c>
      <c r="O164" s="56">
        <f t="shared" si="28"/>
        <v>0</v>
      </c>
      <c r="P164" s="56">
        <f t="shared" si="29"/>
        <v>135.27160264521001</v>
      </c>
      <c r="Q164" s="56">
        <f>IF(H164=1,I164*VEHICLE!$C$69,IF(H164=2,VEHICLE!$C$70*I164,IF(H164=3,VEHICLE!$C$71*I164,0)))</f>
        <v>-585.14848653011734</v>
      </c>
      <c r="R164" s="56">
        <f>(J164+K164+O164+Q164)</f>
        <v>-449.87688388490733</v>
      </c>
      <c r="S164" s="56">
        <f t="shared" si="30"/>
        <v>449.87688388490733</v>
      </c>
      <c r="T164" s="56">
        <f>ABS((R164)/((2*PI()*G164)/60))</f>
        <v>0.8592015582367396</v>
      </c>
      <c r="U164" s="56">
        <f t="shared" si="31"/>
        <v>1</v>
      </c>
      <c r="V164" s="56">
        <f>INDEX(BSFC!$D$4:$AD$26,MATCH(U164,BSFC!$B$4:$B$26,0),MATCH(G164,BSFC!$D$2:$AD$2,0))</f>
        <v>967.30583135999973</v>
      </c>
      <c r="W164" s="56">
        <f t="shared" si="36"/>
        <v>-0.12088014810442677</v>
      </c>
      <c r="X164" s="56">
        <f t="shared" si="32"/>
        <v>0.12088014810442677</v>
      </c>
      <c r="Y164" s="56">
        <f t="shared" si="33"/>
        <v>-0.37351965764267869</v>
      </c>
      <c r="Z164" s="79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x14ac:dyDescent="0.3">
      <c r="A165" s="55">
        <v>1</v>
      </c>
      <c r="B165" s="56" t="s">
        <v>102</v>
      </c>
      <c r="C165" s="56">
        <f t="shared" si="34"/>
        <v>162</v>
      </c>
      <c r="D165" s="56">
        <f t="shared" si="26"/>
        <v>16.576170000000001</v>
      </c>
      <c r="E165" s="94">
        <f t="shared" si="37"/>
        <v>7.41</v>
      </c>
      <c r="F165" s="94">
        <f>($C$4/E165)+F164</f>
        <v>14.83067025360112</v>
      </c>
      <c r="G165" s="56">
        <f t="shared" si="38"/>
        <v>4500</v>
      </c>
      <c r="H165" s="56">
        <v>2</v>
      </c>
      <c r="I165" s="94">
        <f>E165-E164</f>
        <v>-1</v>
      </c>
      <c r="J165" s="56">
        <f>(0.5*VEHICLE!$C$71*VEHICLE!$C$28*VEHICLE!$C$27*'Drive Cycle'!E165^2)</f>
        <v>48.846470883209996</v>
      </c>
      <c r="K165" s="56">
        <f>IF(A165=1,VEHICLE!$S$5,IF(A165=2,VEHICLE!$Q$5,IF(A165=3,VEHICLE!$R$5,IF(A165=4,VEHICLE!$P$5,1))))</f>
        <v>72.351594900000009</v>
      </c>
      <c r="L165" s="56">
        <v>0</v>
      </c>
      <c r="M165" s="56">
        <f t="shared" si="35"/>
        <v>0</v>
      </c>
      <c r="N165" s="56">
        <f t="shared" si="27"/>
        <v>0</v>
      </c>
      <c r="O165" s="56">
        <f t="shared" si="28"/>
        <v>0</v>
      </c>
      <c r="P165" s="56">
        <f t="shared" si="29"/>
        <v>121.19806578321001</v>
      </c>
      <c r="Q165" s="56">
        <f>IF(H165=1,I165*VEHICLE!$C$69,IF(H165=2,VEHICLE!$C$70*I165,IF(H165=3,VEHICLE!$C$71*I165,0)))</f>
        <v>-585.14848653011734</v>
      </c>
      <c r="R165" s="56">
        <f>(J165+K165+O165+Q165)</f>
        <v>-463.9504207469073</v>
      </c>
      <c r="S165" s="56">
        <f t="shared" si="30"/>
        <v>463.9504207469073</v>
      </c>
      <c r="T165" s="56">
        <f>ABS((R165)/((2*PI()*G165)/60))</f>
        <v>0.98453337081913228</v>
      </c>
      <c r="U165" s="56">
        <f t="shared" si="31"/>
        <v>1</v>
      </c>
      <c r="V165" s="56">
        <f>INDEX(BSFC!$D$4:$AD$26,MATCH(U165,BSFC!$B$4:$B$26,0),MATCH(G165,BSFC!$D$2:$AD$2,0))</f>
        <v>996.72332351999967</v>
      </c>
      <c r="W165" s="56">
        <f t="shared" si="36"/>
        <v>-0.12845283480982211</v>
      </c>
      <c r="X165" s="56">
        <f t="shared" si="32"/>
        <v>0.12845283480982211</v>
      </c>
      <c r="Y165" s="56">
        <f t="shared" si="33"/>
        <v>-0.3969192595623503</v>
      </c>
      <c r="Z165" s="79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x14ac:dyDescent="0.3">
      <c r="A166" s="55">
        <v>1</v>
      </c>
      <c r="B166" s="56" t="s">
        <v>102</v>
      </c>
      <c r="C166" s="56">
        <f t="shared" si="34"/>
        <v>163</v>
      </c>
      <c r="D166" s="56">
        <f t="shared" si="26"/>
        <v>14.339170000000001</v>
      </c>
      <c r="E166" s="94">
        <f t="shared" si="37"/>
        <v>6.41</v>
      </c>
      <c r="F166" s="94">
        <f>($C$4/E166)+F165</f>
        <v>14.98667649385073</v>
      </c>
      <c r="G166" s="56">
        <f t="shared" si="38"/>
        <v>4000</v>
      </c>
      <c r="H166" s="56">
        <v>2</v>
      </c>
      <c r="I166" s="94">
        <f>E166-E165</f>
        <v>-1</v>
      </c>
      <c r="J166" s="56">
        <f>(0.5*VEHICLE!$C$71*VEHICLE!$C$28*VEHICLE!$C$27*'Drive Cycle'!E166^2)</f>
        <v>36.552142221209998</v>
      </c>
      <c r="K166" s="56">
        <f>IF(A166=1,VEHICLE!$S$5,IF(A166=2,VEHICLE!$Q$5,IF(A166=3,VEHICLE!$R$5,IF(A166=4,VEHICLE!$P$5,1))))</f>
        <v>72.351594900000009</v>
      </c>
      <c r="L166" s="56">
        <v>0</v>
      </c>
      <c r="M166" s="56">
        <f t="shared" si="35"/>
        <v>0</v>
      </c>
      <c r="N166" s="56">
        <f t="shared" si="27"/>
        <v>0</v>
      </c>
      <c r="O166" s="56">
        <f t="shared" si="28"/>
        <v>0</v>
      </c>
      <c r="P166" s="56">
        <f t="shared" si="29"/>
        <v>108.90373712121001</v>
      </c>
      <c r="Q166" s="56">
        <f>IF(H166=1,I166*VEHICLE!$C$69,IF(H166=2,VEHICLE!$C$70*I166,IF(H166=3,VEHICLE!$C$71*I166,0)))</f>
        <v>-585.14848653011734</v>
      </c>
      <c r="R166" s="56">
        <f>(J166+K166+O166+Q166)</f>
        <v>-476.2447494089073</v>
      </c>
      <c r="S166" s="56">
        <f t="shared" si="30"/>
        <v>476.2447494089073</v>
      </c>
      <c r="T166" s="56">
        <f>ABS((R166)/((2*PI()*G166)/60))</f>
        <v>1.1369505898498291</v>
      </c>
      <c r="U166" s="56">
        <f t="shared" si="31"/>
        <v>2</v>
      </c>
      <c r="V166" s="56">
        <f>INDEX(BSFC!$D$4:$AD$26,MATCH(U166,BSFC!$B$4:$B$26,0),MATCH(G166,BSFC!$D$2:$AD$2,0))</f>
        <v>918.89477663999969</v>
      </c>
      <c r="W166" s="56">
        <f t="shared" si="36"/>
        <v>-0.12156078128724181</v>
      </c>
      <c r="X166" s="56">
        <f t="shared" si="32"/>
        <v>0.12156078128724181</v>
      </c>
      <c r="Y166" s="56">
        <f t="shared" si="33"/>
        <v>-0.37562281417757715</v>
      </c>
      <c r="Z166" s="79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x14ac:dyDescent="0.3">
      <c r="A167" s="55">
        <v>1</v>
      </c>
      <c r="B167" s="56" t="s">
        <v>102</v>
      </c>
      <c r="C167" s="56">
        <f>C166+1</f>
        <v>164</v>
      </c>
      <c r="D167" s="56">
        <f t="shared" si="26"/>
        <v>12.102170000000001</v>
      </c>
      <c r="E167" s="94">
        <f t="shared" si="37"/>
        <v>5.41</v>
      </c>
      <c r="F167" s="94">
        <f>($C$4/E167)+F166</f>
        <v>15.171519377399713</v>
      </c>
      <c r="G167" s="56">
        <f t="shared" si="38"/>
        <v>3500</v>
      </c>
      <c r="H167" s="56">
        <v>2</v>
      </c>
      <c r="I167" s="94">
        <f>E167-E166</f>
        <v>-1</v>
      </c>
      <c r="J167" s="56">
        <f>(0.5*VEHICLE!$C$71*VEHICLE!$C$28*VEHICLE!$C$27*'Drive Cycle'!E167^2)</f>
        <v>26.037021759209999</v>
      </c>
      <c r="K167" s="56">
        <f>IF(A167=1,VEHICLE!$S$5,IF(A167=2,VEHICLE!$Q$5,IF(A167=3,VEHICLE!$R$5,IF(A167=4,VEHICLE!$P$5,1))))</f>
        <v>72.351594900000009</v>
      </c>
      <c r="L167" s="56">
        <v>0</v>
      </c>
      <c r="M167" s="56">
        <f t="shared" si="35"/>
        <v>0</v>
      </c>
      <c r="N167" s="56">
        <f t="shared" si="27"/>
        <v>0</v>
      </c>
      <c r="O167" s="56">
        <f t="shared" si="28"/>
        <v>0</v>
      </c>
      <c r="P167" s="56">
        <f t="shared" si="29"/>
        <v>98.388616659210015</v>
      </c>
      <c r="Q167" s="56">
        <f>IF(H167=1,I167*VEHICLE!$C$69,IF(H167=2,VEHICLE!$C$70*I167,IF(H167=3,VEHICLE!$C$71*I167,0)))</f>
        <v>-585.14848653011734</v>
      </c>
      <c r="R167" s="56">
        <f>(J167+K167+O167+Q167)</f>
        <v>-486.75986987090732</v>
      </c>
      <c r="S167" s="56">
        <f t="shared" si="30"/>
        <v>486.75986987090732</v>
      </c>
      <c r="T167" s="56">
        <f>ABS((R167)/((2*PI()*G167)/60))</f>
        <v>1.3280612466638166</v>
      </c>
      <c r="U167" s="56">
        <f t="shared" si="31"/>
        <v>2</v>
      </c>
      <c r="V167" s="56">
        <f>INDEX(BSFC!$D$4:$AD$26,MATCH(U167,BSFC!$B$4:$B$26,0),MATCH(G167,BSFC!$D$2:$AD$2,0))</f>
        <v>905.74442879999992</v>
      </c>
      <c r="W167" s="56">
        <f t="shared" si="36"/>
        <v>-0.12246667786082979</v>
      </c>
      <c r="X167" s="56">
        <f t="shared" si="32"/>
        <v>0.12246667786082979</v>
      </c>
      <c r="Y167" s="56">
        <f t="shared" si="33"/>
        <v>-0.37842203458996404</v>
      </c>
      <c r="Z167" s="79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x14ac:dyDescent="0.3">
      <c r="A168" s="55">
        <v>1</v>
      </c>
      <c r="B168" s="56" t="s">
        <v>102</v>
      </c>
      <c r="C168" s="56">
        <f t="shared" ref="C168:C231" si="39">C167+1</f>
        <v>165</v>
      </c>
      <c r="D168" s="56">
        <f t="shared" si="26"/>
        <v>9.8651700000000009</v>
      </c>
      <c r="E168" s="94">
        <f t="shared" si="37"/>
        <v>4.41</v>
      </c>
      <c r="F168" s="94">
        <f>($C$4/E168)+F167</f>
        <v>15.398276747014226</v>
      </c>
      <c r="G168" s="56">
        <f t="shared" si="38"/>
        <v>3000</v>
      </c>
      <c r="H168" s="56">
        <v>2</v>
      </c>
      <c r="I168" s="94">
        <f>E168-E167</f>
        <v>-1</v>
      </c>
      <c r="J168" s="56">
        <f>(0.5*VEHICLE!$C$71*VEHICLE!$C$28*VEHICLE!$C$27*'Drive Cycle'!E168^2)</f>
        <v>17.30110949721</v>
      </c>
      <c r="K168" s="56">
        <f>IF(A168=1,VEHICLE!$S$5,IF(A168=2,VEHICLE!$Q$5,IF(A168=3,VEHICLE!$R$5,IF(A168=4,VEHICLE!$P$5,1))))</f>
        <v>72.351594900000009</v>
      </c>
      <c r="L168" s="56">
        <v>0</v>
      </c>
      <c r="M168" s="56">
        <f t="shared" si="35"/>
        <v>0</v>
      </c>
      <c r="N168" s="56">
        <f t="shared" si="27"/>
        <v>0</v>
      </c>
      <c r="O168" s="56">
        <f t="shared" si="28"/>
        <v>0</v>
      </c>
      <c r="P168" s="56">
        <f t="shared" si="29"/>
        <v>89.652704397210016</v>
      </c>
      <c r="Q168" s="56">
        <f>IF(H168=1,I168*VEHICLE!$C$69,IF(H168=2,VEHICLE!$C$70*I168,IF(H168=3,VEHICLE!$C$71*I168,0)))</f>
        <v>-585.14848653011734</v>
      </c>
      <c r="R168" s="56">
        <f>(J168+K168+O168+Q168)</f>
        <v>-495.49578213290732</v>
      </c>
      <c r="S168" s="56">
        <f t="shared" si="30"/>
        <v>495.49578213290732</v>
      </c>
      <c r="T168" s="56">
        <f>ABS((R168)/((2*PI()*G168)/60))</f>
        <v>1.5772120601527406</v>
      </c>
      <c r="U168" s="56">
        <f t="shared" si="31"/>
        <v>2</v>
      </c>
      <c r="V168" s="56">
        <f>INDEX(BSFC!$D$4:$AD$26,MATCH(U168,BSFC!$B$4:$B$26,0),MATCH(G168,BSFC!$D$2:$AD$2,0))</f>
        <v>929.28963552000016</v>
      </c>
      <c r="W168" s="56">
        <f t="shared" si="36"/>
        <v>-0.1279053041055519</v>
      </c>
      <c r="X168" s="56">
        <f t="shared" si="32"/>
        <v>0.1279053041055519</v>
      </c>
      <c r="Y168" s="56">
        <f t="shared" si="33"/>
        <v>-0.39522738968615534</v>
      </c>
      <c r="Z168" s="79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x14ac:dyDescent="0.3">
      <c r="A169" s="55">
        <v>1</v>
      </c>
      <c r="B169" s="56" t="s">
        <v>102</v>
      </c>
      <c r="C169" s="56">
        <f t="shared" si="39"/>
        <v>166</v>
      </c>
      <c r="D169" s="56">
        <f t="shared" si="26"/>
        <v>7.6281700000000008</v>
      </c>
      <c r="E169" s="94">
        <f t="shared" si="37"/>
        <v>3.41</v>
      </c>
      <c r="F169" s="94">
        <f>($C$4/E169)+F168</f>
        <v>15.691531878979035</v>
      </c>
      <c r="G169" s="56">
        <f t="shared" si="38"/>
        <v>2500</v>
      </c>
      <c r="H169" s="56">
        <v>2</v>
      </c>
      <c r="I169" s="94">
        <f>E169-E168</f>
        <v>-1</v>
      </c>
      <c r="J169" s="56">
        <f>(0.5*VEHICLE!$C$71*VEHICLE!$C$28*VEHICLE!$C$27*'Drive Cycle'!E169^2)</f>
        <v>10.34440543521</v>
      </c>
      <c r="K169" s="56">
        <f>IF(A169=1,VEHICLE!$S$5,IF(A169=2,VEHICLE!$Q$5,IF(A169=3,VEHICLE!$R$5,IF(A169=4,VEHICLE!$P$5,1))))</f>
        <v>72.351594900000009</v>
      </c>
      <c r="L169" s="56">
        <v>0</v>
      </c>
      <c r="M169" s="56">
        <f t="shared" si="35"/>
        <v>0</v>
      </c>
      <c r="N169" s="56">
        <f t="shared" si="27"/>
        <v>0</v>
      </c>
      <c r="O169" s="56">
        <f t="shared" si="28"/>
        <v>0</v>
      </c>
      <c r="P169" s="56">
        <f t="shared" si="29"/>
        <v>82.696000335210016</v>
      </c>
      <c r="Q169" s="56">
        <f>IF(H169=1,I169*VEHICLE!$C$69,IF(H169=2,VEHICLE!$C$70*I169,IF(H169=3,VEHICLE!$C$71*I169,0)))</f>
        <v>-585.14848653011734</v>
      </c>
      <c r="R169" s="56">
        <f>(J169+K169+O169+Q169)</f>
        <v>-502.45248619490735</v>
      </c>
      <c r="S169" s="56">
        <f t="shared" si="30"/>
        <v>502.45248619490735</v>
      </c>
      <c r="T169" s="56">
        <f>ABS((R169)/((2*PI()*G169)/60))</f>
        <v>1.9192271243215635</v>
      </c>
      <c r="U169" s="56">
        <f t="shared" si="31"/>
        <v>2</v>
      </c>
      <c r="V169" s="56">
        <f>INDEX(BSFC!$D$4:$AD$26,MATCH(U169,BSFC!$B$4:$B$26,0),MATCH(G169,BSFC!$D$2:$AD$2,0))</f>
        <v>952.83484224000051</v>
      </c>
      <c r="W169" s="56">
        <f t="shared" si="36"/>
        <v>-0.13298728761572792</v>
      </c>
      <c r="X169" s="56">
        <f t="shared" si="32"/>
        <v>0.13298728761572792</v>
      </c>
      <c r="Y169" s="56">
        <f t="shared" si="33"/>
        <v>-0.41093071873259929</v>
      </c>
      <c r="Z169" s="79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x14ac:dyDescent="0.3">
      <c r="A170" s="55">
        <v>1</v>
      </c>
      <c r="B170" s="57" t="s">
        <v>117</v>
      </c>
      <c r="C170" s="57">
        <f t="shared" si="39"/>
        <v>167</v>
      </c>
      <c r="D170" s="57">
        <f t="shared" si="26"/>
        <v>7.6281700000000008</v>
      </c>
      <c r="E170" s="86">
        <f>E169</f>
        <v>3.41</v>
      </c>
      <c r="F170" s="86">
        <f>($C$4/E170)+F169</f>
        <v>15.984787010943844</v>
      </c>
      <c r="G170" s="57">
        <f>G169</f>
        <v>2500</v>
      </c>
      <c r="H170" s="57">
        <v>2</v>
      </c>
      <c r="I170" s="86">
        <f>E170-E169</f>
        <v>0</v>
      </c>
      <c r="J170" s="57">
        <f>(0.5*VEHICLE!$C$71*VEHICLE!$C$28*VEHICLE!$C$27*'Drive Cycle'!E170^2)</f>
        <v>10.34440543521</v>
      </c>
      <c r="K170" s="57">
        <f>IF(A170=1,VEHICLE!$S$5,IF(A170=2,VEHICLE!$Q$5,IF(A170=3,VEHICLE!$R$5,IF(A170=4,VEHICLE!$P$5,1))))</f>
        <v>72.351594900000009</v>
      </c>
      <c r="L170" s="57">
        <v>0</v>
      </c>
      <c r="M170" s="57">
        <f t="shared" si="35"/>
        <v>0</v>
      </c>
      <c r="N170" s="57">
        <f t="shared" si="27"/>
        <v>0</v>
      </c>
      <c r="O170" s="57">
        <f t="shared" si="28"/>
        <v>0</v>
      </c>
      <c r="P170" s="57">
        <f t="shared" si="29"/>
        <v>82.696000335210016</v>
      </c>
      <c r="Q170" s="57">
        <f>IF(H170=1,I170*VEHICLE!$C$69,IF(H170=2,VEHICLE!$C$70*I170,IF(H170=3,VEHICLE!$C$71*I170,0)))</f>
        <v>0</v>
      </c>
      <c r="R170" s="57">
        <f>(J170+K170+O170+Q170)</f>
        <v>82.696000335210016</v>
      </c>
      <c r="S170" s="57">
        <f t="shared" si="30"/>
        <v>82.696000335210016</v>
      </c>
      <c r="T170" s="57">
        <f>ABS((R170)/((2*PI()*G170)/60))</f>
        <v>0.315875453454665</v>
      </c>
      <c r="U170" s="57">
        <f t="shared" si="31"/>
        <v>1</v>
      </c>
      <c r="V170" s="57">
        <f>INDEX(BSFC!$D$4:$AD$26,MATCH(U170,BSFC!$B$4:$B$26,0),MATCH(G170,BSFC!$D$2:$AD$2,0))</f>
        <v>1065.4483513600007</v>
      </c>
      <c r="W170" s="57">
        <f t="shared" si="36"/>
        <v>2.4474532561448773E-2</v>
      </c>
      <c r="X170" s="57">
        <f t="shared" si="32"/>
        <v>2.4474532561448773E-2</v>
      </c>
      <c r="Y170" s="57">
        <f t="shared" si="33"/>
        <v>7.562630561487671E-2</v>
      </c>
      <c r="Z170" s="79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x14ac:dyDescent="0.3">
      <c r="A171" s="55">
        <v>1</v>
      </c>
      <c r="B171" s="57" t="s">
        <v>117</v>
      </c>
      <c r="C171" s="57">
        <f t="shared" si="39"/>
        <v>168</v>
      </c>
      <c r="D171" s="57">
        <f t="shared" si="26"/>
        <v>7.6281700000000008</v>
      </c>
      <c r="E171" s="86">
        <f t="shared" ref="E171:E180" si="40">E170</f>
        <v>3.41</v>
      </c>
      <c r="F171" s="86">
        <f>($C$4/E171)+F170</f>
        <v>16.278042142908653</v>
      </c>
      <c r="G171" s="57">
        <f t="shared" ref="G171:G183" si="41">G170</f>
        <v>2500</v>
      </c>
      <c r="H171" s="57">
        <v>2</v>
      </c>
      <c r="I171" s="86">
        <f>E171-E170</f>
        <v>0</v>
      </c>
      <c r="J171" s="57">
        <f>(0.5*VEHICLE!$C$71*VEHICLE!$C$28*VEHICLE!$C$27*'Drive Cycle'!E171^2)</f>
        <v>10.34440543521</v>
      </c>
      <c r="K171" s="57">
        <f>IF(A171=1,VEHICLE!$S$5,IF(A171=2,VEHICLE!$Q$5,IF(A171=3,VEHICLE!$R$5,IF(A171=4,VEHICLE!$P$5,1))))</f>
        <v>72.351594900000009</v>
      </c>
      <c r="L171" s="57">
        <v>0</v>
      </c>
      <c r="M171" s="57">
        <f t="shared" si="35"/>
        <v>0</v>
      </c>
      <c r="N171" s="57">
        <f t="shared" si="27"/>
        <v>0</v>
      </c>
      <c r="O171" s="57">
        <f t="shared" si="28"/>
        <v>0</v>
      </c>
      <c r="P171" s="57">
        <f t="shared" si="29"/>
        <v>82.696000335210016</v>
      </c>
      <c r="Q171" s="57">
        <f>IF(H171=1,I171*VEHICLE!$C$69,IF(H171=2,VEHICLE!$C$70*I171,IF(H171=3,VEHICLE!$C$71*I171,0)))</f>
        <v>0</v>
      </c>
      <c r="R171" s="57">
        <f>(J171+K171+O171+Q171)</f>
        <v>82.696000335210016</v>
      </c>
      <c r="S171" s="57">
        <f t="shared" si="30"/>
        <v>82.696000335210016</v>
      </c>
      <c r="T171" s="57">
        <f>ABS((R171)/((2*PI()*G171)/60))</f>
        <v>0.315875453454665</v>
      </c>
      <c r="U171" s="57">
        <f t="shared" si="31"/>
        <v>1</v>
      </c>
      <c r="V171" s="57">
        <f>INDEX(BSFC!$D$4:$AD$26,MATCH(U171,BSFC!$B$4:$B$26,0),MATCH(G171,BSFC!$D$2:$AD$2,0))</f>
        <v>1065.4483513600007</v>
      </c>
      <c r="W171" s="57">
        <f t="shared" si="36"/>
        <v>2.4474532561448773E-2</v>
      </c>
      <c r="X171" s="57">
        <f t="shared" si="32"/>
        <v>2.4474532561448773E-2</v>
      </c>
      <c r="Y171" s="57">
        <f t="shared" si="33"/>
        <v>7.562630561487671E-2</v>
      </c>
      <c r="Z171" s="79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x14ac:dyDescent="0.3">
      <c r="A172" s="55">
        <v>1</v>
      </c>
      <c r="B172" s="57" t="s">
        <v>117</v>
      </c>
      <c r="C172" s="57">
        <f t="shared" si="39"/>
        <v>169</v>
      </c>
      <c r="D172" s="57">
        <f t="shared" si="26"/>
        <v>7.6281700000000008</v>
      </c>
      <c r="E172" s="86">
        <f t="shared" si="40"/>
        <v>3.41</v>
      </c>
      <c r="F172" s="86">
        <f>($C$4/E172)+F171</f>
        <v>16.571297274873462</v>
      </c>
      <c r="G172" s="57">
        <f t="shared" si="41"/>
        <v>2500</v>
      </c>
      <c r="H172" s="57">
        <v>1</v>
      </c>
      <c r="I172" s="86">
        <f>E172-E171</f>
        <v>0</v>
      </c>
      <c r="J172" s="57">
        <f>(0.5*VEHICLE!$C$71*VEHICLE!$C$28*VEHICLE!$C$27*'Drive Cycle'!E172^2)</f>
        <v>10.34440543521</v>
      </c>
      <c r="K172" s="57">
        <f>IF(A172=1,VEHICLE!$S$5,IF(A172=2,VEHICLE!$Q$5,IF(A172=3,VEHICLE!$R$5,IF(A172=4,VEHICLE!$P$5,1))))</f>
        <v>72.351594900000009</v>
      </c>
      <c r="L172" s="57">
        <v>0</v>
      </c>
      <c r="M172" s="57">
        <f t="shared" si="35"/>
        <v>0</v>
      </c>
      <c r="N172" s="57">
        <f t="shared" si="27"/>
        <v>0</v>
      </c>
      <c r="O172" s="57">
        <f t="shared" si="28"/>
        <v>0</v>
      </c>
      <c r="P172" s="57">
        <f t="shared" si="29"/>
        <v>82.696000335210016</v>
      </c>
      <c r="Q172" s="57">
        <f>IF(H172=1,I172*VEHICLE!$C$69,IF(H172=2,VEHICLE!$C$70*I172,IF(H172=3,VEHICLE!$C$71*I172,0)))</f>
        <v>0</v>
      </c>
      <c r="R172" s="57">
        <f>(J172+K172+O172+Q172)</f>
        <v>82.696000335210016</v>
      </c>
      <c r="S172" s="57">
        <f t="shared" si="30"/>
        <v>82.696000335210016</v>
      </c>
      <c r="T172" s="57">
        <f>ABS((R172)/((2*PI()*G172)/60))</f>
        <v>0.315875453454665</v>
      </c>
      <c r="U172" s="57">
        <f t="shared" si="31"/>
        <v>1</v>
      </c>
      <c r="V172" s="57">
        <f>INDEX(BSFC!$D$4:$AD$26,MATCH(U172,BSFC!$B$4:$B$26,0),MATCH(G172,BSFC!$D$2:$AD$2,0))</f>
        <v>1065.4483513600007</v>
      </c>
      <c r="W172" s="57">
        <f t="shared" si="36"/>
        <v>2.4474532561448773E-2</v>
      </c>
      <c r="X172" s="57">
        <f t="shared" si="32"/>
        <v>2.4474532561448773E-2</v>
      </c>
      <c r="Y172" s="57">
        <f t="shared" si="33"/>
        <v>7.562630561487671E-2</v>
      </c>
      <c r="Z172" s="79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x14ac:dyDescent="0.3">
      <c r="A173" s="55">
        <v>1</v>
      </c>
      <c r="B173" s="57" t="s">
        <v>117</v>
      </c>
      <c r="C173" s="57">
        <f t="shared" si="39"/>
        <v>170</v>
      </c>
      <c r="D173" s="57">
        <f t="shared" si="26"/>
        <v>7.6281700000000008</v>
      </c>
      <c r="E173" s="86">
        <f t="shared" si="40"/>
        <v>3.41</v>
      </c>
      <c r="F173" s="86">
        <f>($C$4/E173)+F172</f>
        <v>16.864552406838271</v>
      </c>
      <c r="G173" s="57">
        <f t="shared" si="41"/>
        <v>2500</v>
      </c>
      <c r="H173" s="57">
        <v>1</v>
      </c>
      <c r="I173" s="86">
        <f>E173-E172</f>
        <v>0</v>
      </c>
      <c r="J173" s="57">
        <f>(0.5*VEHICLE!$C$71*VEHICLE!$C$28*VEHICLE!$C$27*'Drive Cycle'!E173^2)</f>
        <v>10.34440543521</v>
      </c>
      <c r="K173" s="57">
        <f>IF(A173=1,VEHICLE!$S$5,IF(A173=2,VEHICLE!$Q$5,IF(A173=3,VEHICLE!$R$5,IF(A173=4,VEHICLE!$P$5,1))))</f>
        <v>72.351594900000009</v>
      </c>
      <c r="L173" s="57">
        <v>0</v>
      </c>
      <c r="M173" s="57">
        <f t="shared" si="35"/>
        <v>0</v>
      </c>
      <c r="N173" s="57">
        <f t="shared" si="27"/>
        <v>0</v>
      </c>
      <c r="O173" s="57">
        <f t="shared" si="28"/>
        <v>0</v>
      </c>
      <c r="P173" s="57">
        <f t="shared" si="29"/>
        <v>82.696000335210016</v>
      </c>
      <c r="Q173" s="57">
        <f>IF(H173=1,I173*VEHICLE!$C$69,IF(H173=2,VEHICLE!$C$70*I173,IF(H173=3,VEHICLE!$C$71*I173,0)))</f>
        <v>0</v>
      </c>
      <c r="R173" s="57">
        <f>(J173+K173+O173+Q173)</f>
        <v>82.696000335210016</v>
      </c>
      <c r="S173" s="57">
        <f t="shared" si="30"/>
        <v>82.696000335210016</v>
      </c>
      <c r="T173" s="57">
        <f>ABS((R173)/((2*PI()*G173)/60))</f>
        <v>0.315875453454665</v>
      </c>
      <c r="U173" s="57">
        <f t="shared" si="31"/>
        <v>1</v>
      </c>
      <c r="V173" s="57">
        <f>INDEX(BSFC!$D$4:$AD$26,MATCH(U173,BSFC!$B$4:$B$26,0),MATCH(G173,BSFC!$D$2:$AD$2,0))</f>
        <v>1065.4483513600007</v>
      </c>
      <c r="W173" s="57">
        <f t="shared" si="36"/>
        <v>2.4474532561448773E-2</v>
      </c>
      <c r="X173" s="57">
        <f t="shared" si="32"/>
        <v>2.4474532561448773E-2</v>
      </c>
      <c r="Y173" s="57">
        <f t="shared" si="33"/>
        <v>7.562630561487671E-2</v>
      </c>
      <c r="Z173" s="79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x14ac:dyDescent="0.3">
      <c r="A174" s="55">
        <v>1</v>
      </c>
      <c r="B174" s="57" t="s">
        <v>117</v>
      </c>
      <c r="C174" s="57">
        <f t="shared" si="39"/>
        <v>171</v>
      </c>
      <c r="D174" s="57">
        <f t="shared" si="26"/>
        <v>7.6281700000000008</v>
      </c>
      <c r="E174" s="86">
        <f t="shared" si="40"/>
        <v>3.41</v>
      </c>
      <c r="F174" s="86">
        <f>($C$4/E174)+F173</f>
        <v>17.15780753880308</v>
      </c>
      <c r="G174" s="57">
        <f t="shared" si="41"/>
        <v>2500</v>
      </c>
      <c r="H174" s="57">
        <v>1</v>
      </c>
      <c r="I174" s="86">
        <f>E174-E173</f>
        <v>0</v>
      </c>
      <c r="J174" s="57">
        <f>(0.5*VEHICLE!$C$71*VEHICLE!$C$28*VEHICLE!$C$27*'Drive Cycle'!E174^2)</f>
        <v>10.34440543521</v>
      </c>
      <c r="K174" s="57">
        <f>IF(A174=1,VEHICLE!$S$5,IF(A174=2,VEHICLE!$Q$5,IF(A174=3,VEHICLE!$R$5,IF(A174=4,VEHICLE!$P$5,1))))</f>
        <v>72.351594900000009</v>
      </c>
      <c r="L174" s="57">
        <v>0</v>
      </c>
      <c r="M174" s="57">
        <f t="shared" si="35"/>
        <v>0</v>
      </c>
      <c r="N174" s="57">
        <f t="shared" si="27"/>
        <v>0</v>
      </c>
      <c r="O174" s="57">
        <f t="shared" si="28"/>
        <v>0</v>
      </c>
      <c r="P174" s="57">
        <f t="shared" si="29"/>
        <v>82.696000335210016</v>
      </c>
      <c r="Q174" s="57">
        <f>IF(H174=1,I174*VEHICLE!$C$69,IF(H174=2,VEHICLE!$C$70*I174,IF(H174=3,VEHICLE!$C$71*I174,0)))</f>
        <v>0</v>
      </c>
      <c r="R174" s="57">
        <f>(J174+K174+O174+Q174)</f>
        <v>82.696000335210016</v>
      </c>
      <c r="S174" s="57">
        <f t="shared" si="30"/>
        <v>82.696000335210016</v>
      </c>
      <c r="T174" s="57">
        <f>ABS((R174)/((2*PI()*G174)/60))</f>
        <v>0.315875453454665</v>
      </c>
      <c r="U174" s="57">
        <f t="shared" si="31"/>
        <v>1</v>
      </c>
      <c r="V174" s="57">
        <f>INDEX(BSFC!$D$4:$AD$26,MATCH(U174,BSFC!$B$4:$B$26,0),MATCH(G174,BSFC!$D$2:$AD$2,0))</f>
        <v>1065.4483513600007</v>
      </c>
      <c r="W174" s="57">
        <f t="shared" si="36"/>
        <v>2.4474532561448773E-2</v>
      </c>
      <c r="X174" s="57">
        <f t="shared" si="32"/>
        <v>2.4474532561448773E-2</v>
      </c>
      <c r="Y174" s="57">
        <f t="shared" si="33"/>
        <v>7.562630561487671E-2</v>
      </c>
      <c r="Z174" s="79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x14ac:dyDescent="0.3">
      <c r="A175" s="55">
        <v>1</v>
      </c>
      <c r="B175" s="57" t="s">
        <v>117</v>
      </c>
      <c r="C175" s="57">
        <f t="shared" si="39"/>
        <v>172</v>
      </c>
      <c r="D175" s="57">
        <f t="shared" si="26"/>
        <v>7.6281700000000008</v>
      </c>
      <c r="E175" s="86">
        <f t="shared" si="40"/>
        <v>3.41</v>
      </c>
      <c r="F175" s="86">
        <f>($C$4/E175)+F174</f>
        <v>17.45106267076789</v>
      </c>
      <c r="G175" s="57">
        <f t="shared" si="41"/>
        <v>2500</v>
      </c>
      <c r="H175" s="57">
        <v>1</v>
      </c>
      <c r="I175" s="86">
        <f>E175-E174</f>
        <v>0</v>
      </c>
      <c r="J175" s="57">
        <f>(0.5*VEHICLE!$C$71*VEHICLE!$C$28*VEHICLE!$C$27*'Drive Cycle'!E175^2)</f>
        <v>10.34440543521</v>
      </c>
      <c r="K175" s="57">
        <f>IF(A175=1,VEHICLE!$S$5,IF(A175=2,VEHICLE!$Q$5,IF(A175=3,VEHICLE!$R$5,IF(A175=4,VEHICLE!$P$5,1))))</f>
        <v>72.351594900000009</v>
      </c>
      <c r="L175" s="57">
        <v>0</v>
      </c>
      <c r="M175" s="57">
        <f t="shared" si="35"/>
        <v>0</v>
      </c>
      <c r="N175" s="57">
        <f t="shared" si="27"/>
        <v>0</v>
      </c>
      <c r="O175" s="57">
        <f t="shared" si="28"/>
        <v>0</v>
      </c>
      <c r="P175" s="57">
        <f t="shared" si="29"/>
        <v>82.696000335210016</v>
      </c>
      <c r="Q175" s="57">
        <f>IF(H175=1,I175*VEHICLE!$C$69,IF(H175=2,VEHICLE!$C$70*I175,IF(H175=3,VEHICLE!$C$71*I175,0)))</f>
        <v>0</v>
      </c>
      <c r="R175" s="57">
        <f>(J175+K175+O175+Q175)</f>
        <v>82.696000335210016</v>
      </c>
      <c r="S175" s="57">
        <f t="shared" si="30"/>
        <v>82.696000335210016</v>
      </c>
      <c r="T175" s="57">
        <f>ABS((R175)/((2*PI()*G175)/60))</f>
        <v>0.315875453454665</v>
      </c>
      <c r="U175" s="57">
        <f t="shared" si="31"/>
        <v>1</v>
      </c>
      <c r="V175" s="57">
        <f>INDEX(BSFC!$D$4:$AD$26,MATCH(U175,BSFC!$B$4:$B$26,0),MATCH(G175,BSFC!$D$2:$AD$2,0))</f>
        <v>1065.4483513600007</v>
      </c>
      <c r="W175" s="57">
        <f t="shared" si="36"/>
        <v>2.4474532561448773E-2</v>
      </c>
      <c r="X175" s="57">
        <f t="shared" si="32"/>
        <v>2.4474532561448773E-2</v>
      </c>
      <c r="Y175" s="57">
        <f t="shared" si="33"/>
        <v>7.562630561487671E-2</v>
      </c>
      <c r="Z175" s="79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x14ac:dyDescent="0.3">
      <c r="A176" s="55">
        <v>1</v>
      </c>
      <c r="B176" s="57" t="s">
        <v>117</v>
      </c>
      <c r="C176" s="57">
        <f t="shared" si="39"/>
        <v>173</v>
      </c>
      <c r="D176" s="57">
        <f t="shared" si="26"/>
        <v>7.6281700000000008</v>
      </c>
      <c r="E176" s="86">
        <f t="shared" si="40"/>
        <v>3.41</v>
      </c>
      <c r="F176" s="86">
        <f>($C$4/E176)+F175</f>
        <v>17.744317802732699</v>
      </c>
      <c r="G176" s="57">
        <f t="shared" si="41"/>
        <v>2500</v>
      </c>
      <c r="H176" s="57">
        <v>1</v>
      </c>
      <c r="I176" s="86">
        <f>E176-E175</f>
        <v>0</v>
      </c>
      <c r="J176" s="57">
        <f>(0.5*VEHICLE!$C$71*VEHICLE!$C$28*VEHICLE!$C$27*'Drive Cycle'!E176^2)</f>
        <v>10.34440543521</v>
      </c>
      <c r="K176" s="57">
        <f>IF(A176=1,VEHICLE!$S$5,IF(A176=2,VEHICLE!$Q$5,IF(A176=3,VEHICLE!$R$5,IF(A176=4,VEHICLE!$P$5,1))))</f>
        <v>72.351594900000009</v>
      </c>
      <c r="L176" s="57">
        <v>0</v>
      </c>
      <c r="M176" s="57">
        <f t="shared" si="35"/>
        <v>0</v>
      </c>
      <c r="N176" s="57">
        <f t="shared" si="27"/>
        <v>0</v>
      </c>
      <c r="O176" s="57">
        <f t="shared" si="28"/>
        <v>0</v>
      </c>
      <c r="P176" s="57">
        <f t="shared" si="29"/>
        <v>82.696000335210016</v>
      </c>
      <c r="Q176" s="57">
        <f>IF(H176=1,I176*VEHICLE!$C$69,IF(H176=2,VEHICLE!$C$70*I176,IF(H176=3,VEHICLE!$C$71*I176,0)))</f>
        <v>0</v>
      </c>
      <c r="R176" s="57">
        <f>(J176+K176+O176+Q176)</f>
        <v>82.696000335210016</v>
      </c>
      <c r="S176" s="57">
        <f t="shared" si="30"/>
        <v>82.696000335210016</v>
      </c>
      <c r="T176" s="57">
        <f>ABS((R176)/((2*PI()*G176)/60))</f>
        <v>0.315875453454665</v>
      </c>
      <c r="U176" s="57">
        <f t="shared" si="31"/>
        <v>1</v>
      </c>
      <c r="V176" s="57">
        <f>INDEX(BSFC!$D$4:$AD$26,MATCH(U176,BSFC!$B$4:$B$26,0),MATCH(G176,BSFC!$D$2:$AD$2,0))</f>
        <v>1065.4483513600007</v>
      </c>
      <c r="W176" s="57">
        <f t="shared" si="36"/>
        <v>2.4474532561448773E-2</v>
      </c>
      <c r="X176" s="57">
        <f t="shared" si="32"/>
        <v>2.4474532561448773E-2</v>
      </c>
      <c r="Y176" s="57">
        <f t="shared" si="33"/>
        <v>7.562630561487671E-2</v>
      </c>
      <c r="Z176" s="79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x14ac:dyDescent="0.3">
      <c r="A177" s="55">
        <v>1</v>
      </c>
      <c r="B177" s="57" t="s">
        <v>117</v>
      </c>
      <c r="C177" s="57">
        <f t="shared" si="39"/>
        <v>174</v>
      </c>
      <c r="D177" s="57">
        <f t="shared" si="26"/>
        <v>7.6281700000000008</v>
      </c>
      <c r="E177" s="86">
        <f t="shared" si="40"/>
        <v>3.41</v>
      </c>
      <c r="F177" s="86">
        <f>($C$4/E177)+F176</f>
        <v>18.037572934697508</v>
      </c>
      <c r="G177" s="57">
        <f t="shared" si="41"/>
        <v>2500</v>
      </c>
      <c r="H177" s="57">
        <v>1</v>
      </c>
      <c r="I177" s="86">
        <f>E177-E176</f>
        <v>0</v>
      </c>
      <c r="J177" s="57">
        <f>(0.5*VEHICLE!$C$71*VEHICLE!$C$28*VEHICLE!$C$27*'Drive Cycle'!E177^2)</f>
        <v>10.34440543521</v>
      </c>
      <c r="K177" s="57">
        <f>IF(A177=1,VEHICLE!$S$5,IF(A177=2,VEHICLE!$Q$5,IF(A177=3,VEHICLE!$R$5,IF(A177=4,VEHICLE!$P$5,1))))</f>
        <v>72.351594900000009</v>
      </c>
      <c r="L177" s="57">
        <v>0</v>
      </c>
      <c r="M177" s="57">
        <f t="shared" si="35"/>
        <v>0</v>
      </c>
      <c r="N177" s="57">
        <f t="shared" si="27"/>
        <v>0</v>
      </c>
      <c r="O177" s="57">
        <f t="shared" si="28"/>
        <v>0</v>
      </c>
      <c r="P177" s="57">
        <f t="shared" si="29"/>
        <v>82.696000335210016</v>
      </c>
      <c r="Q177" s="57">
        <f>IF(H177=1,I177*VEHICLE!$C$69,IF(H177=2,VEHICLE!$C$70*I177,IF(H177=3,VEHICLE!$C$71*I177,0)))</f>
        <v>0</v>
      </c>
      <c r="R177" s="57">
        <f>(J177+K177+O177+Q177)</f>
        <v>82.696000335210016</v>
      </c>
      <c r="S177" s="57">
        <f t="shared" si="30"/>
        <v>82.696000335210016</v>
      </c>
      <c r="T177" s="57">
        <f>ABS((R177)/((2*PI()*G177)/60))</f>
        <v>0.315875453454665</v>
      </c>
      <c r="U177" s="57">
        <f t="shared" si="31"/>
        <v>1</v>
      </c>
      <c r="V177" s="57">
        <f>INDEX(BSFC!$D$4:$AD$26,MATCH(U177,BSFC!$B$4:$B$26,0),MATCH(G177,BSFC!$D$2:$AD$2,0))</f>
        <v>1065.4483513600007</v>
      </c>
      <c r="W177" s="57">
        <f t="shared" si="36"/>
        <v>2.4474532561448773E-2</v>
      </c>
      <c r="X177" s="57">
        <f t="shared" si="32"/>
        <v>2.4474532561448773E-2</v>
      </c>
      <c r="Y177" s="57">
        <f t="shared" si="33"/>
        <v>7.562630561487671E-2</v>
      </c>
      <c r="Z177" s="79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x14ac:dyDescent="0.3">
      <c r="A178" s="55">
        <v>1</v>
      </c>
      <c r="B178" s="57" t="s">
        <v>117</v>
      </c>
      <c r="C178" s="57">
        <f t="shared" si="39"/>
        <v>175</v>
      </c>
      <c r="D178" s="57">
        <f t="shared" si="26"/>
        <v>7.6281700000000008</v>
      </c>
      <c r="E178" s="86">
        <f t="shared" si="40"/>
        <v>3.41</v>
      </c>
      <c r="F178" s="86">
        <f>($C$4/E178)+F177</f>
        <v>18.330828066662317</v>
      </c>
      <c r="G178" s="57">
        <f t="shared" si="41"/>
        <v>2500</v>
      </c>
      <c r="H178" s="57">
        <v>1</v>
      </c>
      <c r="I178" s="86">
        <f>E178-E177</f>
        <v>0</v>
      </c>
      <c r="J178" s="57">
        <f>(0.5*VEHICLE!$C$71*VEHICLE!$C$28*VEHICLE!$C$27*'Drive Cycle'!E178^2)</f>
        <v>10.34440543521</v>
      </c>
      <c r="K178" s="57">
        <f>IF(A178=1,VEHICLE!$S$5,IF(A178=2,VEHICLE!$Q$5,IF(A178=3,VEHICLE!$R$5,IF(A178=4,VEHICLE!$P$5,1))))</f>
        <v>72.351594900000009</v>
      </c>
      <c r="L178" s="57">
        <v>0</v>
      </c>
      <c r="M178" s="57">
        <f t="shared" si="35"/>
        <v>0</v>
      </c>
      <c r="N178" s="57">
        <f t="shared" si="27"/>
        <v>0</v>
      </c>
      <c r="O178" s="57">
        <f t="shared" si="28"/>
        <v>0</v>
      </c>
      <c r="P178" s="57">
        <f t="shared" si="29"/>
        <v>82.696000335210016</v>
      </c>
      <c r="Q178" s="57">
        <f>IF(H178=1,I178*VEHICLE!$C$69,IF(H178=2,VEHICLE!$C$70*I178,IF(H178=3,VEHICLE!$C$71*I178,0)))</f>
        <v>0</v>
      </c>
      <c r="R178" s="57">
        <f>(J178+K178+O178+Q178)</f>
        <v>82.696000335210016</v>
      </c>
      <c r="S178" s="57">
        <f t="shared" si="30"/>
        <v>82.696000335210016</v>
      </c>
      <c r="T178" s="57">
        <f>ABS((R178)/((2*PI()*G178)/60))</f>
        <v>0.315875453454665</v>
      </c>
      <c r="U178" s="57">
        <f t="shared" si="31"/>
        <v>1</v>
      </c>
      <c r="V178" s="57">
        <f>INDEX(BSFC!$D$4:$AD$26,MATCH(U178,BSFC!$B$4:$B$26,0),MATCH(G178,BSFC!$D$2:$AD$2,0))</f>
        <v>1065.4483513600007</v>
      </c>
      <c r="W178" s="57">
        <f t="shared" si="36"/>
        <v>2.4474532561448773E-2</v>
      </c>
      <c r="X178" s="57">
        <f t="shared" si="32"/>
        <v>2.4474532561448773E-2</v>
      </c>
      <c r="Y178" s="57">
        <f t="shared" si="33"/>
        <v>7.562630561487671E-2</v>
      </c>
      <c r="Z178" s="79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x14ac:dyDescent="0.3">
      <c r="A179" s="55">
        <v>1</v>
      </c>
      <c r="B179" s="57" t="s">
        <v>117</v>
      </c>
      <c r="C179" s="57">
        <f t="shared" si="39"/>
        <v>176</v>
      </c>
      <c r="D179" s="57">
        <f t="shared" si="26"/>
        <v>7.6281700000000008</v>
      </c>
      <c r="E179" s="86">
        <f t="shared" si="40"/>
        <v>3.41</v>
      </c>
      <c r="F179" s="86">
        <f>($C$4/E179)+F178</f>
        <v>18.624083198627126</v>
      </c>
      <c r="G179" s="57">
        <f t="shared" si="41"/>
        <v>2500</v>
      </c>
      <c r="H179" s="57">
        <v>1</v>
      </c>
      <c r="I179" s="86">
        <f>E179-E178</f>
        <v>0</v>
      </c>
      <c r="J179" s="57">
        <f>(0.5*VEHICLE!$C$71*VEHICLE!$C$28*VEHICLE!$C$27*'Drive Cycle'!E179^2)</f>
        <v>10.34440543521</v>
      </c>
      <c r="K179" s="57">
        <f>IF(A179=1,VEHICLE!$S$5,IF(A179=2,VEHICLE!$Q$5,IF(A179=3,VEHICLE!$R$5,IF(A179=4,VEHICLE!$P$5,1))))</f>
        <v>72.351594900000009</v>
      </c>
      <c r="L179" s="57">
        <v>0</v>
      </c>
      <c r="M179" s="57">
        <f t="shared" si="35"/>
        <v>0</v>
      </c>
      <c r="N179" s="57">
        <f t="shared" si="27"/>
        <v>0</v>
      </c>
      <c r="O179" s="57">
        <f t="shared" si="28"/>
        <v>0</v>
      </c>
      <c r="P179" s="57">
        <f t="shared" si="29"/>
        <v>82.696000335210016</v>
      </c>
      <c r="Q179" s="57">
        <f>IF(H179=1,I179*VEHICLE!$C$69,IF(H179=2,VEHICLE!$C$70*I179,IF(H179=3,VEHICLE!$C$71*I179,0)))</f>
        <v>0</v>
      </c>
      <c r="R179" s="57">
        <f>(J179+K179+O179+Q179)</f>
        <v>82.696000335210016</v>
      </c>
      <c r="S179" s="57">
        <f t="shared" si="30"/>
        <v>82.696000335210016</v>
      </c>
      <c r="T179" s="57">
        <f>ABS((R179)/((2*PI()*G179)/60))</f>
        <v>0.315875453454665</v>
      </c>
      <c r="U179" s="57">
        <f t="shared" si="31"/>
        <v>1</v>
      </c>
      <c r="V179" s="57">
        <f>INDEX(BSFC!$D$4:$AD$26,MATCH(U179,BSFC!$B$4:$B$26,0),MATCH(G179,BSFC!$D$2:$AD$2,0))</f>
        <v>1065.4483513600007</v>
      </c>
      <c r="W179" s="57">
        <f t="shared" si="36"/>
        <v>2.4474532561448773E-2</v>
      </c>
      <c r="X179" s="57">
        <f t="shared" si="32"/>
        <v>2.4474532561448773E-2</v>
      </c>
      <c r="Y179" s="57">
        <f t="shared" si="33"/>
        <v>7.562630561487671E-2</v>
      </c>
      <c r="Z179" s="79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x14ac:dyDescent="0.3">
      <c r="A180" s="55">
        <v>1</v>
      </c>
      <c r="B180" s="57" t="s">
        <v>117</v>
      </c>
      <c r="C180" s="57">
        <f t="shared" si="39"/>
        <v>177</v>
      </c>
      <c r="D180" s="57">
        <f t="shared" si="26"/>
        <v>7.6281700000000008</v>
      </c>
      <c r="E180" s="86">
        <f t="shared" si="40"/>
        <v>3.41</v>
      </c>
      <c r="F180" s="86">
        <f>($C$4/E180)+F179</f>
        <v>18.917338330591935</v>
      </c>
      <c r="G180" s="57">
        <f t="shared" si="41"/>
        <v>2500</v>
      </c>
      <c r="H180" s="57">
        <v>1</v>
      </c>
      <c r="I180" s="86">
        <f>E180-E179</f>
        <v>0</v>
      </c>
      <c r="J180" s="57">
        <f>(0.5*VEHICLE!$C$71*VEHICLE!$C$28*VEHICLE!$C$27*'Drive Cycle'!E180^2)</f>
        <v>10.34440543521</v>
      </c>
      <c r="K180" s="57">
        <f>IF(A180=1,VEHICLE!$S$5,IF(A180=2,VEHICLE!$Q$5,IF(A180=3,VEHICLE!$R$5,IF(A180=4,VEHICLE!$P$5,1))))</f>
        <v>72.351594900000009</v>
      </c>
      <c r="L180" s="57">
        <v>0</v>
      </c>
      <c r="M180" s="57">
        <f t="shared" si="35"/>
        <v>0</v>
      </c>
      <c r="N180" s="57">
        <f t="shared" si="27"/>
        <v>0</v>
      </c>
      <c r="O180" s="57">
        <f t="shared" si="28"/>
        <v>0</v>
      </c>
      <c r="P180" s="57">
        <f t="shared" si="29"/>
        <v>82.696000335210016</v>
      </c>
      <c r="Q180" s="57">
        <f>IF(H180=1,I180*VEHICLE!$C$69,IF(H180=2,VEHICLE!$C$70*I180,IF(H180=3,VEHICLE!$C$71*I180,0)))</f>
        <v>0</v>
      </c>
      <c r="R180" s="57">
        <f>(J180+K180+O180+Q180)</f>
        <v>82.696000335210016</v>
      </c>
      <c r="S180" s="57">
        <f t="shared" si="30"/>
        <v>82.696000335210016</v>
      </c>
      <c r="T180" s="57">
        <f>ABS((R180)/((2*PI()*G180)/60))</f>
        <v>0.315875453454665</v>
      </c>
      <c r="U180" s="57">
        <f t="shared" si="31"/>
        <v>1</v>
      </c>
      <c r="V180" s="57">
        <f>INDEX(BSFC!$D$4:$AD$26,MATCH(U180,BSFC!$B$4:$B$26,0),MATCH(G180,BSFC!$D$2:$AD$2,0))</f>
        <v>1065.4483513600007</v>
      </c>
      <c r="W180" s="57">
        <f t="shared" si="36"/>
        <v>2.4474532561448773E-2</v>
      </c>
      <c r="X180" s="57">
        <f t="shared" si="32"/>
        <v>2.4474532561448773E-2</v>
      </c>
      <c r="Y180" s="57">
        <f t="shared" si="33"/>
        <v>7.562630561487671E-2</v>
      </c>
      <c r="Z180" s="79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x14ac:dyDescent="0.3">
      <c r="A181" s="55">
        <v>1</v>
      </c>
      <c r="B181" s="57" t="s">
        <v>117</v>
      </c>
      <c r="C181" s="57">
        <f t="shared" si="39"/>
        <v>178</v>
      </c>
      <c r="D181" s="57">
        <f t="shared" si="26"/>
        <v>9.8651700000000009</v>
      </c>
      <c r="E181" s="86">
        <f>E180+1</f>
        <v>4.41</v>
      </c>
      <c r="F181" s="86">
        <f>($C$4/E181)+F180</f>
        <v>19.144095700206449</v>
      </c>
      <c r="G181" s="57">
        <f t="shared" si="41"/>
        <v>2500</v>
      </c>
      <c r="H181" s="57">
        <v>1</v>
      </c>
      <c r="I181" s="86">
        <f>E181-E180</f>
        <v>1</v>
      </c>
      <c r="J181" s="57">
        <f>(0.5*VEHICLE!$C$71*VEHICLE!$C$28*VEHICLE!$C$27*'Drive Cycle'!E181^2)</f>
        <v>17.30110949721</v>
      </c>
      <c r="K181" s="57">
        <f>IF(A181=1,VEHICLE!$S$5,IF(A181=2,VEHICLE!$Q$5,IF(A181=3,VEHICLE!$R$5,IF(A181=4,VEHICLE!$P$5,1))))</f>
        <v>72.351594900000009</v>
      </c>
      <c r="L181" s="57">
        <v>0</v>
      </c>
      <c r="M181" s="57">
        <f t="shared" si="35"/>
        <v>0</v>
      </c>
      <c r="N181" s="57">
        <f t="shared" si="27"/>
        <v>0</v>
      </c>
      <c r="O181" s="57">
        <f t="shared" si="28"/>
        <v>0</v>
      </c>
      <c r="P181" s="57">
        <f t="shared" si="29"/>
        <v>89.652704397210016</v>
      </c>
      <c r="Q181" s="57">
        <f>IF(H181=1,I181*VEHICLE!$C$69,IF(H181=2,VEHICLE!$C$70*I181,IF(H181=3,VEHICLE!$C$71*I181,0)))</f>
        <v>587.32023542819468</v>
      </c>
      <c r="R181" s="57">
        <f>(J181+K181+O181+Q181)</f>
        <v>676.97293982540464</v>
      </c>
      <c r="S181" s="57">
        <f t="shared" si="30"/>
        <v>676.97293982540464</v>
      </c>
      <c r="T181" s="57">
        <f>ABS((R181)/((2*PI()*G181)/60))</f>
        <v>2.5858461531039687</v>
      </c>
      <c r="U181" s="57">
        <f t="shared" si="31"/>
        <v>3</v>
      </c>
      <c r="V181" s="57">
        <f>INDEX(BSFC!$D$4:$AD$26,MATCH(U181,BSFC!$B$4:$B$26,0),MATCH(G181,BSFC!$D$2:$AD$2,0))</f>
        <v>898.36185024000031</v>
      </c>
      <c r="W181" s="57">
        <f t="shared" si="36"/>
        <v>0.16893518410665634</v>
      </c>
      <c r="X181" s="57">
        <f t="shared" si="32"/>
        <v>0.16893518410665634</v>
      </c>
      <c r="Y181" s="57">
        <f t="shared" si="33"/>
        <v>0.52200971888956804</v>
      </c>
      <c r="Z181" s="79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x14ac:dyDescent="0.3">
      <c r="A182" s="55">
        <v>1</v>
      </c>
      <c r="B182" s="57" t="s">
        <v>117</v>
      </c>
      <c r="C182" s="57">
        <f t="shared" si="39"/>
        <v>179</v>
      </c>
      <c r="D182" s="57">
        <f t="shared" si="26"/>
        <v>12.102170000000001</v>
      </c>
      <c r="E182" s="86">
        <f t="shared" ref="E182:E190" si="42">E181+1</f>
        <v>5.41</v>
      </c>
      <c r="F182" s="86">
        <f>($C$4/E182)+F181</f>
        <v>19.328938583755434</v>
      </c>
      <c r="G182" s="57">
        <f t="shared" si="41"/>
        <v>2500</v>
      </c>
      <c r="H182" s="57">
        <v>1</v>
      </c>
      <c r="I182" s="86">
        <f>E182-E181</f>
        <v>1</v>
      </c>
      <c r="J182" s="57">
        <f>(0.5*VEHICLE!$C$71*VEHICLE!$C$28*VEHICLE!$C$27*'Drive Cycle'!E182^2)</f>
        <v>26.037021759209999</v>
      </c>
      <c r="K182" s="57">
        <f>IF(A182=1,VEHICLE!$S$5,IF(A182=2,VEHICLE!$Q$5,IF(A182=3,VEHICLE!$R$5,IF(A182=4,VEHICLE!$P$5,1))))</f>
        <v>72.351594900000009</v>
      </c>
      <c r="L182" s="57">
        <v>0</v>
      </c>
      <c r="M182" s="57">
        <f t="shared" si="35"/>
        <v>0</v>
      </c>
      <c r="N182" s="57">
        <f t="shared" si="27"/>
        <v>0</v>
      </c>
      <c r="O182" s="57">
        <f t="shared" si="28"/>
        <v>0</v>
      </c>
      <c r="P182" s="57">
        <f t="shared" si="29"/>
        <v>98.388616659210015</v>
      </c>
      <c r="Q182" s="57">
        <f>IF(H182=1,I182*VEHICLE!$C$69,IF(H182=2,VEHICLE!$C$70*I182,IF(H182=3,VEHICLE!$C$71*I182,0)))</f>
        <v>587.32023542819468</v>
      </c>
      <c r="R182" s="57">
        <f>(J182+K182+O182+Q182)</f>
        <v>685.70885208740469</v>
      </c>
      <c r="S182" s="57">
        <f t="shared" si="30"/>
        <v>685.70885208740469</v>
      </c>
      <c r="T182" s="57">
        <f>ABS((R182)/((2*PI()*G182)/60))</f>
        <v>2.6192148799579145</v>
      </c>
      <c r="U182" s="57">
        <f t="shared" si="31"/>
        <v>3</v>
      </c>
      <c r="V182" s="57">
        <f>INDEX(BSFC!$D$4:$AD$26,MATCH(U182,BSFC!$B$4:$B$26,0),MATCH(G182,BSFC!$D$2:$AD$2,0))</f>
        <v>898.36185024000031</v>
      </c>
      <c r="W182" s="57">
        <f t="shared" si="36"/>
        <v>0.17111518696866321</v>
      </c>
      <c r="X182" s="57">
        <f t="shared" si="32"/>
        <v>0.17111518696866321</v>
      </c>
      <c r="Y182" s="57">
        <f t="shared" si="33"/>
        <v>0.52874592773316931</v>
      </c>
      <c r="Z182" s="79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x14ac:dyDescent="0.3">
      <c r="A183" s="55">
        <v>1</v>
      </c>
      <c r="B183" s="57" t="s">
        <v>117</v>
      </c>
      <c r="C183" s="57">
        <f t="shared" si="39"/>
        <v>180</v>
      </c>
      <c r="D183" s="57">
        <f t="shared" si="26"/>
        <v>14.339170000000001</v>
      </c>
      <c r="E183" s="86">
        <f t="shared" si="42"/>
        <v>6.41</v>
      </c>
      <c r="F183" s="86">
        <f>($C$4/E183)+F182</f>
        <v>19.484944824005044</v>
      </c>
      <c r="G183" s="57">
        <f t="shared" si="41"/>
        <v>2500</v>
      </c>
      <c r="H183" s="57">
        <v>1</v>
      </c>
      <c r="I183" s="86">
        <f>E183-E182</f>
        <v>1</v>
      </c>
      <c r="J183" s="57">
        <f>(0.5*VEHICLE!$C$71*VEHICLE!$C$28*VEHICLE!$C$27*'Drive Cycle'!E183^2)</f>
        <v>36.552142221209998</v>
      </c>
      <c r="K183" s="57">
        <f>IF(A183=1,VEHICLE!$S$5,IF(A183=2,VEHICLE!$Q$5,IF(A183=3,VEHICLE!$R$5,IF(A183=4,VEHICLE!$P$5,1))))</f>
        <v>72.351594900000009</v>
      </c>
      <c r="L183" s="57">
        <v>0</v>
      </c>
      <c r="M183" s="57">
        <f t="shared" si="35"/>
        <v>0</v>
      </c>
      <c r="N183" s="57">
        <f t="shared" si="27"/>
        <v>0</v>
      </c>
      <c r="O183" s="57">
        <f t="shared" si="28"/>
        <v>0</v>
      </c>
      <c r="P183" s="57">
        <f t="shared" si="29"/>
        <v>108.90373712121001</v>
      </c>
      <c r="Q183" s="57">
        <f>IF(H183=1,I183*VEHICLE!$C$69,IF(H183=2,VEHICLE!$C$70*I183,IF(H183=3,VEHICLE!$C$71*I183,0)))</f>
        <v>587.32023542819468</v>
      </c>
      <c r="R183" s="57">
        <f>(J183+K183+O183+Q183)</f>
        <v>696.22397254940472</v>
      </c>
      <c r="S183" s="57">
        <f t="shared" si="30"/>
        <v>696.22397254940472</v>
      </c>
      <c r="T183" s="57">
        <f>ABS((R183)/((2*PI()*G183)/60))</f>
        <v>2.6593796815275317</v>
      </c>
      <c r="U183" s="57">
        <f t="shared" si="31"/>
        <v>3</v>
      </c>
      <c r="V183" s="57">
        <f>INDEX(BSFC!$D$4:$AD$26,MATCH(U183,BSFC!$B$4:$B$26,0),MATCH(G183,BSFC!$D$2:$AD$2,0))</f>
        <v>898.36185024000031</v>
      </c>
      <c r="W183" s="57">
        <f t="shared" si="36"/>
        <v>0.173739182266924</v>
      </c>
      <c r="X183" s="57">
        <f t="shared" si="32"/>
        <v>0.173739182266924</v>
      </c>
      <c r="Y183" s="57">
        <f t="shared" si="33"/>
        <v>0.53685407320479517</v>
      </c>
      <c r="Z183" s="79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x14ac:dyDescent="0.3">
      <c r="A184" s="55">
        <v>1</v>
      </c>
      <c r="B184" s="56" t="s">
        <v>103</v>
      </c>
      <c r="C184" s="56">
        <f t="shared" si="39"/>
        <v>181</v>
      </c>
      <c r="D184" s="56">
        <f t="shared" si="26"/>
        <v>16.576170000000001</v>
      </c>
      <c r="E184" s="94">
        <f t="shared" si="42"/>
        <v>7.41</v>
      </c>
      <c r="F184" s="94">
        <f>($C$4/E184)+F183</f>
        <v>19.619897590536759</v>
      </c>
      <c r="G184" s="56">
        <f t="shared" ref="G184:G187" si="43">G183+1000</f>
        <v>3500</v>
      </c>
      <c r="H184" s="56">
        <v>2</v>
      </c>
      <c r="I184" s="94">
        <f>E184-E183</f>
        <v>1</v>
      </c>
      <c r="J184" s="56">
        <f>(0.5*VEHICLE!$C$71*VEHICLE!$C$28*VEHICLE!$C$27*'Drive Cycle'!E184^2)</f>
        <v>48.846470883209996</v>
      </c>
      <c r="K184" s="56">
        <f>IF(A184=1,VEHICLE!$S$5,IF(A184=2,VEHICLE!$Q$5,IF(A184=3,VEHICLE!$R$5,IF(A184=4,VEHICLE!$P$5,1))))</f>
        <v>72.351594900000009</v>
      </c>
      <c r="L184" s="56">
        <v>0</v>
      </c>
      <c r="M184" s="56">
        <f t="shared" si="35"/>
        <v>0</v>
      </c>
      <c r="N184" s="56">
        <f t="shared" si="27"/>
        <v>0</v>
      </c>
      <c r="O184" s="56">
        <f t="shared" si="28"/>
        <v>0</v>
      </c>
      <c r="P184" s="56">
        <f t="shared" si="29"/>
        <v>121.19806578321001</v>
      </c>
      <c r="Q184" s="56">
        <f>IF(H184=1,I184*VEHICLE!$C$69,IF(H184=2,VEHICLE!$C$70*I184,IF(H184=3,VEHICLE!$C$71*I184,0)))</f>
        <v>585.14848653011734</v>
      </c>
      <c r="R184" s="56">
        <f>(J184+K184+O184+Q184)</f>
        <v>706.34655231332738</v>
      </c>
      <c r="S184" s="56">
        <f t="shared" si="30"/>
        <v>706.34655231332738</v>
      </c>
      <c r="T184" s="56">
        <f>ABS((R184)/((2*PI()*G184)/60))</f>
        <v>1.9271750629128703</v>
      </c>
      <c r="U184" s="56">
        <f t="shared" si="31"/>
        <v>2</v>
      </c>
      <c r="V184" s="56">
        <f>INDEX(BSFC!$D$4:$AD$26,MATCH(U184,BSFC!$B$4:$B$26,0),MATCH(G184,BSFC!$D$2:$AD$2,0))</f>
        <v>905.74442879999992</v>
      </c>
      <c r="W184" s="56">
        <f t="shared" si="36"/>
        <v>0.17771373737774554</v>
      </c>
      <c r="X184" s="56">
        <f t="shared" si="32"/>
        <v>0.17771373737774554</v>
      </c>
      <c r="Y184" s="56">
        <f t="shared" si="33"/>
        <v>0.54913544849723372</v>
      </c>
      <c r="Z184" s="79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x14ac:dyDescent="0.3">
      <c r="A185" s="55">
        <v>1</v>
      </c>
      <c r="B185" s="56" t="s">
        <v>103</v>
      </c>
      <c r="C185" s="56">
        <f t="shared" si="39"/>
        <v>182</v>
      </c>
      <c r="D185" s="56">
        <f t="shared" si="26"/>
        <v>18.81317</v>
      </c>
      <c r="E185" s="94">
        <f t="shared" si="42"/>
        <v>8.41</v>
      </c>
      <c r="F185" s="94">
        <f>($C$4/E185)+F184</f>
        <v>19.738803654746032</v>
      </c>
      <c r="G185" s="56">
        <f t="shared" si="43"/>
        <v>4500</v>
      </c>
      <c r="H185" s="56">
        <v>2</v>
      </c>
      <c r="I185" s="94">
        <f>E185-E184</f>
        <v>1</v>
      </c>
      <c r="J185" s="56">
        <f>(0.5*VEHICLE!$C$71*VEHICLE!$C$28*VEHICLE!$C$27*'Drive Cycle'!E185^2)</f>
        <v>62.920007745209993</v>
      </c>
      <c r="K185" s="56">
        <f>IF(A185=1,VEHICLE!$S$5,IF(A185=2,VEHICLE!$Q$5,IF(A185=3,VEHICLE!$R$5,IF(A185=4,VEHICLE!$P$5,1))))</f>
        <v>72.351594900000009</v>
      </c>
      <c r="L185" s="56">
        <v>0</v>
      </c>
      <c r="M185" s="56">
        <f t="shared" si="35"/>
        <v>0</v>
      </c>
      <c r="N185" s="56">
        <f t="shared" si="27"/>
        <v>0</v>
      </c>
      <c r="O185" s="56">
        <f t="shared" si="28"/>
        <v>0</v>
      </c>
      <c r="P185" s="56">
        <f t="shared" si="29"/>
        <v>135.27160264521001</v>
      </c>
      <c r="Q185" s="56">
        <f>IF(H185=1,I185*VEHICLE!$C$69,IF(H185=2,VEHICLE!$C$70*I185,IF(H185=3,VEHICLE!$C$71*I185,0)))</f>
        <v>585.14848653011734</v>
      </c>
      <c r="R185" s="56">
        <f>(J185+K185+O185+Q185)</f>
        <v>720.42008917532735</v>
      </c>
      <c r="S185" s="56">
        <f t="shared" si="30"/>
        <v>720.42008917532735</v>
      </c>
      <c r="T185" s="56">
        <f>ABS((R185)/((2*PI()*G185)/60))</f>
        <v>1.5287789105994318</v>
      </c>
      <c r="U185" s="56">
        <f t="shared" si="31"/>
        <v>2</v>
      </c>
      <c r="V185" s="56">
        <f>INDEX(BSFC!$D$4:$AD$26,MATCH(U185,BSFC!$B$4:$B$26,0),MATCH(G185,BSFC!$D$2:$AD$2,0))</f>
        <v>900.04656767999984</v>
      </c>
      <c r="W185" s="56">
        <f t="shared" si="36"/>
        <v>0.18011434126388132</v>
      </c>
      <c r="X185" s="56">
        <f t="shared" si="32"/>
        <v>0.18011434126388132</v>
      </c>
      <c r="Y185" s="56">
        <f t="shared" si="33"/>
        <v>0.55655331450539325</v>
      </c>
      <c r="Z185" s="79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x14ac:dyDescent="0.3">
      <c r="A186" s="55">
        <v>1</v>
      </c>
      <c r="B186" s="56" t="s">
        <v>103</v>
      </c>
      <c r="C186" s="56">
        <f t="shared" si="39"/>
        <v>183</v>
      </c>
      <c r="D186" s="56">
        <f t="shared" si="26"/>
        <v>21.050170000000001</v>
      </c>
      <c r="E186" s="94">
        <f t="shared" si="42"/>
        <v>9.41</v>
      </c>
      <c r="F186" s="94">
        <f>($C$4/E186)+F185</f>
        <v>19.845073580357084</v>
      </c>
      <c r="G186" s="56">
        <f t="shared" si="43"/>
        <v>5500</v>
      </c>
      <c r="H186" s="56">
        <v>2</v>
      </c>
      <c r="I186" s="94">
        <f>E186-E185</f>
        <v>1</v>
      </c>
      <c r="J186" s="56">
        <f>(0.5*VEHICLE!$C$71*VEHICLE!$C$28*VEHICLE!$C$27*'Drive Cycle'!E186^2)</f>
        <v>78.772752807209997</v>
      </c>
      <c r="K186" s="56">
        <f>IF(A186=1,VEHICLE!$S$5,IF(A186=2,VEHICLE!$Q$5,IF(A186=3,VEHICLE!$R$5,IF(A186=4,VEHICLE!$P$5,1))))</f>
        <v>72.351594900000009</v>
      </c>
      <c r="L186" s="56">
        <v>0</v>
      </c>
      <c r="M186" s="56">
        <f t="shared" si="35"/>
        <v>0</v>
      </c>
      <c r="N186" s="56">
        <f t="shared" si="27"/>
        <v>0</v>
      </c>
      <c r="O186" s="56">
        <f t="shared" si="28"/>
        <v>0</v>
      </c>
      <c r="P186" s="56">
        <f t="shared" si="29"/>
        <v>151.12434770721001</v>
      </c>
      <c r="Q186" s="56">
        <f>IF(H186=1,I186*VEHICLE!$C$69,IF(H186=2,VEHICLE!$C$70*I186,IF(H186=3,VEHICLE!$C$71*I186,0)))</f>
        <v>585.14848653011734</v>
      </c>
      <c r="R186" s="56">
        <f>(J186+K186+O186+Q186)</f>
        <v>736.27283423732729</v>
      </c>
      <c r="S186" s="56">
        <f t="shared" si="30"/>
        <v>736.27283423732729</v>
      </c>
      <c r="T186" s="56">
        <f>ABS((R186)/((2*PI()*G186)/60))</f>
        <v>1.2783432112707309</v>
      </c>
      <c r="U186" s="56">
        <f t="shared" si="31"/>
        <v>2</v>
      </c>
      <c r="V186" s="56">
        <f>INDEX(BSFC!$D$4:$AD$26,MATCH(U186,BSFC!$B$4:$B$26,0),MATCH(G186,BSFC!$D$2:$AD$2,0))</f>
        <v>862.35014976000002</v>
      </c>
      <c r="W186" s="56">
        <f t="shared" si="36"/>
        <v>0.17636805246354967</v>
      </c>
      <c r="X186" s="56">
        <f t="shared" si="32"/>
        <v>0.17636805246354967</v>
      </c>
      <c r="Y186" s="56">
        <f t="shared" si="33"/>
        <v>0.5449772821123684</v>
      </c>
      <c r="Z186" s="79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x14ac:dyDescent="0.3">
      <c r="A187" s="55">
        <v>1</v>
      </c>
      <c r="B187" s="56" t="s">
        <v>103</v>
      </c>
      <c r="C187" s="56">
        <f t="shared" si="39"/>
        <v>184</v>
      </c>
      <c r="D187" s="56">
        <f t="shared" si="26"/>
        <v>23.28717</v>
      </c>
      <c r="E187" s="94">
        <f t="shared" si="42"/>
        <v>10.41</v>
      </c>
      <c r="F187" s="94">
        <f>($C$4/E187)+F186</f>
        <v>19.941135059703868</v>
      </c>
      <c r="G187" s="56">
        <f t="shared" si="43"/>
        <v>6500</v>
      </c>
      <c r="H187" s="56">
        <v>2</v>
      </c>
      <c r="I187" s="94">
        <f>E187-E186</f>
        <v>1</v>
      </c>
      <c r="J187" s="56">
        <f>(0.5*VEHICLE!$C$71*VEHICLE!$C$28*VEHICLE!$C$27*'Drive Cycle'!E187^2)</f>
        <v>96.404706069209993</v>
      </c>
      <c r="K187" s="56">
        <f>IF(A187=1,VEHICLE!$S$5,IF(A187=2,VEHICLE!$Q$5,IF(A187=3,VEHICLE!$R$5,IF(A187=4,VEHICLE!$P$5,1))))</f>
        <v>72.351594900000009</v>
      </c>
      <c r="L187" s="56">
        <v>0</v>
      </c>
      <c r="M187" s="56">
        <f t="shared" si="35"/>
        <v>0</v>
      </c>
      <c r="N187" s="56">
        <f t="shared" si="27"/>
        <v>0</v>
      </c>
      <c r="O187" s="56">
        <f t="shared" si="28"/>
        <v>0</v>
      </c>
      <c r="P187" s="56">
        <f t="shared" si="29"/>
        <v>168.75630096921</v>
      </c>
      <c r="Q187" s="56">
        <f>IF(H187=1,I187*VEHICLE!$C$69,IF(H187=2,VEHICLE!$C$70*I187,IF(H187=3,VEHICLE!$C$71*I187,0)))</f>
        <v>585.14848653011734</v>
      </c>
      <c r="R187" s="56">
        <f>(J187+K187+O187+Q187)</f>
        <v>753.90478749932731</v>
      </c>
      <c r="S187" s="56">
        <f t="shared" si="30"/>
        <v>753.90478749932731</v>
      </c>
      <c r="T187" s="56">
        <f>ABS((R187)/((2*PI()*G187)/60))</f>
        <v>1.1075785250876573</v>
      </c>
      <c r="U187" s="56">
        <f t="shared" si="31"/>
        <v>2</v>
      </c>
      <c r="V187" s="56">
        <f>INDEX(BSFC!$D$4:$AD$26,MATCH(U187,BSFC!$B$4:$B$26,0),MATCH(G187,BSFC!$D$2:$AD$2,0))</f>
        <v>894.55972883999993</v>
      </c>
      <c r="W187" s="56">
        <f t="shared" si="36"/>
        <v>0.18733690618793777</v>
      </c>
      <c r="X187" s="56">
        <f t="shared" si="32"/>
        <v>0.18733690618793777</v>
      </c>
      <c r="Y187" s="56">
        <f t="shared" si="33"/>
        <v>0.57887104012072765</v>
      </c>
      <c r="Z187" s="79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x14ac:dyDescent="0.3">
      <c r="A188" s="55">
        <v>1</v>
      </c>
      <c r="B188" s="56" t="s">
        <v>103</v>
      </c>
      <c r="C188" s="56">
        <f t="shared" si="39"/>
        <v>185</v>
      </c>
      <c r="D188" s="56">
        <f t="shared" si="26"/>
        <v>25.524170000000002</v>
      </c>
      <c r="E188" s="94">
        <f t="shared" si="42"/>
        <v>11.41</v>
      </c>
      <c r="F188" s="94">
        <f>($C$4/E188)+F187</f>
        <v>20.02877747863463</v>
      </c>
      <c r="G188" s="56">
        <v>6500</v>
      </c>
      <c r="H188" s="56">
        <v>2</v>
      </c>
      <c r="I188" s="94">
        <f>E188-E187</f>
        <v>1</v>
      </c>
      <c r="J188" s="56">
        <f>(0.5*VEHICLE!$C$71*VEHICLE!$C$28*VEHICLE!$C$27*'Drive Cycle'!E188^2)</f>
        <v>115.81586753120997</v>
      </c>
      <c r="K188" s="56">
        <f>IF(A188=1,VEHICLE!$S$5,IF(A188=2,VEHICLE!$Q$5,IF(A188=3,VEHICLE!$R$5,IF(A188=4,VEHICLE!$P$5,1))))</f>
        <v>72.351594900000009</v>
      </c>
      <c r="L188" s="56">
        <v>0</v>
      </c>
      <c r="M188" s="56">
        <f t="shared" si="35"/>
        <v>0</v>
      </c>
      <c r="N188" s="56">
        <f t="shared" si="27"/>
        <v>0</v>
      </c>
      <c r="O188" s="56">
        <f t="shared" si="28"/>
        <v>0</v>
      </c>
      <c r="P188" s="56">
        <f t="shared" si="29"/>
        <v>188.16746243120997</v>
      </c>
      <c r="Q188" s="56">
        <f>IF(H188=1,I188*VEHICLE!$C$69,IF(H188=2,VEHICLE!$C$70*I188,IF(H188=3,VEHICLE!$C$71*I188,0)))</f>
        <v>585.14848653011734</v>
      </c>
      <c r="R188" s="56">
        <f>(J188+K188+O188+Q188)</f>
        <v>773.31594896132731</v>
      </c>
      <c r="S188" s="56">
        <f t="shared" si="30"/>
        <v>773.31594896132731</v>
      </c>
      <c r="T188" s="56">
        <f>ABS((R188)/((2*PI()*G188)/60))</f>
        <v>1.1360959001445701</v>
      </c>
      <c r="U188" s="56">
        <f t="shared" si="31"/>
        <v>2</v>
      </c>
      <c r="V188" s="56">
        <f>INDEX(BSFC!$D$4:$AD$26,MATCH(U188,BSFC!$B$4:$B$26,0),MATCH(G188,BSFC!$D$2:$AD$2,0))</f>
        <v>894.55972883999993</v>
      </c>
      <c r="W188" s="56">
        <f t="shared" si="36"/>
        <v>0.1921603626695812</v>
      </c>
      <c r="X188" s="56">
        <f t="shared" si="32"/>
        <v>0.1921603626695812</v>
      </c>
      <c r="Y188" s="56">
        <f t="shared" si="33"/>
        <v>0.59377552064900585</v>
      </c>
      <c r="Z188" s="79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x14ac:dyDescent="0.3">
      <c r="A189" s="55">
        <v>1</v>
      </c>
      <c r="B189" s="56" t="s">
        <v>103</v>
      </c>
      <c r="C189" s="56">
        <f t="shared" si="39"/>
        <v>186</v>
      </c>
      <c r="D189" s="56">
        <f t="shared" si="26"/>
        <v>27.76117</v>
      </c>
      <c r="E189" s="94">
        <f t="shared" si="42"/>
        <v>12.41</v>
      </c>
      <c r="F189" s="94">
        <f>($C$4/E189)+F188</f>
        <v>20.109357655911019</v>
      </c>
      <c r="G189" s="56">
        <v>6500</v>
      </c>
      <c r="H189" s="56">
        <v>2</v>
      </c>
      <c r="I189" s="94">
        <f>E189-E188</f>
        <v>1</v>
      </c>
      <c r="J189" s="56">
        <f>(0.5*VEHICLE!$C$71*VEHICLE!$C$28*VEHICLE!$C$27*'Drive Cycle'!E189^2)</f>
        <v>137.00623719320998</v>
      </c>
      <c r="K189" s="56">
        <f>IF(A189=1,VEHICLE!$S$5,IF(A189=2,VEHICLE!$Q$5,IF(A189=3,VEHICLE!$R$5,IF(A189=4,VEHICLE!$P$5,1))))</f>
        <v>72.351594900000009</v>
      </c>
      <c r="L189" s="56">
        <v>0</v>
      </c>
      <c r="M189" s="56">
        <f t="shared" si="35"/>
        <v>0</v>
      </c>
      <c r="N189" s="56">
        <f t="shared" si="27"/>
        <v>0</v>
      </c>
      <c r="O189" s="56">
        <f t="shared" si="28"/>
        <v>0</v>
      </c>
      <c r="P189" s="56">
        <f t="shared" si="29"/>
        <v>209.35783209320999</v>
      </c>
      <c r="Q189" s="56">
        <f>IF(H189=1,I189*VEHICLE!$C$69,IF(H189=2,VEHICLE!$C$70*I189,IF(H189=3,VEHICLE!$C$71*I189,0)))</f>
        <v>585.14848653011734</v>
      </c>
      <c r="R189" s="56">
        <f>(J189+K189+O189+Q189)</f>
        <v>794.50631862332739</v>
      </c>
      <c r="S189" s="56">
        <f t="shared" si="30"/>
        <v>794.50631862332739</v>
      </c>
      <c r="T189" s="56">
        <f>ABS((R189)/((2*PI()*G189)/60))</f>
        <v>1.1672271500921254</v>
      </c>
      <c r="U189" s="56">
        <f t="shared" si="31"/>
        <v>2</v>
      </c>
      <c r="V189" s="56">
        <f>INDEX(BSFC!$D$4:$AD$26,MATCH(U189,BSFC!$B$4:$B$26,0),MATCH(G189,BSFC!$D$2:$AD$2,0))</f>
        <v>894.55972883999993</v>
      </c>
      <c r="W189" s="56">
        <f t="shared" si="36"/>
        <v>0.19742593248593066</v>
      </c>
      <c r="X189" s="56">
        <f t="shared" si="32"/>
        <v>0.19742593248593066</v>
      </c>
      <c r="Y189" s="56">
        <f t="shared" si="33"/>
        <v>0.61004613138152575</v>
      </c>
      <c r="Z189" s="79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x14ac:dyDescent="0.3">
      <c r="A190" s="55">
        <v>1</v>
      </c>
      <c r="B190" s="56" t="s">
        <v>103</v>
      </c>
      <c r="C190" s="56">
        <f t="shared" si="39"/>
        <v>187</v>
      </c>
      <c r="D190" s="56">
        <f t="shared" si="26"/>
        <v>29.998170000000002</v>
      </c>
      <c r="E190" s="94">
        <f t="shared" si="42"/>
        <v>13.41</v>
      </c>
      <c r="F190" s="94">
        <f>($C$4/E190)+F189</f>
        <v>20.183928871421831</v>
      </c>
      <c r="G190" s="56">
        <v>6500</v>
      </c>
      <c r="H190" s="56">
        <v>2</v>
      </c>
      <c r="I190" s="94">
        <f>E190-E189</f>
        <v>1</v>
      </c>
      <c r="J190" s="56">
        <f>(0.5*VEHICLE!$C$71*VEHICLE!$C$28*VEHICLE!$C$27*'Drive Cycle'!E190^2)</f>
        <v>159.97581505520998</v>
      </c>
      <c r="K190" s="56">
        <f>IF(A190=1,VEHICLE!$S$5,IF(A190=2,VEHICLE!$Q$5,IF(A190=3,VEHICLE!$R$5,IF(A190=4,VEHICLE!$P$5,1))))</f>
        <v>72.351594900000009</v>
      </c>
      <c r="L190" s="56">
        <v>0</v>
      </c>
      <c r="M190" s="56">
        <f t="shared" si="35"/>
        <v>0</v>
      </c>
      <c r="N190" s="56">
        <f t="shared" si="27"/>
        <v>0</v>
      </c>
      <c r="O190" s="56">
        <f t="shared" si="28"/>
        <v>0</v>
      </c>
      <c r="P190" s="56">
        <f t="shared" si="29"/>
        <v>232.32740995520999</v>
      </c>
      <c r="Q190" s="56">
        <f>IF(H190=1,I190*VEHICLE!$C$69,IF(H190=2,VEHICLE!$C$70*I190,IF(H190=3,VEHICLE!$C$71*I190,0)))</f>
        <v>585.14848653011734</v>
      </c>
      <c r="R190" s="56">
        <f>(J190+K190+O190+Q190)</f>
        <v>817.47589648532733</v>
      </c>
      <c r="S190" s="56">
        <f t="shared" si="30"/>
        <v>817.47589648532733</v>
      </c>
      <c r="T190" s="56">
        <f>ABS((R190)/((2*PI()*G190)/60))</f>
        <v>1.2009722749303235</v>
      </c>
      <c r="U190" s="56">
        <f t="shared" si="31"/>
        <v>2</v>
      </c>
      <c r="V190" s="56">
        <f>INDEX(BSFC!$D$4:$AD$26,MATCH(U190,BSFC!$B$4:$B$26,0),MATCH(G190,BSFC!$D$2:$AD$2,0))</f>
        <v>894.55972883999993</v>
      </c>
      <c r="W190" s="56">
        <f t="shared" si="36"/>
        <v>0.20313361563698618</v>
      </c>
      <c r="X190" s="56">
        <f t="shared" si="32"/>
        <v>0.20313361563698618</v>
      </c>
      <c r="Y190" s="56">
        <f t="shared" si="33"/>
        <v>0.62768287231828723</v>
      </c>
      <c r="Z190" s="79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x14ac:dyDescent="0.3">
      <c r="A191" s="55">
        <v>1</v>
      </c>
      <c r="B191" s="56" t="s">
        <v>103</v>
      </c>
      <c r="C191" s="56">
        <f t="shared" si="39"/>
        <v>188</v>
      </c>
      <c r="D191" s="56">
        <f t="shared" si="26"/>
        <v>29.998170000000002</v>
      </c>
      <c r="E191" s="94">
        <v>13.41</v>
      </c>
      <c r="F191" s="94">
        <f>($C$4/E191)+F190</f>
        <v>20.258500086932642</v>
      </c>
      <c r="G191" s="56">
        <v>6500</v>
      </c>
      <c r="H191" s="56">
        <v>2</v>
      </c>
      <c r="I191" s="94">
        <f>E191-E190</f>
        <v>0</v>
      </c>
      <c r="J191" s="56">
        <f>(0.5*VEHICLE!$C$71*VEHICLE!$C$28*VEHICLE!$C$27*'Drive Cycle'!E191^2)</f>
        <v>159.97581505520998</v>
      </c>
      <c r="K191" s="56">
        <f>IF(A191=1,VEHICLE!$S$5,IF(A191=2,VEHICLE!$Q$5,IF(A191=3,VEHICLE!$R$5,IF(A191=4,VEHICLE!$P$5,1))))</f>
        <v>72.351594900000009</v>
      </c>
      <c r="L191" s="56">
        <v>0</v>
      </c>
      <c r="M191" s="56">
        <f t="shared" si="35"/>
        <v>0</v>
      </c>
      <c r="N191" s="56">
        <f t="shared" si="27"/>
        <v>0</v>
      </c>
      <c r="O191" s="56">
        <f t="shared" si="28"/>
        <v>0</v>
      </c>
      <c r="P191" s="56">
        <f t="shared" si="29"/>
        <v>232.32740995520999</v>
      </c>
      <c r="Q191" s="56">
        <f>IF(H191=1,I191*VEHICLE!$C$69,IF(H191=2,VEHICLE!$C$70*I191,IF(H191=3,VEHICLE!$C$71*I191,0)))</f>
        <v>0</v>
      </c>
      <c r="R191" s="56">
        <f>(J191+K191+O191+Q191)</f>
        <v>232.32740995520999</v>
      </c>
      <c r="S191" s="56">
        <f t="shared" si="30"/>
        <v>232.32740995520999</v>
      </c>
      <c r="T191" s="56">
        <f>ABS((R191)/((2*PI()*G191)/60))</f>
        <v>0.34131743732408198</v>
      </c>
      <c r="U191" s="56">
        <f t="shared" si="31"/>
        <v>1</v>
      </c>
      <c r="V191" s="56">
        <f>INDEX(BSFC!$D$4:$AD$26,MATCH(U191,BSFC!$B$4:$B$26,0),MATCH(G191,BSFC!$D$2:$AD$2,0))</f>
        <v>925.65735288000019</v>
      </c>
      <c r="W191" s="56">
        <f t="shared" si="36"/>
        <v>5.9737659805723972E-2</v>
      </c>
      <c r="X191" s="56">
        <f t="shared" si="32"/>
        <v>5.9737659805723972E-2</v>
      </c>
      <c r="Y191" s="56">
        <f t="shared" si="33"/>
        <v>0.18458936879968707</v>
      </c>
      <c r="Z191" s="79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x14ac:dyDescent="0.3">
      <c r="A192" s="55">
        <v>1</v>
      </c>
      <c r="B192" s="56" t="s">
        <v>103</v>
      </c>
      <c r="C192" s="56">
        <f t="shared" si="39"/>
        <v>189</v>
      </c>
      <c r="D192" s="56">
        <f t="shared" si="26"/>
        <v>29.998170000000002</v>
      </c>
      <c r="E192" s="94">
        <v>13.41</v>
      </c>
      <c r="F192" s="94">
        <f>($C$4/E192)+F191</f>
        <v>20.333071302443454</v>
      </c>
      <c r="G192" s="56">
        <v>6500</v>
      </c>
      <c r="H192" s="56">
        <v>2</v>
      </c>
      <c r="I192" s="94">
        <f>E192-E191</f>
        <v>0</v>
      </c>
      <c r="J192" s="56">
        <f>(0.5*VEHICLE!$C$71*VEHICLE!$C$28*VEHICLE!$C$27*'Drive Cycle'!E192^2)</f>
        <v>159.97581505520998</v>
      </c>
      <c r="K192" s="56">
        <f>IF(A192=1,VEHICLE!$S$5,IF(A192=2,VEHICLE!$Q$5,IF(A192=3,VEHICLE!$R$5,IF(A192=4,VEHICLE!$P$5,1))))</f>
        <v>72.351594900000009</v>
      </c>
      <c r="L192" s="56">
        <v>0</v>
      </c>
      <c r="M192" s="56">
        <f t="shared" si="35"/>
        <v>0</v>
      </c>
      <c r="N192" s="56">
        <f t="shared" si="27"/>
        <v>0</v>
      </c>
      <c r="O192" s="56">
        <f t="shared" si="28"/>
        <v>0</v>
      </c>
      <c r="P192" s="56">
        <f t="shared" si="29"/>
        <v>232.32740995520999</v>
      </c>
      <c r="Q192" s="56">
        <f>IF(H192=1,I192*VEHICLE!$C$69,IF(H192=2,VEHICLE!$C$70*I192,IF(H192=3,VEHICLE!$C$71*I192,0)))</f>
        <v>0</v>
      </c>
      <c r="R192" s="56">
        <f>(J192+K192+O192+Q192)</f>
        <v>232.32740995520999</v>
      </c>
      <c r="S192" s="56">
        <f t="shared" si="30"/>
        <v>232.32740995520999</v>
      </c>
      <c r="T192" s="56">
        <f>ABS((R192)/((2*PI()*G192)/60))</f>
        <v>0.34131743732408198</v>
      </c>
      <c r="U192" s="56">
        <f t="shared" si="31"/>
        <v>1</v>
      </c>
      <c r="V192" s="56">
        <f>INDEX(BSFC!$D$4:$AD$26,MATCH(U192,BSFC!$B$4:$B$26,0),MATCH(G192,BSFC!$D$2:$AD$2,0))</f>
        <v>925.65735288000019</v>
      </c>
      <c r="W192" s="56">
        <f t="shared" si="36"/>
        <v>5.9737659805723972E-2</v>
      </c>
      <c r="X192" s="56">
        <f t="shared" si="32"/>
        <v>5.9737659805723972E-2</v>
      </c>
      <c r="Y192" s="56">
        <f t="shared" si="33"/>
        <v>0.18458936879968707</v>
      </c>
      <c r="Z192" s="79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x14ac:dyDescent="0.3">
      <c r="A193" s="55">
        <v>1</v>
      </c>
      <c r="B193" s="56" t="s">
        <v>103</v>
      </c>
      <c r="C193" s="56">
        <f t="shared" si="39"/>
        <v>190</v>
      </c>
      <c r="D193" s="56">
        <f t="shared" si="26"/>
        <v>29.998170000000002</v>
      </c>
      <c r="E193" s="94">
        <v>13.41</v>
      </c>
      <c r="F193" s="94">
        <f>($C$4/E193)+F192</f>
        <v>20.407642517954265</v>
      </c>
      <c r="G193" s="56">
        <v>6500</v>
      </c>
      <c r="H193" s="56">
        <v>2</v>
      </c>
      <c r="I193" s="94">
        <f>E193-E192</f>
        <v>0</v>
      </c>
      <c r="J193" s="56">
        <f>(0.5*VEHICLE!$C$71*VEHICLE!$C$28*VEHICLE!$C$27*'Drive Cycle'!E193^2)</f>
        <v>159.97581505520998</v>
      </c>
      <c r="K193" s="56">
        <f>IF(A193=1,VEHICLE!$S$5,IF(A193=2,VEHICLE!$Q$5,IF(A193=3,VEHICLE!$R$5,IF(A193=4,VEHICLE!$P$5,1))))</f>
        <v>72.351594900000009</v>
      </c>
      <c r="L193" s="56">
        <v>0</v>
      </c>
      <c r="M193" s="56">
        <f t="shared" si="35"/>
        <v>0</v>
      </c>
      <c r="N193" s="56">
        <f t="shared" si="27"/>
        <v>0</v>
      </c>
      <c r="O193" s="56">
        <f t="shared" si="28"/>
        <v>0</v>
      </c>
      <c r="P193" s="56">
        <f t="shared" si="29"/>
        <v>232.32740995520999</v>
      </c>
      <c r="Q193" s="56">
        <f>IF(H193=1,I193*VEHICLE!$C$69,IF(H193=2,VEHICLE!$C$70*I193,IF(H193=3,VEHICLE!$C$71*I193,0)))</f>
        <v>0</v>
      </c>
      <c r="R193" s="56">
        <f>(J193+K193+O193+Q193)</f>
        <v>232.32740995520999</v>
      </c>
      <c r="S193" s="56">
        <f t="shared" si="30"/>
        <v>232.32740995520999</v>
      </c>
      <c r="T193" s="56">
        <f>ABS((R193)/((2*PI()*G193)/60))</f>
        <v>0.34131743732408198</v>
      </c>
      <c r="U193" s="56">
        <f t="shared" si="31"/>
        <v>1</v>
      </c>
      <c r="V193" s="56">
        <f>INDEX(BSFC!$D$4:$AD$26,MATCH(U193,BSFC!$B$4:$B$26,0),MATCH(G193,BSFC!$D$2:$AD$2,0))</f>
        <v>925.65735288000019</v>
      </c>
      <c r="W193" s="56">
        <f t="shared" si="36"/>
        <v>5.9737659805723972E-2</v>
      </c>
      <c r="X193" s="56">
        <f t="shared" si="32"/>
        <v>5.9737659805723972E-2</v>
      </c>
      <c r="Y193" s="56">
        <f t="shared" si="33"/>
        <v>0.18458936879968707</v>
      </c>
      <c r="Z193" s="79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x14ac:dyDescent="0.3">
      <c r="A194" s="55">
        <v>1</v>
      </c>
      <c r="B194" s="56" t="s">
        <v>103</v>
      </c>
      <c r="C194" s="56">
        <f t="shared" si="39"/>
        <v>191</v>
      </c>
      <c r="D194" s="56">
        <f t="shared" si="26"/>
        <v>29.998170000000002</v>
      </c>
      <c r="E194" s="94">
        <v>13.41</v>
      </c>
      <c r="F194" s="94">
        <f>($C$4/E194)+F193</f>
        <v>20.482213733465077</v>
      </c>
      <c r="G194" s="56">
        <v>6500</v>
      </c>
      <c r="H194" s="56">
        <v>2</v>
      </c>
      <c r="I194" s="94">
        <f>E194-E193</f>
        <v>0</v>
      </c>
      <c r="J194" s="56">
        <f>(0.5*VEHICLE!$C$71*VEHICLE!$C$28*VEHICLE!$C$27*'Drive Cycle'!E194^2)</f>
        <v>159.97581505520998</v>
      </c>
      <c r="K194" s="56">
        <f>IF(A194=1,VEHICLE!$S$5,IF(A194=2,VEHICLE!$Q$5,IF(A194=3,VEHICLE!$R$5,IF(A194=4,VEHICLE!$P$5,1))))</f>
        <v>72.351594900000009</v>
      </c>
      <c r="L194" s="56">
        <v>0</v>
      </c>
      <c r="M194" s="56">
        <f t="shared" si="35"/>
        <v>0</v>
      </c>
      <c r="N194" s="56">
        <f t="shared" si="27"/>
        <v>0</v>
      </c>
      <c r="O194" s="56">
        <f t="shared" si="28"/>
        <v>0</v>
      </c>
      <c r="P194" s="56">
        <f t="shared" si="29"/>
        <v>232.32740995520999</v>
      </c>
      <c r="Q194" s="56">
        <f>IF(H194=1,I194*VEHICLE!$C$69,IF(H194=2,VEHICLE!$C$70*I194,IF(H194=3,VEHICLE!$C$71*I194,0)))</f>
        <v>0</v>
      </c>
      <c r="R194" s="56">
        <f>(J194+K194+O194+Q194)</f>
        <v>232.32740995520999</v>
      </c>
      <c r="S194" s="56">
        <f t="shared" si="30"/>
        <v>232.32740995520999</v>
      </c>
      <c r="T194" s="56">
        <f>ABS((R194)/((2*PI()*G194)/60))</f>
        <v>0.34131743732408198</v>
      </c>
      <c r="U194" s="56">
        <f t="shared" si="31"/>
        <v>1</v>
      </c>
      <c r="V194" s="56">
        <f>INDEX(BSFC!$D$4:$AD$26,MATCH(U194,BSFC!$B$4:$B$26,0),MATCH(G194,BSFC!$D$2:$AD$2,0))</f>
        <v>925.65735288000019</v>
      </c>
      <c r="W194" s="56">
        <f t="shared" si="36"/>
        <v>5.9737659805723972E-2</v>
      </c>
      <c r="X194" s="56">
        <f t="shared" si="32"/>
        <v>5.9737659805723972E-2</v>
      </c>
      <c r="Y194" s="56">
        <f t="shared" si="33"/>
        <v>0.18458936879968707</v>
      </c>
      <c r="Z194" s="79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x14ac:dyDescent="0.3">
      <c r="A195" s="55">
        <v>1</v>
      </c>
      <c r="B195" s="56" t="s">
        <v>103</v>
      </c>
      <c r="C195" s="56">
        <f t="shared" si="39"/>
        <v>192</v>
      </c>
      <c r="D195" s="56">
        <f t="shared" si="26"/>
        <v>29.998170000000002</v>
      </c>
      <c r="E195" s="94">
        <v>13.41</v>
      </c>
      <c r="F195" s="94">
        <f>($C$4/E195)+F194</f>
        <v>20.556784948975888</v>
      </c>
      <c r="G195" s="56">
        <v>6500</v>
      </c>
      <c r="H195" s="56">
        <v>2</v>
      </c>
      <c r="I195" s="94">
        <f>E195-E194</f>
        <v>0</v>
      </c>
      <c r="J195" s="56">
        <f>(0.5*VEHICLE!$C$71*VEHICLE!$C$28*VEHICLE!$C$27*'Drive Cycle'!E195^2)</f>
        <v>159.97581505520998</v>
      </c>
      <c r="K195" s="56">
        <f>IF(A195=1,VEHICLE!$S$5,IF(A195=2,VEHICLE!$Q$5,IF(A195=3,VEHICLE!$R$5,IF(A195=4,VEHICLE!$P$5,1))))</f>
        <v>72.351594900000009</v>
      </c>
      <c r="L195" s="56">
        <v>0</v>
      </c>
      <c r="M195" s="56">
        <f t="shared" si="35"/>
        <v>0</v>
      </c>
      <c r="N195" s="56">
        <f t="shared" si="27"/>
        <v>0</v>
      </c>
      <c r="O195" s="56">
        <f t="shared" si="28"/>
        <v>0</v>
      </c>
      <c r="P195" s="56">
        <f t="shared" si="29"/>
        <v>232.32740995520999</v>
      </c>
      <c r="Q195" s="56">
        <f>IF(H195=1,I195*VEHICLE!$C$69,IF(H195=2,VEHICLE!$C$70*I195,IF(H195=3,VEHICLE!$C$71*I195,0)))</f>
        <v>0</v>
      </c>
      <c r="R195" s="56">
        <f>(J195+K195+O195+Q195)</f>
        <v>232.32740995520999</v>
      </c>
      <c r="S195" s="56">
        <f t="shared" si="30"/>
        <v>232.32740995520999</v>
      </c>
      <c r="T195" s="56">
        <f>ABS((R195)/((2*PI()*G195)/60))</f>
        <v>0.34131743732408198</v>
      </c>
      <c r="U195" s="56">
        <f t="shared" si="31"/>
        <v>1</v>
      </c>
      <c r="V195" s="56">
        <f>INDEX(BSFC!$D$4:$AD$26,MATCH(U195,BSFC!$B$4:$B$26,0),MATCH(G195,BSFC!$D$2:$AD$2,0))</f>
        <v>925.65735288000019</v>
      </c>
      <c r="W195" s="56">
        <f t="shared" si="36"/>
        <v>5.9737659805723972E-2</v>
      </c>
      <c r="X195" s="56">
        <f t="shared" si="32"/>
        <v>5.9737659805723972E-2</v>
      </c>
      <c r="Y195" s="56">
        <f t="shared" si="33"/>
        <v>0.18458936879968707</v>
      </c>
      <c r="Z195" s="79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x14ac:dyDescent="0.3">
      <c r="A196" s="55">
        <v>1</v>
      </c>
      <c r="B196" s="56" t="s">
        <v>103</v>
      </c>
      <c r="C196" s="56">
        <f t="shared" si="39"/>
        <v>193</v>
      </c>
      <c r="D196" s="56">
        <f t="shared" ref="D196:D259" si="44">E196*2.237</f>
        <v>29.998170000000002</v>
      </c>
      <c r="E196" s="94">
        <v>13.41</v>
      </c>
      <c r="F196" s="94">
        <f>($C$4/E196)+F195</f>
        <v>20.6313561644867</v>
      </c>
      <c r="G196" s="56">
        <v>6500</v>
      </c>
      <c r="H196" s="56">
        <v>2</v>
      </c>
      <c r="I196" s="94">
        <f>E196-E195</f>
        <v>0</v>
      </c>
      <c r="J196" s="56">
        <f>(0.5*VEHICLE!$C$71*VEHICLE!$C$28*VEHICLE!$C$27*'Drive Cycle'!E196^2)</f>
        <v>159.97581505520998</v>
      </c>
      <c r="K196" s="56">
        <f>IF(A196=1,VEHICLE!$S$5,IF(A196=2,VEHICLE!$Q$5,IF(A196=3,VEHICLE!$R$5,IF(A196=4,VEHICLE!$P$5,1))))</f>
        <v>72.351594900000009</v>
      </c>
      <c r="L196" s="56">
        <v>0</v>
      </c>
      <c r="M196" s="56">
        <f t="shared" si="35"/>
        <v>0</v>
      </c>
      <c r="N196" s="56">
        <f t="shared" ref="N196:N259" si="45">DEGREES(ATAN(M196/$C$4))</f>
        <v>0</v>
      </c>
      <c r="O196" s="56">
        <f t="shared" ref="O196:O259" si="46">9.81*SIN(RADIANS(N196))*($C$47)</f>
        <v>0</v>
      </c>
      <c r="P196" s="56">
        <f t="shared" ref="P196:P259" si="47">J196+K196+O196</f>
        <v>232.32740995520999</v>
      </c>
      <c r="Q196" s="56">
        <f>IF(H196=1,I196*VEHICLE!$C$69,IF(H196=2,VEHICLE!$C$70*I196,IF(H196=3,VEHICLE!$C$71*I196,0)))</f>
        <v>0</v>
      </c>
      <c r="R196" s="56">
        <f>(J196+K196+O196+Q196)</f>
        <v>232.32740995520999</v>
      </c>
      <c r="S196" s="56">
        <f t="shared" ref="S196:S259" si="48">ABS(R196)</f>
        <v>232.32740995520999</v>
      </c>
      <c r="T196" s="56">
        <f>ABS((R196)/((2*PI()*G196)/60))</f>
        <v>0.34131743732408198</v>
      </c>
      <c r="U196" s="56">
        <f t="shared" ref="U196:U259" si="49">ROUNDUP(T196,0)</f>
        <v>1</v>
      </c>
      <c r="V196" s="56">
        <f>INDEX(BSFC!$D$4:$AD$26,MATCH(U196,BSFC!$B$4:$B$26,0),MATCH(G196,BSFC!$D$2:$AD$2,0))</f>
        <v>925.65735288000019</v>
      </c>
      <c r="W196" s="56">
        <f t="shared" si="36"/>
        <v>5.9737659805723972E-2</v>
      </c>
      <c r="X196" s="56">
        <f t="shared" ref="X196:X259" si="50">ABS(W196)</f>
        <v>5.9737659805723972E-2</v>
      </c>
      <c r="Y196" s="56">
        <f t="shared" ref="Y196:Y259" si="51">W196*3.09</f>
        <v>0.18458936879968707</v>
      </c>
      <c r="Z196" s="79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x14ac:dyDescent="0.3">
      <c r="A197" s="55">
        <v>1</v>
      </c>
      <c r="B197" s="56" t="s">
        <v>103</v>
      </c>
      <c r="C197" s="56">
        <f t="shared" si="39"/>
        <v>194</v>
      </c>
      <c r="D197" s="56">
        <f t="shared" si="44"/>
        <v>29.998170000000002</v>
      </c>
      <c r="E197" s="94">
        <v>13.41</v>
      </c>
      <c r="F197" s="94">
        <f>($C$4/E197)+F196</f>
        <v>20.705927379997512</v>
      </c>
      <c r="G197" s="56">
        <v>6500</v>
      </c>
      <c r="H197" s="56">
        <v>2</v>
      </c>
      <c r="I197" s="94">
        <f>E197-E196</f>
        <v>0</v>
      </c>
      <c r="J197" s="56">
        <f>(0.5*VEHICLE!$C$71*VEHICLE!$C$28*VEHICLE!$C$27*'Drive Cycle'!E197^2)</f>
        <v>159.97581505520998</v>
      </c>
      <c r="K197" s="56">
        <f>IF(A197=1,VEHICLE!$S$5,IF(A197=2,VEHICLE!$Q$5,IF(A197=3,VEHICLE!$R$5,IF(A197=4,VEHICLE!$P$5,1))))</f>
        <v>72.351594900000009</v>
      </c>
      <c r="L197" s="56">
        <v>0</v>
      </c>
      <c r="M197" s="56">
        <f t="shared" ref="M197:M260" si="52">L197-L196</f>
        <v>0</v>
      </c>
      <c r="N197" s="56">
        <f t="shared" si="45"/>
        <v>0</v>
      </c>
      <c r="O197" s="56">
        <f t="shared" si="46"/>
        <v>0</v>
      </c>
      <c r="P197" s="56">
        <f t="shared" si="47"/>
        <v>232.32740995520999</v>
      </c>
      <c r="Q197" s="56">
        <f>IF(H197=1,I197*VEHICLE!$C$69,IF(H197=2,VEHICLE!$C$70*I197,IF(H197=3,VEHICLE!$C$71*I197,0)))</f>
        <v>0</v>
      </c>
      <c r="R197" s="56">
        <f>(J197+K197+O197+Q197)</f>
        <v>232.32740995520999</v>
      </c>
      <c r="S197" s="56">
        <f t="shared" si="48"/>
        <v>232.32740995520999</v>
      </c>
      <c r="T197" s="56">
        <f>ABS((R197)/((2*PI()*G197)/60))</f>
        <v>0.34131743732408198</v>
      </c>
      <c r="U197" s="56">
        <f t="shared" si="49"/>
        <v>1</v>
      </c>
      <c r="V197" s="56">
        <f>INDEX(BSFC!$D$4:$AD$26,MATCH(U197,BSFC!$B$4:$B$26,0),MATCH(G197,BSFC!$D$2:$AD$2,0))</f>
        <v>925.65735288000019</v>
      </c>
      <c r="W197" s="56">
        <f t="shared" ref="W197:W260" si="53">(R197*V197/3600)/1000</f>
        <v>5.9737659805723972E-2</v>
      </c>
      <c r="X197" s="56">
        <f t="shared" si="50"/>
        <v>5.9737659805723972E-2</v>
      </c>
      <c r="Y197" s="56">
        <f t="shared" si="51"/>
        <v>0.18458936879968707</v>
      </c>
      <c r="Z197" s="79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x14ac:dyDescent="0.3">
      <c r="A198" s="55">
        <v>1</v>
      </c>
      <c r="B198" s="56" t="s">
        <v>103</v>
      </c>
      <c r="C198" s="56">
        <f t="shared" si="39"/>
        <v>195</v>
      </c>
      <c r="D198" s="56">
        <f t="shared" si="44"/>
        <v>29.998170000000002</v>
      </c>
      <c r="E198" s="94">
        <v>13.41</v>
      </c>
      <c r="F198" s="94">
        <f>($C$4/E198)+F197</f>
        <v>20.780498595508323</v>
      </c>
      <c r="G198" s="56">
        <v>6500</v>
      </c>
      <c r="H198" s="56">
        <v>2</v>
      </c>
      <c r="I198" s="94">
        <f>E198-E197</f>
        <v>0</v>
      </c>
      <c r="J198" s="56">
        <f>(0.5*VEHICLE!$C$71*VEHICLE!$C$28*VEHICLE!$C$27*'Drive Cycle'!E198^2)</f>
        <v>159.97581505520998</v>
      </c>
      <c r="K198" s="56">
        <f>IF(A198=1,VEHICLE!$S$5,IF(A198=2,VEHICLE!$Q$5,IF(A198=3,VEHICLE!$R$5,IF(A198=4,VEHICLE!$P$5,1))))</f>
        <v>72.351594900000009</v>
      </c>
      <c r="L198" s="56">
        <v>0</v>
      </c>
      <c r="M198" s="56">
        <f t="shared" si="52"/>
        <v>0</v>
      </c>
      <c r="N198" s="56">
        <f t="shared" si="45"/>
        <v>0</v>
      </c>
      <c r="O198" s="56">
        <f t="shared" si="46"/>
        <v>0</v>
      </c>
      <c r="P198" s="56">
        <f t="shared" si="47"/>
        <v>232.32740995520999</v>
      </c>
      <c r="Q198" s="56">
        <f>IF(H198=1,I198*VEHICLE!$C$69,IF(H198=2,VEHICLE!$C$70*I198,IF(H198=3,VEHICLE!$C$71*I198,0)))</f>
        <v>0</v>
      </c>
      <c r="R198" s="56">
        <f>(J198+K198+O198+Q198)</f>
        <v>232.32740995520999</v>
      </c>
      <c r="S198" s="56">
        <f t="shared" si="48"/>
        <v>232.32740995520999</v>
      </c>
      <c r="T198" s="56">
        <f>ABS((R198)/((2*PI()*G198)/60))</f>
        <v>0.34131743732408198</v>
      </c>
      <c r="U198" s="56">
        <f t="shared" si="49"/>
        <v>1</v>
      </c>
      <c r="V198" s="56">
        <f>INDEX(BSFC!$D$4:$AD$26,MATCH(U198,BSFC!$B$4:$B$26,0),MATCH(G198,BSFC!$D$2:$AD$2,0))</f>
        <v>925.65735288000019</v>
      </c>
      <c r="W198" s="56">
        <f t="shared" si="53"/>
        <v>5.9737659805723972E-2</v>
      </c>
      <c r="X198" s="56">
        <f t="shared" si="50"/>
        <v>5.9737659805723972E-2</v>
      </c>
      <c r="Y198" s="56">
        <f t="shared" si="51"/>
        <v>0.18458936879968707</v>
      </c>
      <c r="Z198" s="79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x14ac:dyDescent="0.3">
      <c r="A199" s="55">
        <v>1</v>
      </c>
      <c r="B199" s="56" t="s">
        <v>103</v>
      </c>
      <c r="C199" s="56">
        <f t="shared" si="39"/>
        <v>196</v>
      </c>
      <c r="D199" s="56">
        <f t="shared" si="44"/>
        <v>29.998170000000002</v>
      </c>
      <c r="E199" s="94">
        <v>13.41</v>
      </c>
      <c r="F199" s="94">
        <f>($C$4/E199)+F198</f>
        <v>20.855069811019135</v>
      </c>
      <c r="G199" s="56">
        <v>6500</v>
      </c>
      <c r="H199" s="56">
        <v>2</v>
      </c>
      <c r="I199" s="94">
        <f>E199-E198</f>
        <v>0</v>
      </c>
      <c r="J199" s="56">
        <f>(0.5*VEHICLE!$C$71*VEHICLE!$C$28*VEHICLE!$C$27*'Drive Cycle'!E199^2)</f>
        <v>159.97581505520998</v>
      </c>
      <c r="K199" s="56">
        <f>IF(A199=1,VEHICLE!$S$5,IF(A199=2,VEHICLE!$Q$5,IF(A199=3,VEHICLE!$R$5,IF(A199=4,VEHICLE!$P$5,1))))</f>
        <v>72.351594900000009</v>
      </c>
      <c r="L199" s="56">
        <v>0</v>
      </c>
      <c r="M199" s="56">
        <f t="shared" si="52"/>
        <v>0</v>
      </c>
      <c r="N199" s="56">
        <f t="shared" si="45"/>
        <v>0</v>
      </c>
      <c r="O199" s="56">
        <f t="shared" si="46"/>
        <v>0</v>
      </c>
      <c r="P199" s="56">
        <f t="shared" si="47"/>
        <v>232.32740995520999</v>
      </c>
      <c r="Q199" s="56">
        <f>IF(H199=1,I199*VEHICLE!$C$69,IF(H199=2,VEHICLE!$C$70*I199,IF(H199=3,VEHICLE!$C$71*I199,0)))</f>
        <v>0</v>
      </c>
      <c r="R199" s="56">
        <f>(J199+K199+O199+Q199)</f>
        <v>232.32740995520999</v>
      </c>
      <c r="S199" s="56">
        <f t="shared" si="48"/>
        <v>232.32740995520999</v>
      </c>
      <c r="T199" s="56">
        <f>ABS((R199)/((2*PI()*G199)/60))</f>
        <v>0.34131743732408198</v>
      </c>
      <c r="U199" s="56">
        <f t="shared" si="49"/>
        <v>1</v>
      </c>
      <c r="V199" s="56">
        <f>INDEX(BSFC!$D$4:$AD$26,MATCH(U199,BSFC!$B$4:$B$26,0),MATCH(G199,BSFC!$D$2:$AD$2,0))</f>
        <v>925.65735288000019</v>
      </c>
      <c r="W199" s="56">
        <f t="shared" si="53"/>
        <v>5.9737659805723972E-2</v>
      </c>
      <c r="X199" s="56">
        <f t="shared" si="50"/>
        <v>5.9737659805723972E-2</v>
      </c>
      <c r="Y199" s="56">
        <f t="shared" si="51"/>
        <v>0.18458936879968707</v>
      </c>
      <c r="Z199" s="79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x14ac:dyDescent="0.3">
      <c r="A200" s="55">
        <v>1</v>
      </c>
      <c r="B200" s="56" t="s">
        <v>103</v>
      </c>
      <c r="C200" s="56">
        <f t="shared" si="39"/>
        <v>197</v>
      </c>
      <c r="D200" s="56">
        <f t="shared" si="44"/>
        <v>29.998170000000002</v>
      </c>
      <c r="E200" s="94">
        <v>13.41</v>
      </c>
      <c r="F200" s="94">
        <f>($C$4/E200)+F199</f>
        <v>20.929641026529946</v>
      </c>
      <c r="G200" s="56">
        <v>6500</v>
      </c>
      <c r="H200" s="56">
        <v>2</v>
      </c>
      <c r="I200" s="94">
        <f>E200-E199</f>
        <v>0</v>
      </c>
      <c r="J200" s="56">
        <f>(0.5*VEHICLE!$C$71*VEHICLE!$C$28*VEHICLE!$C$27*'Drive Cycle'!E200^2)</f>
        <v>159.97581505520998</v>
      </c>
      <c r="K200" s="56">
        <f>IF(A200=1,VEHICLE!$S$5,IF(A200=2,VEHICLE!$Q$5,IF(A200=3,VEHICLE!$R$5,IF(A200=4,VEHICLE!$P$5,1))))</f>
        <v>72.351594900000009</v>
      </c>
      <c r="L200" s="56">
        <v>0</v>
      </c>
      <c r="M200" s="56">
        <f t="shared" si="52"/>
        <v>0</v>
      </c>
      <c r="N200" s="56">
        <f t="shared" si="45"/>
        <v>0</v>
      </c>
      <c r="O200" s="56">
        <f t="shared" si="46"/>
        <v>0</v>
      </c>
      <c r="P200" s="56">
        <f t="shared" si="47"/>
        <v>232.32740995520999</v>
      </c>
      <c r="Q200" s="56">
        <f>IF(H200=1,I200*VEHICLE!$C$69,IF(H200=2,VEHICLE!$C$70*I200,IF(H200=3,VEHICLE!$C$71*I200,0)))</f>
        <v>0</v>
      </c>
      <c r="R200" s="56">
        <f>(J200+K200+O200+Q200)</f>
        <v>232.32740995520999</v>
      </c>
      <c r="S200" s="56">
        <f t="shared" si="48"/>
        <v>232.32740995520999</v>
      </c>
      <c r="T200" s="56">
        <f>ABS((R200)/((2*PI()*G200)/60))</f>
        <v>0.34131743732408198</v>
      </c>
      <c r="U200" s="56">
        <f t="shared" si="49"/>
        <v>1</v>
      </c>
      <c r="V200" s="56">
        <f>INDEX(BSFC!$D$4:$AD$26,MATCH(U200,BSFC!$B$4:$B$26,0),MATCH(G200,BSFC!$D$2:$AD$2,0))</f>
        <v>925.65735288000019</v>
      </c>
      <c r="W200" s="56">
        <f t="shared" si="53"/>
        <v>5.9737659805723972E-2</v>
      </c>
      <c r="X200" s="56">
        <f t="shared" si="50"/>
        <v>5.9737659805723972E-2</v>
      </c>
      <c r="Y200" s="56">
        <f t="shared" si="51"/>
        <v>0.18458936879968707</v>
      </c>
      <c r="Z200" s="79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x14ac:dyDescent="0.3">
      <c r="A201" s="55">
        <v>1</v>
      </c>
      <c r="B201" s="56" t="s">
        <v>103</v>
      </c>
      <c r="C201" s="56">
        <f t="shared" si="39"/>
        <v>198</v>
      </c>
      <c r="D201" s="56">
        <f t="shared" si="44"/>
        <v>29.998170000000002</v>
      </c>
      <c r="E201" s="94">
        <v>13.41</v>
      </c>
      <c r="F201" s="94">
        <f>($C$4/E201)+F200</f>
        <v>21.004212242040758</v>
      </c>
      <c r="G201" s="56">
        <v>6500</v>
      </c>
      <c r="H201" s="56">
        <v>2</v>
      </c>
      <c r="I201" s="94">
        <f>E201-E200</f>
        <v>0</v>
      </c>
      <c r="J201" s="56">
        <f>(0.5*VEHICLE!$C$71*VEHICLE!$C$28*VEHICLE!$C$27*'Drive Cycle'!E201^2)</f>
        <v>159.97581505520998</v>
      </c>
      <c r="K201" s="56">
        <f>IF(A201=1,VEHICLE!$S$5,IF(A201=2,VEHICLE!$Q$5,IF(A201=3,VEHICLE!$R$5,IF(A201=4,VEHICLE!$P$5,1))))</f>
        <v>72.351594900000009</v>
      </c>
      <c r="L201" s="56">
        <v>0</v>
      </c>
      <c r="M201" s="56">
        <f t="shared" si="52"/>
        <v>0</v>
      </c>
      <c r="N201" s="56">
        <f t="shared" si="45"/>
        <v>0</v>
      </c>
      <c r="O201" s="56">
        <f t="shared" si="46"/>
        <v>0</v>
      </c>
      <c r="P201" s="56">
        <f t="shared" si="47"/>
        <v>232.32740995520999</v>
      </c>
      <c r="Q201" s="56">
        <f>IF(H201=1,I201*VEHICLE!$C$69,IF(H201=2,VEHICLE!$C$70*I201,IF(H201=3,VEHICLE!$C$71*I201,0)))</f>
        <v>0</v>
      </c>
      <c r="R201" s="56">
        <f>(J201+K201+O201+Q201)</f>
        <v>232.32740995520999</v>
      </c>
      <c r="S201" s="56">
        <f t="shared" si="48"/>
        <v>232.32740995520999</v>
      </c>
      <c r="T201" s="56">
        <f>ABS((R201)/((2*PI()*G201)/60))</f>
        <v>0.34131743732408198</v>
      </c>
      <c r="U201" s="56">
        <f t="shared" si="49"/>
        <v>1</v>
      </c>
      <c r="V201" s="56">
        <f>INDEX(BSFC!$D$4:$AD$26,MATCH(U201,BSFC!$B$4:$B$26,0),MATCH(G201,BSFC!$D$2:$AD$2,0))</f>
        <v>925.65735288000019</v>
      </c>
      <c r="W201" s="56">
        <f t="shared" si="53"/>
        <v>5.9737659805723972E-2</v>
      </c>
      <c r="X201" s="56">
        <f t="shared" si="50"/>
        <v>5.9737659805723972E-2</v>
      </c>
      <c r="Y201" s="56">
        <f t="shared" si="51"/>
        <v>0.18458936879968707</v>
      </c>
      <c r="Z201" s="79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x14ac:dyDescent="0.3">
      <c r="A202" s="55">
        <v>1</v>
      </c>
      <c r="B202" s="56" t="s">
        <v>103</v>
      </c>
      <c r="C202" s="56">
        <f t="shared" si="39"/>
        <v>199</v>
      </c>
      <c r="D202" s="56">
        <f t="shared" si="44"/>
        <v>29.998170000000002</v>
      </c>
      <c r="E202" s="94">
        <v>13.41</v>
      </c>
      <c r="F202" s="94">
        <f>($C$4/E202)+F201</f>
        <v>21.07878345755157</v>
      </c>
      <c r="G202" s="56">
        <v>6500</v>
      </c>
      <c r="H202" s="56">
        <v>2</v>
      </c>
      <c r="I202" s="94">
        <f>E202-E201</f>
        <v>0</v>
      </c>
      <c r="J202" s="56">
        <f>(0.5*VEHICLE!$C$71*VEHICLE!$C$28*VEHICLE!$C$27*'Drive Cycle'!E202^2)</f>
        <v>159.97581505520998</v>
      </c>
      <c r="K202" s="56">
        <f>IF(A202=1,VEHICLE!$S$5,IF(A202=2,VEHICLE!$Q$5,IF(A202=3,VEHICLE!$R$5,IF(A202=4,VEHICLE!$P$5,1))))</f>
        <v>72.351594900000009</v>
      </c>
      <c r="L202" s="56">
        <v>0</v>
      </c>
      <c r="M202" s="56">
        <f t="shared" si="52"/>
        <v>0</v>
      </c>
      <c r="N202" s="56">
        <f t="shared" si="45"/>
        <v>0</v>
      </c>
      <c r="O202" s="56">
        <f t="shared" si="46"/>
        <v>0</v>
      </c>
      <c r="P202" s="56">
        <f t="shared" si="47"/>
        <v>232.32740995520999</v>
      </c>
      <c r="Q202" s="56">
        <f>IF(H202=1,I202*VEHICLE!$C$69,IF(H202=2,VEHICLE!$C$70*I202,IF(H202=3,VEHICLE!$C$71*I202,0)))</f>
        <v>0</v>
      </c>
      <c r="R202" s="56">
        <f>(J202+K202+O202+Q202)</f>
        <v>232.32740995520999</v>
      </c>
      <c r="S202" s="56">
        <f t="shared" si="48"/>
        <v>232.32740995520999</v>
      </c>
      <c r="T202" s="56">
        <f>ABS((R202)/((2*PI()*G202)/60))</f>
        <v>0.34131743732408198</v>
      </c>
      <c r="U202" s="56">
        <f t="shared" si="49"/>
        <v>1</v>
      </c>
      <c r="V202" s="56">
        <f>INDEX(BSFC!$D$4:$AD$26,MATCH(U202,BSFC!$B$4:$B$26,0),MATCH(G202,BSFC!$D$2:$AD$2,0))</f>
        <v>925.65735288000019</v>
      </c>
      <c r="W202" s="56">
        <f t="shared" si="53"/>
        <v>5.9737659805723972E-2</v>
      </c>
      <c r="X202" s="56">
        <f t="shared" si="50"/>
        <v>5.9737659805723972E-2</v>
      </c>
      <c r="Y202" s="56">
        <f t="shared" si="51"/>
        <v>0.18458936879968707</v>
      </c>
      <c r="Z202" s="79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x14ac:dyDescent="0.3">
      <c r="A203" s="55">
        <v>1</v>
      </c>
      <c r="B203" s="56" t="s">
        <v>103</v>
      </c>
      <c r="C203" s="56">
        <f t="shared" si="39"/>
        <v>200</v>
      </c>
      <c r="D203" s="56">
        <f t="shared" si="44"/>
        <v>29.998170000000002</v>
      </c>
      <c r="E203" s="94">
        <v>13.41</v>
      </c>
      <c r="F203" s="94">
        <f>($C$4/E203)+F202</f>
        <v>21.153354673062381</v>
      </c>
      <c r="G203" s="56">
        <v>6500</v>
      </c>
      <c r="H203" s="56">
        <v>2</v>
      </c>
      <c r="I203" s="94">
        <f>E203-E202</f>
        <v>0</v>
      </c>
      <c r="J203" s="56">
        <f>(0.5*VEHICLE!$C$71*VEHICLE!$C$28*VEHICLE!$C$27*'Drive Cycle'!E203^2)</f>
        <v>159.97581505520998</v>
      </c>
      <c r="K203" s="56">
        <f>IF(A203=1,VEHICLE!$S$5,IF(A203=2,VEHICLE!$Q$5,IF(A203=3,VEHICLE!$R$5,IF(A203=4,VEHICLE!$P$5,1))))</f>
        <v>72.351594900000009</v>
      </c>
      <c r="L203" s="56">
        <v>0</v>
      </c>
      <c r="M203" s="56">
        <f t="shared" si="52"/>
        <v>0</v>
      </c>
      <c r="N203" s="56">
        <f t="shared" si="45"/>
        <v>0</v>
      </c>
      <c r="O203" s="56">
        <f t="shared" si="46"/>
        <v>0</v>
      </c>
      <c r="P203" s="56">
        <f t="shared" si="47"/>
        <v>232.32740995520999</v>
      </c>
      <c r="Q203" s="56">
        <f>IF(H203=1,I203*VEHICLE!$C$69,IF(H203=2,VEHICLE!$C$70*I203,IF(H203=3,VEHICLE!$C$71*I203,0)))</f>
        <v>0</v>
      </c>
      <c r="R203" s="56">
        <f>(J203+K203+O203+Q203)</f>
        <v>232.32740995520999</v>
      </c>
      <c r="S203" s="56">
        <f t="shared" si="48"/>
        <v>232.32740995520999</v>
      </c>
      <c r="T203" s="56">
        <f>ABS((R203)/((2*PI()*G203)/60))</f>
        <v>0.34131743732408198</v>
      </c>
      <c r="U203" s="56">
        <f t="shared" si="49"/>
        <v>1</v>
      </c>
      <c r="V203" s="56">
        <f>INDEX(BSFC!$D$4:$AD$26,MATCH(U203,BSFC!$B$4:$B$26,0),MATCH(G203,BSFC!$D$2:$AD$2,0))</f>
        <v>925.65735288000019</v>
      </c>
      <c r="W203" s="56">
        <f t="shared" si="53"/>
        <v>5.9737659805723972E-2</v>
      </c>
      <c r="X203" s="56">
        <f t="shared" si="50"/>
        <v>5.9737659805723972E-2</v>
      </c>
      <c r="Y203" s="56">
        <f t="shared" si="51"/>
        <v>0.18458936879968707</v>
      </c>
      <c r="Z203" s="79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x14ac:dyDescent="0.3">
      <c r="A204" s="55">
        <v>1</v>
      </c>
      <c r="B204" s="56" t="s">
        <v>103</v>
      </c>
      <c r="C204" s="56">
        <f t="shared" si="39"/>
        <v>201</v>
      </c>
      <c r="D204" s="56">
        <f t="shared" si="44"/>
        <v>29.998170000000002</v>
      </c>
      <c r="E204" s="94">
        <v>13.41</v>
      </c>
      <c r="F204" s="94">
        <f>($C$4/E204)+F203</f>
        <v>21.227925888573193</v>
      </c>
      <c r="G204" s="56">
        <v>6500</v>
      </c>
      <c r="H204" s="56">
        <v>2</v>
      </c>
      <c r="I204" s="94">
        <f>E204-E203</f>
        <v>0</v>
      </c>
      <c r="J204" s="56">
        <f>(0.5*VEHICLE!$C$71*VEHICLE!$C$28*VEHICLE!$C$27*'Drive Cycle'!E204^2)</f>
        <v>159.97581505520998</v>
      </c>
      <c r="K204" s="56">
        <f>IF(A204=1,VEHICLE!$S$5,IF(A204=2,VEHICLE!$Q$5,IF(A204=3,VEHICLE!$R$5,IF(A204=4,VEHICLE!$P$5,1))))</f>
        <v>72.351594900000009</v>
      </c>
      <c r="L204" s="56">
        <v>0</v>
      </c>
      <c r="M204" s="56">
        <f t="shared" si="52"/>
        <v>0</v>
      </c>
      <c r="N204" s="56">
        <f t="shared" si="45"/>
        <v>0</v>
      </c>
      <c r="O204" s="56">
        <f t="shared" si="46"/>
        <v>0</v>
      </c>
      <c r="P204" s="56">
        <f t="shared" si="47"/>
        <v>232.32740995520999</v>
      </c>
      <c r="Q204" s="56">
        <f>IF(H204=1,I204*VEHICLE!$C$69,IF(H204=2,VEHICLE!$C$70*I204,IF(H204=3,VEHICLE!$C$71*I204,0)))</f>
        <v>0</v>
      </c>
      <c r="R204" s="56">
        <f>(J204+K204+O204+Q204)</f>
        <v>232.32740995520999</v>
      </c>
      <c r="S204" s="56">
        <f t="shared" si="48"/>
        <v>232.32740995520999</v>
      </c>
      <c r="T204" s="56">
        <f>ABS((R204)/((2*PI()*G204)/60))</f>
        <v>0.34131743732408198</v>
      </c>
      <c r="U204" s="56">
        <f t="shared" si="49"/>
        <v>1</v>
      </c>
      <c r="V204" s="56">
        <f>INDEX(BSFC!$D$4:$AD$26,MATCH(U204,BSFC!$B$4:$B$26,0),MATCH(G204,BSFC!$D$2:$AD$2,0))</f>
        <v>925.65735288000019</v>
      </c>
      <c r="W204" s="56">
        <f t="shared" si="53"/>
        <v>5.9737659805723972E-2</v>
      </c>
      <c r="X204" s="56">
        <f t="shared" si="50"/>
        <v>5.9737659805723972E-2</v>
      </c>
      <c r="Y204" s="56">
        <f t="shared" si="51"/>
        <v>0.18458936879968707</v>
      </c>
      <c r="Z204" s="79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x14ac:dyDescent="0.3">
      <c r="A205" s="55">
        <v>1</v>
      </c>
      <c r="B205" s="56" t="s">
        <v>103</v>
      </c>
      <c r="C205" s="56">
        <f t="shared" si="39"/>
        <v>202</v>
      </c>
      <c r="D205" s="56">
        <f t="shared" si="44"/>
        <v>29.998170000000002</v>
      </c>
      <c r="E205" s="94">
        <v>13.41</v>
      </c>
      <c r="F205" s="94">
        <f>($C$4/E205)+F204</f>
        <v>21.302497104084004</v>
      </c>
      <c r="G205" s="56">
        <v>6500</v>
      </c>
      <c r="H205" s="56">
        <v>3</v>
      </c>
      <c r="I205" s="94">
        <f>E205-E204</f>
        <v>0</v>
      </c>
      <c r="J205" s="56">
        <f>(0.5*VEHICLE!$C$71*VEHICLE!$C$28*VEHICLE!$C$27*'Drive Cycle'!E205^2)</f>
        <v>159.97581505520998</v>
      </c>
      <c r="K205" s="56">
        <f>IF(A205=1,VEHICLE!$S$5,IF(A205=2,VEHICLE!$Q$5,IF(A205=3,VEHICLE!$R$5,IF(A205=4,VEHICLE!$P$5,1))))</f>
        <v>72.351594900000009</v>
      </c>
      <c r="L205" s="56">
        <v>0</v>
      </c>
      <c r="M205" s="56">
        <f t="shared" si="52"/>
        <v>0</v>
      </c>
      <c r="N205" s="56">
        <f t="shared" si="45"/>
        <v>0</v>
      </c>
      <c r="O205" s="56">
        <f t="shared" si="46"/>
        <v>0</v>
      </c>
      <c r="P205" s="56">
        <f t="shared" si="47"/>
        <v>232.32740995520999</v>
      </c>
      <c r="Q205" s="56">
        <f>IF(H205=1,I205*VEHICLE!$C$69,IF(H205=2,VEHICLE!$C$70*I205,IF(H205=3,VEHICLE!$C$71*I205,0)))</f>
        <v>0</v>
      </c>
      <c r="R205" s="56">
        <f>(J205+K205+O205+Q205)</f>
        <v>232.32740995520999</v>
      </c>
      <c r="S205" s="56">
        <f t="shared" si="48"/>
        <v>232.32740995520999</v>
      </c>
      <c r="T205" s="56">
        <f>ABS((R205)/((2*PI()*G205)/60))</f>
        <v>0.34131743732408198</v>
      </c>
      <c r="U205" s="56">
        <f t="shared" si="49"/>
        <v>1</v>
      </c>
      <c r="V205" s="56">
        <f>INDEX(BSFC!$D$4:$AD$26,MATCH(U205,BSFC!$B$4:$B$26,0),MATCH(G205,BSFC!$D$2:$AD$2,0))</f>
        <v>925.65735288000019</v>
      </c>
      <c r="W205" s="56">
        <f t="shared" si="53"/>
        <v>5.9737659805723972E-2</v>
      </c>
      <c r="X205" s="56">
        <f t="shared" si="50"/>
        <v>5.9737659805723972E-2</v>
      </c>
      <c r="Y205" s="56">
        <f t="shared" si="51"/>
        <v>0.18458936879968707</v>
      </c>
      <c r="Z205" s="79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x14ac:dyDescent="0.3">
      <c r="A206" s="55">
        <v>1</v>
      </c>
      <c r="B206" s="56" t="s">
        <v>103</v>
      </c>
      <c r="C206" s="56">
        <f t="shared" si="39"/>
        <v>203</v>
      </c>
      <c r="D206" s="56">
        <f t="shared" si="44"/>
        <v>29.998170000000002</v>
      </c>
      <c r="E206" s="94">
        <v>13.41</v>
      </c>
      <c r="F206" s="94">
        <f>($C$4/E206)+F205</f>
        <v>21.377068319594816</v>
      </c>
      <c r="G206" s="56">
        <v>6500</v>
      </c>
      <c r="H206" s="56">
        <v>3</v>
      </c>
      <c r="I206" s="94">
        <f>E206-E205</f>
        <v>0</v>
      </c>
      <c r="J206" s="56">
        <f>(0.5*VEHICLE!$C$71*VEHICLE!$C$28*VEHICLE!$C$27*'Drive Cycle'!E206^2)</f>
        <v>159.97581505520998</v>
      </c>
      <c r="K206" s="56">
        <f>IF(A206=1,VEHICLE!$S$5,IF(A206=2,VEHICLE!$Q$5,IF(A206=3,VEHICLE!$R$5,IF(A206=4,VEHICLE!$P$5,1))))</f>
        <v>72.351594900000009</v>
      </c>
      <c r="L206" s="56">
        <v>0</v>
      </c>
      <c r="M206" s="56">
        <f t="shared" si="52"/>
        <v>0</v>
      </c>
      <c r="N206" s="56">
        <f t="shared" si="45"/>
        <v>0</v>
      </c>
      <c r="O206" s="56">
        <f t="shared" si="46"/>
        <v>0</v>
      </c>
      <c r="P206" s="56">
        <f t="shared" si="47"/>
        <v>232.32740995520999</v>
      </c>
      <c r="Q206" s="56">
        <f>IF(H206=1,I206*VEHICLE!$C$69,IF(H206=2,VEHICLE!$C$70*I206,IF(H206=3,VEHICLE!$C$71*I206,0)))</f>
        <v>0</v>
      </c>
      <c r="R206" s="56">
        <f>(J206+K206+O206+Q206)</f>
        <v>232.32740995520999</v>
      </c>
      <c r="S206" s="56">
        <f t="shared" si="48"/>
        <v>232.32740995520999</v>
      </c>
      <c r="T206" s="56">
        <f>ABS((R206)/((2*PI()*G206)/60))</f>
        <v>0.34131743732408198</v>
      </c>
      <c r="U206" s="56">
        <f t="shared" si="49"/>
        <v>1</v>
      </c>
      <c r="V206" s="56">
        <f>INDEX(BSFC!$D$4:$AD$26,MATCH(U206,BSFC!$B$4:$B$26,0),MATCH(G206,BSFC!$D$2:$AD$2,0))</f>
        <v>925.65735288000019</v>
      </c>
      <c r="W206" s="56">
        <f t="shared" si="53"/>
        <v>5.9737659805723972E-2</v>
      </c>
      <c r="X206" s="56">
        <f t="shared" si="50"/>
        <v>5.9737659805723972E-2</v>
      </c>
      <c r="Y206" s="56">
        <f t="shared" si="51"/>
        <v>0.18458936879968707</v>
      </c>
      <c r="Z206" s="79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x14ac:dyDescent="0.3">
      <c r="A207" s="55">
        <v>1</v>
      </c>
      <c r="B207" s="56" t="s">
        <v>103</v>
      </c>
      <c r="C207" s="56">
        <f t="shared" si="39"/>
        <v>204</v>
      </c>
      <c r="D207" s="56">
        <f t="shared" si="44"/>
        <v>29.998170000000002</v>
      </c>
      <c r="E207" s="94">
        <v>13.41</v>
      </c>
      <c r="F207" s="94">
        <f>($C$4/E207)+F206</f>
        <v>21.451639535105627</v>
      </c>
      <c r="G207" s="56">
        <v>6500</v>
      </c>
      <c r="H207" s="56">
        <v>3</v>
      </c>
      <c r="I207" s="94">
        <f>E207-E206</f>
        <v>0</v>
      </c>
      <c r="J207" s="56">
        <f>(0.5*VEHICLE!$C$71*VEHICLE!$C$28*VEHICLE!$C$27*'Drive Cycle'!E207^2)</f>
        <v>159.97581505520998</v>
      </c>
      <c r="K207" s="56">
        <f>IF(A207=1,VEHICLE!$S$5,IF(A207=2,VEHICLE!$Q$5,IF(A207=3,VEHICLE!$R$5,IF(A207=4,VEHICLE!$P$5,1))))</f>
        <v>72.351594900000009</v>
      </c>
      <c r="L207" s="56">
        <v>0</v>
      </c>
      <c r="M207" s="56">
        <f t="shared" si="52"/>
        <v>0</v>
      </c>
      <c r="N207" s="56">
        <f t="shared" si="45"/>
        <v>0</v>
      </c>
      <c r="O207" s="56">
        <f t="shared" si="46"/>
        <v>0</v>
      </c>
      <c r="P207" s="56">
        <f t="shared" si="47"/>
        <v>232.32740995520999</v>
      </c>
      <c r="Q207" s="56">
        <f>IF(H207=1,I207*VEHICLE!$C$69,IF(H207=2,VEHICLE!$C$70*I207,IF(H207=3,VEHICLE!$C$71*I207,0)))</f>
        <v>0</v>
      </c>
      <c r="R207" s="56">
        <f>(J207+K207+O207+Q207)</f>
        <v>232.32740995520999</v>
      </c>
      <c r="S207" s="56">
        <f t="shared" si="48"/>
        <v>232.32740995520999</v>
      </c>
      <c r="T207" s="56">
        <f>ABS((R207)/((2*PI()*G207)/60))</f>
        <v>0.34131743732408198</v>
      </c>
      <c r="U207" s="56">
        <f t="shared" si="49"/>
        <v>1</v>
      </c>
      <c r="V207" s="56">
        <f>INDEX(BSFC!$D$4:$AD$26,MATCH(U207,BSFC!$B$4:$B$26,0),MATCH(G207,BSFC!$D$2:$AD$2,0))</f>
        <v>925.65735288000019</v>
      </c>
      <c r="W207" s="56">
        <f t="shared" si="53"/>
        <v>5.9737659805723972E-2</v>
      </c>
      <c r="X207" s="56">
        <f t="shared" si="50"/>
        <v>5.9737659805723972E-2</v>
      </c>
      <c r="Y207" s="56">
        <f t="shared" si="51"/>
        <v>0.18458936879968707</v>
      </c>
      <c r="Z207" s="79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x14ac:dyDescent="0.3">
      <c r="A208" s="55">
        <v>1</v>
      </c>
      <c r="B208" s="56" t="s">
        <v>103</v>
      </c>
      <c r="C208" s="56">
        <f t="shared" si="39"/>
        <v>205</v>
      </c>
      <c r="D208" s="56">
        <f t="shared" si="44"/>
        <v>29.998170000000002</v>
      </c>
      <c r="E208" s="94">
        <v>13.41</v>
      </c>
      <c r="F208" s="94">
        <f>($C$4/E208)+F207</f>
        <v>21.526210750616439</v>
      </c>
      <c r="G208" s="56">
        <v>6500</v>
      </c>
      <c r="H208" s="56">
        <v>3</v>
      </c>
      <c r="I208" s="94">
        <f>E208-E207</f>
        <v>0</v>
      </c>
      <c r="J208" s="56">
        <f>(0.5*VEHICLE!$C$71*VEHICLE!$C$28*VEHICLE!$C$27*'Drive Cycle'!E208^2)</f>
        <v>159.97581505520998</v>
      </c>
      <c r="K208" s="56">
        <f>IF(A208=1,VEHICLE!$S$5,IF(A208=2,VEHICLE!$Q$5,IF(A208=3,VEHICLE!$R$5,IF(A208=4,VEHICLE!$P$5,1))))</f>
        <v>72.351594900000009</v>
      </c>
      <c r="L208" s="56">
        <v>0</v>
      </c>
      <c r="M208" s="56">
        <f t="shared" si="52"/>
        <v>0</v>
      </c>
      <c r="N208" s="56">
        <f t="shared" si="45"/>
        <v>0</v>
      </c>
      <c r="O208" s="56">
        <f t="shared" si="46"/>
        <v>0</v>
      </c>
      <c r="P208" s="56">
        <f t="shared" si="47"/>
        <v>232.32740995520999</v>
      </c>
      <c r="Q208" s="56">
        <f>IF(H208=1,I208*VEHICLE!$C$69,IF(H208=2,VEHICLE!$C$70*I208,IF(H208=3,VEHICLE!$C$71*I208,0)))</f>
        <v>0</v>
      </c>
      <c r="R208" s="56">
        <f>(J208+K208+O208+Q208)</f>
        <v>232.32740995520999</v>
      </c>
      <c r="S208" s="56">
        <f t="shared" si="48"/>
        <v>232.32740995520999</v>
      </c>
      <c r="T208" s="56">
        <f>ABS((R208)/((2*PI()*G208)/60))</f>
        <v>0.34131743732408198</v>
      </c>
      <c r="U208" s="56">
        <f t="shared" si="49"/>
        <v>1</v>
      </c>
      <c r="V208" s="56">
        <f>INDEX(BSFC!$D$4:$AD$26,MATCH(U208,BSFC!$B$4:$B$26,0),MATCH(G208,BSFC!$D$2:$AD$2,0))</f>
        <v>925.65735288000019</v>
      </c>
      <c r="W208" s="56">
        <f t="shared" si="53"/>
        <v>5.9737659805723972E-2</v>
      </c>
      <c r="X208" s="56">
        <f t="shared" si="50"/>
        <v>5.9737659805723972E-2</v>
      </c>
      <c r="Y208" s="56">
        <f t="shared" si="51"/>
        <v>0.18458936879968707</v>
      </c>
      <c r="Z208" s="79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x14ac:dyDescent="0.3">
      <c r="A209" s="55">
        <v>1</v>
      </c>
      <c r="B209" s="56" t="s">
        <v>103</v>
      </c>
      <c r="C209" s="56">
        <f t="shared" si="39"/>
        <v>206</v>
      </c>
      <c r="D209" s="56">
        <f t="shared" si="44"/>
        <v>29.998170000000002</v>
      </c>
      <c r="E209" s="94">
        <v>13.41</v>
      </c>
      <c r="F209" s="94">
        <f>($C$4/E209)+F208</f>
        <v>21.600781966127251</v>
      </c>
      <c r="G209" s="56">
        <v>6500</v>
      </c>
      <c r="H209" s="56">
        <v>3</v>
      </c>
      <c r="I209" s="94">
        <f>E209-E208</f>
        <v>0</v>
      </c>
      <c r="J209" s="56">
        <f>(0.5*VEHICLE!$C$71*VEHICLE!$C$28*VEHICLE!$C$27*'Drive Cycle'!E209^2)</f>
        <v>159.97581505520998</v>
      </c>
      <c r="K209" s="56">
        <f>IF(A209=1,VEHICLE!$S$5,IF(A209=2,VEHICLE!$Q$5,IF(A209=3,VEHICLE!$R$5,IF(A209=4,VEHICLE!$P$5,1))))</f>
        <v>72.351594900000009</v>
      </c>
      <c r="L209" s="56">
        <v>0</v>
      </c>
      <c r="M209" s="56">
        <f t="shared" si="52"/>
        <v>0</v>
      </c>
      <c r="N209" s="56">
        <f t="shared" si="45"/>
        <v>0</v>
      </c>
      <c r="O209" s="56">
        <f t="shared" si="46"/>
        <v>0</v>
      </c>
      <c r="P209" s="56">
        <f t="shared" si="47"/>
        <v>232.32740995520999</v>
      </c>
      <c r="Q209" s="56">
        <f>IF(H209=1,I209*VEHICLE!$C$69,IF(H209=2,VEHICLE!$C$70*I209,IF(H209=3,VEHICLE!$C$71*I209,0)))</f>
        <v>0</v>
      </c>
      <c r="R209" s="56">
        <f>(J209+K209+O209+Q209)</f>
        <v>232.32740995520999</v>
      </c>
      <c r="S209" s="56">
        <f t="shared" si="48"/>
        <v>232.32740995520999</v>
      </c>
      <c r="T209" s="56">
        <f>ABS((R209)/((2*PI()*G209)/60))</f>
        <v>0.34131743732408198</v>
      </c>
      <c r="U209" s="56">
        <f t="shared" si="49"/>
        <v>1</v>
      </c>
      <c r="V209" s="56">
        <f>INDEX(BSFC!$D$4:$AD$26,MATCH(U209,BSFC!$B$4:$B$26,0),MATCH(G209,BSFC!$D$2:$AD$2,0))</f>
        <v>925.65735288000019</v>
      </c>
      <c r="W209" s="56">
        <f t="shared" si="53"/>
        <v>5.9737659805723972E-2</v>
      </c>
      <c r="X209" s="56">
        <f t="shared" si="50"/>
        <v>5.9737659805723972E-2</v>
      </c>
      <c r="Y209" s="56">
        <f t="shared" si="51"/>
        <v>0.18458936879968707</v>
      </c>
      <c r="Z209" s="79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x14ac:dyDescent="0.3">
      <c r="A210" s="55">
        <v>1</v>
      </c>
      <c r="B210" s="56" t="s">
        <v>103</v>
      </c>
      <c r="C210" s="56">
        <f t="shared" si="39"/>
        <v>207</v>
      </c>
      <c r="D210" s="56">
        <f t="shared" si="44"/>
        <v>29.998170000000002</v>
      </c>
      <c r="E210" s="94">
        <v>13.41</v>
      </c>
      <c r="F210" s="94">
        <f>($C$4/E210)+F209</f>
        <v>21.675353181638062</v>
      </c>
      <c r="G210" s="56">
        <v>6500</v>
      </c>
      <c r="H210" s="56">
        <v>3</v>
      </c>
      <c r="I210" s="94">
        <f>E210-E209</f>
        <v>0</v>
      </c>
      <c r="J210" s="56">
        <f>(0.5*VEHICLE!$C$71*VEHICLE!$C$28*VEHICLE!$C$27*'Drive Cycle'!E210^2)</f>
        <v>159.97581505520998</v>
      </c>
      <c r="K210" s="56">
        <f>IF(A210=1,VEHICLE!$S$5,IF(A210=2,VEHICLE!$Q$5,IF(A210=3,VEHICLE!$R$5,IF(A210=4,VEHICLE!$P$5,1))))</f>
        <v>72.351594900000009</v>
      </c>
      <c r="L210" s="56">
        <v>0</v>
      </c>
      <c r="M210" s="56">
        <f t="shared" si="52"/>
        <v>0</v>
      </c>
      <c r="N210" s="56">
        <f t="shared" si="45"/>
        <v>0</v>
      </c>
      <c r="O210" s="56">
        <f t="shared" si="46"/>
        <v>0</v>
      </c>
      <c r="P210" s="56">
        <f t="shared" si="47"/>
        <v>232.32740995520999</v>
      </c>
      <c r="Q210" s="56">
        <f>IF(H210=1,I210*VEHICLE!$C$69,IF(H210=2,VEHICLE!$C$70*I210,IF(H210=3,VEHICLE!$C$71*I210,0)))</f>
        <v>0</v>
      </c>
      <c r="R210" s="56">
        <f>(J210+K210+O210+Q210)</f>
        <v>232.32740995520999</v>
      </c>
      <c r="S210" s="56">
        <f t="shared" si="48"/>
        <v>232.32740995520999</v>
      </c>
      <c r="T210" s="56">
        <f>ABS((R210)/((2*PI()*G210)/60))</f>
        <v>0.34131743732408198</v>
      </c>
      <c r="U210" s="56">
        <f t="shared" si="49"/>
        <v>1</v>
      </c>
      <c r="V210" s="56">
        <f>INDEX(BSFC!$D$4:$AD$26,MATCH(U210,BSFC!$B$4:$B$26,0),MATCH(G210,BSFC!$D$2:$AD$2,0))</f>
        <v>925.65735288000019</v>
      </c>
      <c r="W210" s="56">
        <f t="shared" si="53"/>
        <v>5.9737659805723972E-2</v>
      </c>
      <c r="X210" s="56">
        <f t="shared" si="50"/>
        <v>5.9737659805723972E-2</v>
      </c>
      <c r="Y210" s="56">
        <f t="shared" si="51"/>
        <v>0.18458936879968707</v>
      </c>
      <c r="Z210" s="79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x14ac:dyDescent="0.3">
      <c r="A211" s="55">
        <v>1</v>
      </c>
      <c r="B211" s="56" t="s">
        <v>103</v>
      </c>
      <c r="C211" s="56">
        <f t="shared" si="39"/>
        <v>208</v>
      </c>
      <c r="D211" s="56">
        <f t="shared" si="44"/>
        <v>29.998170000000002</v>
      </c>
      <c r="E211" s="94">
        <v>13.41</v>
      </c>
      <c r="F211" s="94">
        <f>($C$4/E211)+F210</f>
        <v>21.749924397148874</v>
      </c>
      <c r="G211" s="56">
        <v>6500</v>
      </c>
      <c r="H211" s="56">
        <v>3</v>
      </c>
      <c r="I211" s="94">
        <f>E211-E210</f>
        <v>0</v>
      </c>
      <c r="J211" s="56">
        <f>(0.5*VEHICLE!$C$71*VEHICLE!$C$28*VEHICLE!$C$27*'Drive Cycle'!E211^2)</f>
        <v>159.97581505520998</v>
      </c>
      <c r="K211" s="56">
        <f>IF(A211=1,VEHICLE!$S$5,IF(A211=2,VEHICLE!$Q$5,IF(A211=3,VEHICLE!$R$5,IF(A211=4,VEHICLE!$P$5,1))))</f>
        <v>72.351594900000009</v>
      </c>
      <c r="L211" s="56">
        <v>0</v>
      </c>
      <c r="M211" s="56">
        <f t="shared" si="52"/>
        <v>0</v>
      </c>
      <c r="N211" s="56">
        <f t="shared" si="45"/>
        <v>0</v>
      </c>
      <c r="O211" s="56">
        <f t="shared" si="46"/>
        <v>0</v>
      </c>
      <c r="P211" s="56">
        <f t="shared" si="47"/>
        <v>232.32740995520999</v>
      </c>
      <c r="Q211" s="56">
        <f>IF(H211=1,I211*VEHICLE!$C$69,IF(H211=2,VEHICLE!$C$70*I211,IF(H211=3,VEHICLE!$C$71*I211,0)))</f>
        <v>0</v>
      </c>
      <c r="R211" s="56">
        <f>(J211+K211+O211+Q211)</f>
        <v>232.32740995520999</v>
      </c>
      <c r="S211" s="56">
        <f t="shared" si="48"/>
        <v>232.32740995520999</v>
      </c>
      <c r="T211" s="56">
        <f>ABS((R211)/((2*PI()*G211)/60))</f>
        <v>0.34131743732408198</v>
      </c>
      <c r="U211" s="56">
        <f t="shared" si="49"/>
        <v>1</v>
      </c>
      <c r="V211" s="56">
        <f>INDEX(BSFC!$D$4:$AD$26,MATCH(U211,BSFC!$B$4:$B$26,0),MATCH(G211,BSFC!$D$2:$AD$2,0))</f>
        <v>925.65735288000019</v>
      </c>
      <c r="W211" s="56">
        <f t="shared" si="53"/>
        <v>5.9737659805723972E-2</v>
      </c>
      <c r="X211" s="56">
        <f t="shared" si="50"/>
        <v>5.9737659805723972E-2</v>
      </c>
      <c r="Y211" s="56">
        <f t="shared" si="51"/>
        <v>0.18458936879968707</v>
      </c>
      <c r="Z211" s="79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x14ac:dyDescent="0.3">
      <c r="A212" s="55">
        <v>1</v>
      </c>
      <c r="B212" s="56" t="s">
        <v>103</v>
      </c>
      <c r="C212" s="56">
        <f t="shared" si="39"/>
        <v>209</v>
      </c>
      <c r="D212" s="56">
        <f t="shared" si="44"/>
        <v>29.998170000000002</v>
      </c>
      <c r="E212" s="94">
        <v>13.41</v>
      </c>
      <c r="F212" s="94">
        <f>($C$4/E212)+F211</f>
        <v>21.824495612659685</v>
      </c>
      <c r="G212" s="56">
        <v>6500</v>
      </c>
      <c r="H212" s="56">
        <v>3</v>
      </c>
      <c r="I212" s="94">
        <f>E212-E211</f>
        <v>0</v>
      </c>
      <c r="J212" s="56">
        <f>(0.5*VEHICLE!$C$71*VEHICLE!$C$28*VEHICLE!$C$27*'Drive Cycle'!E212^2)</f>
        <v>159.97581505520998</v>
      </c>
      <c r="K212" s="56">
        <f>IF(A212=1,VEHICLE!$S$5,IF(A212=2,VEHICLE!$Q$5,IF(A212=3,VEHICLE!$R$5,IF(A212=4,VEHICLE!$P$5,1))))</f>
        <v>72.351594900000009</v>
      </c>
      <c r="L212" s="56">
        <v>0</v>
      </c>
      <c r="M212" s="56">
        <f t="shared" si="52"/>
        <v>0</v>
      </c>
      <c r="N212" s="56">
        <f t="shared" si="45"/>
        <v>0</v>
      </c>
      <c r="O212" s="56">
        <f t="shared" si="46"/>
        <v>0</v>
      </c>
      <c r="P212" s="56">
        <f t="shared" si="47"/>
        <v>232.32740995520999</v>
      </c>
      <c r="Q212" s="56">
        <f>IF(H212=1,I212*VEHICLE!$C$69,IF(H212=2,VEHICLE!$C$70*I212,IF(H212=3,VEHICLE!$C$71*I212,0)))</f>
        <v>0</v>
      </c>
      <c r="R212" s="56">
        <f>(J212+K212+O212+Q212)</f>
        <v>232.32740995520999</v>
      </c>
      <c r="S212" s="56">
        <f t="shared" si="48"/>
        <v>232.32740995520999</v>
      </c>
      <c r="T212" s="56">
        <f>ABS((R212)/((2*PI()*G212)/60))</f>
        <v>0.34131743732408198</v>
      </c>
      <c r="U212" s="56">
        <f t="shared" si="49"/>
        <v>1</v>
      </c>
      <c r="V212" s="56">
        <f>INDEX(BSFC!$D$4:$AD$26,MATCH(U212,BSFC!$B$4:$B$26,0),MATCH(G212,BSFC!$D$2:$AD$2,0))</f>
        <v>925.65735288000019</v>
      </c>
      <c r="W212" s="56">
        <f t="shared" si="53"/>
        <v>5.9737659805723972E-2</v>
      </c>
      <c r="X212" s="56">
        <f t="shared" si="50"/>
        <v>5.9737659805723972E-2</v>
      </c>
      <c r="Y212" s="56">
        <f t="shared" si="51"/>
        <v>0.18458936879968707</v>
      </c>
      <c r="Z212" s="79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x14ac:dyDescent="0.3">
      <c r="A213" s="55">
        <v>1</v>
      </c>
      <c r="B213" s="56" t="s">
        <v>103</v>
      </c>
      <c r="C213" s="56">
        <f t="shared" si="39"/>
        <v>210</v>
      </c>
      <c r="D213" s="56">
        <f t="shared" si="44"/>
        <v>29.998170000000002</v>
      </c>
      <c r="E213" s="94">
        <v>13.41</v>
      </c>
      <c r="F213" s="94">
        <f>($C$4/E213)+F212</f>
        <v>21.899066828170497</v>
      </c>
      <c r="G213" s="56">
        <v>6500</v>
      </c>
      <c r="H213" s="56">
        <v>3</v>
      </c>
      <c r="I213" s="94">
        <f>E213-E212</f>
        <v>0</v>
      </c>
      <c r="J213" s="56">
        <f>(0.5*VEHICLE!$C$71*VEHICLE!$C$28*VEHICLE!$C$27*'Drive Cycle'!E213^2)</f>
        <v>159.97581505520998</v>
      </c>
      <c r="K213" s="56">
        <f>IF(A213=1,VEHICLE!$S$5,IF(A213=2,VEHICLE!$Q$5,IF(A213=3,VEHICLE!$R$5,IF(A213=4,VEHICLE!$P$5,1))))</f>
        <v>72.351594900000009</v>
      </c>
      <c r="L213" s="56">
        <v>0</v>
      </c>
      <c r="M213" s="56">
        <f t="shared" si="52"/>
        <v>0</v>
      </c>
      <c r="N213" s="56">
        <f t="shared" si="45"/>
        <v>0</v>
      </c>
      <c r="O213" s="56">
        <f t="shared" si="46"/>
        <v>0</v>
      </c>
      <c r="P213" s="56">
        <f t="shared" si="47"/>
        <v>232.32740995520999</v>
      </c>
      <c r="Q213" s="56">
        <f>IF(H213=1,I213*VEHICLE!$C$69,IF(H213=2,VEHICLE!$C$70*I213,IF(H213=3,VEHICLE!$C$71*I213,0)))</f>
        <v>0</v>
      </c>
      <c r="R213" s="56">
        <f>(J213+K213+O213+Q213)</f>
        <v>232.32740995520999</v>
      </c>
      <c r="S213" s="56">
        <f t="shared" si="48"/>
        <v>232.32740995520999</v>
      </c>
      <c r="T213" s="56">
        <f>ABS((R213)/((2*PI()*G213)/60))</f>
        <v>0.34131743732408198</v>
      </c>
      <c r="U213" s="56">
        <f t="shared" si="49"/>
        <v>1</v>
      </c>
      <c r="V213" s="56">
        <f>INDEX(BSFC!$D$4:$AD$26,MATCH(U213,BSFC!$B$4:$B$26,0),MATCH(G213,BSFC!$D$2:$AD$2,0))</f>
        <v>925.65735288000019</v>
      </c>
      <c r="W213" s="56">
        <f t="shared" si="53"/>
        <v>5.9737659805723972E-2</v>
      </c>
      <c r="X213" s="56">
        <f t="shared" si="50"/>
        <v>5.9737659805723972E-2</v>
      </c>
      <c r="Y213" s="56">
        <f t="shared" si="51"/>
        <v>0.18458936879968707</v>
      </c>
      <c r="Z213" s="79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x14ac:dyDescent="0.3">
      <c r="A214" s="55">
        <v>1</v>
      </c>
      <c r="B214" s="56" t="s">
        <v>103</v>
      </c>
      <c r="C214" s="56">
        <f t="shared" si="39"/>
        <v>211</v>
      </c>
      <c r="D214" s="56">
        <f t="shared" si="44"/>
        <v>29.998170000000002</v>
      </c>
      <c r="E214" s="94">
        <v>13.41</v>
      </c>
      <c r="F214" s="94">
        <f>($C$4/E214)+F213</f>
        <v>21.973638043681309</v>
      </c>
      <c r="G214" s="56">
        <v>6500</v>
      </c>
      <c r="H214" s="56">
        <v>3</v>
      </c>
      <c r="I214" s="94">
        <f>E214-E213</f>
        <v>0</v>
      </c>
      <c r="J214" s="56">
        <f>(0.5*VEHICLE!$C$71*VEHICLE!$C$28*VEHICLE!$C$27*'Drive Cycle'!E214^2)</f>
        <v>159.97581505520998</v>
      </c>
      <c r="K214" s="56">
        <f>IF(A214=1,VEHICLE!$S$5,IF(A214=2,VEHICLE!$Q$5,IF(A214=3,VEHICLE!$R$5,IF(A214=4,VEHICLE!$P$5,1))))</f>
        <v>72.351594900000009</v>
      </c>
      <c r="L214" s="56">
        <v>0</v>
      </c>
      <c r="M214" s="56">
        <f t="shared" si="52"/>
        <v>0</v>
      </c>
      <c r="N214" s="56">
        <f t="shared" si="45"/>
        <v>0</v>
      </c>
      <c r="O214" s="56">
        <f t="shared" si="46"/>
        <v>0</v>
      </c>
      <c r="P214" s="56">
        <f t="shared" si="47"/>
        <v>232.32740995520999</v>
      </c>
      <c r="Q214" s="56">
        <f>IF(H214=1,I214*VEHICLE!$C$69,IF(H214=2,VEHICLE!$C$70*I214,IF(H214=3,VEHICLE!$C$71*I214,0)))</f>
        <v>0</v>
      </c>
      <c r="R214" s="56">
        <f>(J214+K214+O214+Q214)</f>
        <v>232.32740995520999</v>
      </c>
      <c r="S214" s="56">
        <f t="shared" si="48"/>
        <v>232.32740995520999</v>
      </c>
      <c r="T214" s="56">
        <f>ABS((R214)/((2*PI()*G214)/60))</f>
        <v>0.34131743732408198</v>
      </c>
      <c r="U214" s="56">
        <f t="shared" si="49"/>
        <v>1</v>
      </c>
      <c r="V214" s="56">
        <f>INDEX(BSFC!$D$4:$AD$26,MATCH(U214,BSFC!$B$4:$B$26,0),MATCH(G214,BSFC!$D$2:$AD$2,0))</f>
        <v>925.65735288000019</v>
      </c>
      <c r="W214" s="56">
        <f t="shared" si="53"/>
        <v>5.9737659805723972E-2</v>
      </c>
      <c r="X214" s="56">
        <f t="shared" si="50"/>
        <v>5.9737659805723972E-2</v>
      </c>
      <c r="Y214" s="56">
        <f t="shared" si="51"/>
        <v>0.18458936879968707</v>
      </c>
      <c r="Z214" s="79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x14ac:dyDescent="0.3">
      <c r="A215" s="55">
        <v>1</v>
      </c>
      <c r="B215" s="56" t="s">
        <v>103</v>
      </c>
      <c r="C215" s="56">
        <f t="shared" si="39"/>
        <v>212</v>
      </c>
      <c r="D215" s="56">
        <f t="shared" si="44"/>
        <v>29.998170000000002</v>
      </c>
      <c r="E215" s="94">
        <v>13.41</v>
      </c>
      <c r="F215" s="94">
        <f>($C$4/E215)+F214</f>
        <v>22.04820925919212</v>
      </c>
      <c r="G215" s="56">
        <v>6500</v>
      </c>
      <c r="H215" s="56">
        <v>3</v>
      </c>
      <c r="I215" s="94">
        <f>E215-E214</f>
        <v>0</v>
      </c>
      <c r="J215" s="56">
        <f>(0.5*VEHICLE!$C$71*VEHICLE!$C$28*VEHICLE!$C$27*'Drive Cycle'!E215^2)</f>
        <v>159.97581505520998</v>
      </c>
      <c r="K215" s="56">
        <f>IF(A215=1,VEHICLE!$S$5,IF(A215=2,VEHICLE!$Q$5,IF(A215=3,VEHICLE!$R$5,IF(A215=4,VEHICLE!$P$5,1))))</f>
        <v>72.351594900000009</v>
      </c>
      <c r="L215" s="56">
        <v>0</v>
      </c>
      <c r="M215" s="56">
        <f t="shared" si="52"/>
        <v>0</v>
      </c>
      <c r="N215" s="56">
        <f t="shared" si="45"/>
        <v>0</v>
      </c>
      <c r="O215" s="56">
        <f t="shared" si="46"/>
        <v>0</v>
      </c>
      <c r="P215" s="56">
        <f t="shared" si="47"/>
        <v>232.32740995520999</v>
      </c>
      <c r="Q215" s="56">
        <f>IF(H215=1,I215*VEHICLE!$C$69,IF(H215=2,VEHICLE!$C$70*I215,IF(H215=3,VEHICLE!$C$71*I215,0)))</f>
        <v>0</v>
      </c>
      <c r="R215" s="56">
        <f>(J215+K215+O215+Q215)</f>
        <v>232.32740995520999</v>
      </c>
      <c r="S215" s="56">
        <f t="shared" si="48"/>
        <v>232.32740995520999</v>
      </c>
      <c r="T215" s="56">
        <f>ABS((R215)/((2*PI()*G215)/60))</f>
        <v>0.34131743732408198</v>
      </c>
      <c r="U215" s="56">
        <f t="shared" si="49"/>
        <v>1</v>
      </c>
      <c r="V215" s="56">
        <f>INDEX(BSFC!$D$4:$AD$26,MATCH(U215,BSFC!$B$4:$B$26,0),MATCH(G215,BSFC!$D$2:$AD$2,0))</f>
        <v>925.65735288000019</v>
      </c>
      <c r="W215" s="56">
        <f t="shared" si="53"/>
        <v>5.9737659805723972E-2</v>
      </c>
      <c r="X215" s="56">
        <f t="shared" si="50"/>
        <v>5.9737659805723972E-2</v>
      </c>
      <c r="Y215" s="56">
        <f t="shared" si="51"/>
        <v>0.18458936879968707</v>
      </c>
      <c r="Z215" s="79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x14ac:dyDescent="0.3">
      <c r="A216" s="55">
        <v>1</v>
      </c>
      <c r="B216" s="56" t="s">
        <v>103</v>
      </c>
      <c r="C216" s="56">
        <f t="shared" si="39"/>
        <v>213</v>
      </c>
      <c r="D216" s="56">
        <f t="shared" si="44"/>
        <v>29.998170000000002</v>
      </c>
      <c r="E216" s="94">
        <v>13.41</v>
      </c>
      <c r="F216" s="94">
        <f>($C$4/E216)+F215</f>
        <v>22.122780474702932</v>
      </c>
      <c r="G216" s="56">
        <v>6500</v>
      </c>
      <c r="H216" s="56">
        <v>3</v>
      </c>
      <c r="I216" s="94">
        <f>E216-E215</f>
        <v>0</v>
      </c>
      <c r="J216" s="56">
        <f>(0.5*VEHICLE!$C$71*VEHICLE!$C$28*VEHICLE!$C$27*'Drive Cycle'!E216^2)</f>
        <v>159.97581505520998</v>
      </c>
      <c r="K216" s="56">
        <f>IF(A216=1,VEHICLE!$S$5,IF(A216=2,VEHICLE!$Q$5,IF(A216=3,VEHICLE!$R$5,IF(A216=4,VEHICLE!$P$5,1))))</f>
        <v>72.351594900000009</v>
      </c>
      <c r="L216" s="56">
        <v>0</v>
      </c>
      <c r="M216" s="56">
        <f t="shared" si="52"/>
        <v>0</v>
      </c>
      <c r="N216" s="56">
        <f t="shared" si="45"/>
        <v>0</v>
      </c>
      <c r="O216" s="56">
        <f t="shared" si="46"/>
        <v>0</v>
      </c>
      <c r="P216" s="56">
        <f t="shared" si="47"/>
        <v>232.32740995520999</v>
      </c>
      <c r="Q216" s="56">
        <f>IF(H216=1,I216*VEHICLE!$C$69,IF(H216=2,VEHICLE!$C$70*I216,IF(H216=3,VEHICLE!$C$71*I216,0)))</f>
        <v>0</v>
      </c>
      <c r="R216" s="56">
        <f>(J216+K216+O216+Q216)</f>
        <v>232.32740995520999</v>
      </c>
      <c r="S216" s="56">
        <f t="shared" si="48"/>
        <v>232.32740995520999</v>
      </c>
      <c r="T216" s="56">
        <f>ABS((R216)/((2*PI()*G216)/60))</f>
        <v>0.34131743732408198</v>
      </c>
      <c r="U216" s="56">
        <f t="shared" si="49"/>
        <v>1</v>
      </c>
      <c r="V216" s="56">
        <f>INDEX(BSFC!$D$4:$AD$26,MATCH(U216,BSFC!$B$4:$B$26,0),MATCH(G216,BSFC!$D$2:$AD$2,0))</f>
        <v>925.65735288000019</v>
      </c>
      <c r="W216" s="56">
        <f t="shared" si="53"/>
        <v>5.9737659805723972E-2</v>
      </c>
      <c r="X216" s="56">
        <f t="shared" si="50"/>
        <v>5.9737659805723972E-2</v>
      </c>
      <c r="Y216" s="56">
        <f t="shared" si="51"/>
        <v>0.18458936879968707</v>
      </c>
      <c r="Z216" s="79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x14ac:dyDescent="0.3">
      <c r="A217" s="55">
        <v>1</v>
      </c>
      <c r="B217" s="56" t="s">
        <v>103</v>
      </c>
      <c r="C217" s="56">
        <f t="shared" si="39"/>
        <v>214</v>
      </c>
      <c r="D217" s="56">
        <f t="shared" si="44"/>
        <v>27.76117</v>
      </c>
      <c r="E217" s="94">
        <f>E216-1</f>
        <v>12.41</v>
      </c>
      <c r="F217" s="94">
        <f>($C$4/E217)+F216</f>
        <v>22.20336065197932</v>
      </c>
      <c r="G217" s="56">
        <v>6500</v>
      </c>
      <c r="H217" s="56">
        <v>3</v>
      </c>
      <c r="I217" s="94">
        <f>E217-E216</f>
        <v>-1</v>
      </c>
      <c r="J217" s="56">
        <f>(0.5*VEHICLE!$C$71*VEHICLE!$C$28*VEHICLE!$C$27*'Drive Cycle'!E217^2)</f>
        <v>137.00623719320998</v>
      </c>
      <c r="K217" s="56">
        <f>IF(A217=1,VEHICLE!$S$5,IF(A217=2,VEHICLE!$Q$5,IF(A217=3,VEHICLE!$R$5,IF(A217=4,VEHICLE!$P$5,1))))</f>
        <v>72.351594900000009</v>
      </c>
      <c r="L217" s="56">
        <v>0</v>
      </c>
      <c r="M217" s="56">
        <f t="shared" si="52"/>
        <v>0</v>
      </c>
      <c r="N217" s="56">
        <f t="shared" si="45"/>
        <v>0</v>
      </c>
      <c r="O217" s="56">
        <f t="shared" si="46"/>
        <v>0</v>
      </c>
      <c r="P217" s="56">
        <f t="shared" si="47"/>
        <v>209.35783209320999</v>
      </c>
      <c r="Q217" s="56">
        <f>IF(H217=1,I217*VEHICLE!$C$69,IF(H217=2,VEHICLE!$C$70*I217,IF(H217=3,VEHICLE!$C$71*I217,0)))</f>
        <v>-1.167</v>
      </c>
      <c r="R217" s="56">
        <f>(J217+K217+O217+Q217)</f>
        <v>208.19083209320999</v>
      </c>
      <c r="S217" s="56">
        <f t="shared" si="48"/>
        <v>208.19083209320999</v>
      </c>
      <c r="T217" s="56">
        <f>ABS((R217)/((2*PI()*G217)/60))</f>
        <v>0.30585784646814623</v>
      </c>
      <c r="U217" s="56">
        <f t="shared" si="49"/>
        <v>1</v>
      </c>
      <c r="V217" s="56">
        <f>INDEX(BSFC!$D$4:$AD$26,MATCH(U217,BSFC!$B$4:$B$26,0),MATCH(G217,BSFC!$D$2:$AD$2,0))</f>
        <v>925.65735288000019</v>
      </c>
      <c r="W217" s="56">
        <f t="shared" si="53"/>
        <v>5.3531492924801492E-2</v>
      </c>
      <c r="X217" s="56">
        <f t="shared" si="50"/>
        <v>5.3531492924801492E-2</v>
      </c>
      <c r="Y217" s="56">
        <f t="shared" si="51"/>
        <v>0.1654123131376366</v>
      </c>
      <c r="Z217" s="79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x14ac:dyDescent="0.3">
      <c r="A218" s="55">
        <v>1</v>
      </c>
      <c r="B218" s="56" t="s">
        <v>103</v>
      </c>
      <c r="C218" s="56">
        <f t="shared" si="39"/>
        <v>215</v>
      </c>
      <c r="D218" s="56">
        <f t="shared" si="44"/>
        <v>25.524170000000002</v>
      </c>
      <c r="E218" s="94">
        <f t="shared" ref="E218:E226" si="54">E217-1</f>
        <v>11.41</v>
      </c>
      <c r="F218" s="94">
        <f>($C$4/E218)+F217</f>
        <v>22.291003070910083</v>
      </c>
      <c r="G218" s="56">
        <v>6500</v>
      </c>
      <c r="H218" s="56">
        <v>3</v>
      </c>
      <c r="I218" s="94">
        <f>E218-E217</f>
        <v>-1</v>
      </c>
      <c r="J218" s="56">
        <f>(0.5*VEHICLE!$C$71*VEHICLE!$C$28*VEHICLE!$C$27*'Drive Cycle'!E218^2)</f>
        <v>115.81586753120997</v>
      </c>
      <c r="K218" s="56">
        <f>IF(A218=1,VEHICLE!$S$5,IF(A218=2,VEHICLE!$Q$5,IF(A218=3,VEHICLE!$R$5,IF(A218=4,VEHICLE!$P$5,1))))</f>
        <v>72.351594900000009</v>
      </c>
      <c r="L218" s="56">
        <v>0</v>
      </c>
      <c r="M218" s="56">
        <f t="shared" si="52"/>
        <v>0</v>
      </c>
      <c r="N218" s="56">
        <f t="shared" si="45"/>
        <v>0</v>
      </c>
      <c r="O218" s="56">
        <f t="shared" si="46"/>
        <v>0</v>
      </c>
      <c r="P218" s="56">
        <f t="shared" si="47"/>
        <v>188.16746243120997</v>
      </c>
      <c r="Q218" s="56">
        <f>IF(H218=1,I218*VEHICLE!$C$69,IF(H218=2,VEHICLE!$C$70*I218,IF(H218=3,VEHICLE!$C$71*I218,0)))</f>
        <v>-1.167</v>
      </c>
      <c r="R218" s="56">
        <f>(J218+K218+O218+Q218)</f>
        <v>187.00046243120997</v>
      </c>
      <c r="S218" s="56">
        <f t="shared" si="48"/>
        <v>187.00046243120997</v>
      </c>
      <c r="T218" s="56">
        <f>ABS((R218)/((2*PI()*G218)/60))</f>
        <v>0.27472659652059078</v>
      </c>
      <c r="U218" s="56">
        <f t="shared" si="49"/>
        <v>1</v>
      </c>
      <c r="V218" s="56">
        <f>INDEX(BSFC!$D$4:$AD$26,MATCH(U218,BSFC!$B$4:$B$26,0),MATCH(G218,BSFC!$D$2:$AD$2,0))</f>
        <v>925.65735288000019</v>
      </c>
      <c r="W218" s="56">
        <f t="shared" si="53"/>
        <v>4.8082875844836039E-2</v>
      </c>
      <c r="X218" s="56">
        <f t="shared" si="50"/>
        <v>4.8082875844836039E-2</v>
      </c>
      <c r="Y218" s="56">
        <f t="shared" si="51"/>
        <v>0.14857608636054334</v>
      </c>
      <c r="Z218" s="79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x14ac:dyDescent="0.3">
      <c r="A219" s="55">
        <v>1</v>
      </c>
      <c r="B219" s="56" t="s">
        <v>103</v>
      </c>
      <c r="C219" s="56">
        <f t="shared" si="39"/>
        <v>216</v>
      </c>
      <c r="D219" s="56">
        <f t="shared" si="44"/>
        <v>23.28717</v>
      </c>
      <c r="E219" s="94">
        <f t="shared" si="54"/>
        <v>10.41</v>
      </c>
      <c r="F219" s="94">
        <f>($C$4/E219)+F218</f>
        <v>22.387064550256866</v>
      </c>
      <c r="G219" s="56">
        <v>6500</v>
      </c>
      <c r="H219" s="56">
        <v>3</v>
      </c>
      <c r="I219" s="94">
        <f>E219-E218</f>
        <v>-1</v>
      </c>
      <c r="J219" s="56">
        <f>(0.5*VEHICLE!$C$71*VEHICLE!$C$28*VEHICLE!$C$27*'Drive Cycle'!E219^2)</f>
        <v>96.404706069209993</v>
      </c>
      <c r="K219" s="56">
        <f>IF(A219=1,VEHICLE!$S$5,IF(A219=2,VEHICLE!$Q$5,IF(A219=3,VEHICLE!$R$5,IF(A219=4,VEHICLE!$P$5,1))))</f>
        <v>72.351594900000009</v>
      </c>
      <c r="L219" s="56">
        <v>0</v>
      </c>
      <c r="M219" s="56">
        <f t="shared" si="52"/>
        <v>0</v>
      </c>
      <c r="N219" s="56">
        <f t="shared" si="45"/>
        <v>0</v>
      </c>
      <c r="O219" s="56">
        <f t="shared" si="46"/>
        <v>0</v>
      </c>
      <c r="P219" s="56">
        <f t="shared" si="47"/>
        <v>168.75630096921</v>
      </c>
      <c r="Q219" s="56">
        <f>IF(H219=1,I219*VEHICLE!$C$69,IF(H219=2,VEHICLE!$C$70*I219,IF(H219=3,VEHICLE!$C$71*I219,0)))</f>
        <v>-1.167</v>
      </c>
      <c r="R219" s="56">
        <f>(J219+K219+O219+Q219)</f>
        <v>167.58930096921</v>
      </c>
      <c r="S219" s="56">
        <f t="shared" si="48"/>
        <v>167.58930096921</v>
      </c>
      <c r="T219" s="56">
        <f>ABS((R219)/((2*PI()*G219)/60))</f>
        <v>0.24620922146367819</v>
      </c>
      <c r="U219" s="56">
        <f t="shared" si="49"/>
        <v>1</v>
      </c>
      <c r="V219" s="56">
        <f>INDEX(BSFC!$D$4:$AD$26,MATCH(U219,BSFC!$B$4:$B$26,0),MATCH(G219,BSFC!$D$2:$AD$2,0))</f>
        <v>925.65735288000019</v>
      </c>
      <c r="W219" s="56">
        <f t="shared" si="53"/>
        <v>4.3091741307269046E-2</v>
      </c>
      <c r="X219" s="56">
        <f t="shared" si="50"/>
        <v>4.3091741307269046E-2</v>
      </c>
      <c r="Y219" s="56">
        <f t="shared" si="51"/>
        <v>0.13315348063946134</v>
      </c>
      <c r="Z219" s="79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x14ac:dyDescent="0.3">
      <c r="A220" s="55">
        <v>1</v>
      </c>
      <c r="B220" s="56" t="s">
        <v>103</v>
      </c>
      <c r="C220" s="56">
        <f t="shared" si="39"/>
        <v>217</v>
      </c>
      <c r="D220" s="56">
        <f t="shared" si="44"/>
        <v>21.050170000000001</v>
      </c>
      <c r="E220" s="94">
        <f t="shared" si="54"/>
        <v>9.41</v>
      </c>
      <c r="F220" s="94">
        <f>($C$4/E220)+F219</f>
        <v>22.493334475867918</v>
      </c>
      <c r="G220" s="56">
        <f t="shared" ref="G220:G226" si="55">G219-750</f>
        <v>5750</v>
      </c>
      <c r="H220" s="56">
        <v>2</v>
      </c>
      <c r="I220" s="94">
        <f>E220-E219</f>
        <v>-1</v>
      </c>
      <c r="J220" s="56">
        <f>(0.5*VEHICLE!$C$71*VEHICLE!$C$28*VEHICLE!$C$27*'Drive Cycle'!E220^2)</f>
        <v>78.772752807209997</v>
      </c>
      <c r="K220" s="56">
        <f>IF(A220=1,VEHICLE!$S$5,IF(A220=2,VEHICLE!$Q$5,IF(A220=3,VEHICLE!$R$5,IF(A220=4,VEHICLE!$P$5,1))))</f>
        <v>72.351594900000009</v>
      </c>
      <c r="L220" s="56">
        <v>0</v>
      </c>
      <c r="M220" s="56">
        <f t="shared" si="52"/>
        <v>0</v>
      </c>
      <c r="N220" s="56">
        <f t="shared" si="45"/>
        <v>0</v>
      </c>
      <c r="O220" s="56">
        <f t="shared" si="46"/>
        <v>0</v>
      </c>
      <c r="P220" s="56">
        <f t="shared" si="47"/>
        <v>151.12434770721001</v>
      </c>
      <c r="Q220" s="56">
        <f>IF(H220=1,I220*VEHICLE!$C$69,IF(H220=2,VEHICLE!$C$70*I220,IF(H220=3,VEHICLE!$C$71*I220,0)))</f>
        <v>-585.14848653011734</v>
      </c>
      <c r="R220" s="56">
        <f>(J220+K220+O220+Q220)</f>
        <v>-434.02413882290733</v>
      </c>
      <c r="S220" s="56">
        <f t="shared" si="48"/>
        <v>434.02413882290733</v>
      </c>
      <c r="T220" s="56">
        <f>ABS((R220)/((2*PI()*G220)/60))</f>
        <v>0.72080438728558638</v>
      </c>
      <c r="U220" s="56">
        <f t="shared" si="49"/>
        <v>1</v>
      </c>
      <c r="V220" s="56">
        <f>INDEX(BSFC!$D$4:$AD$26,MATCH(U220,BSFC!$B$4:$B$26,0),MATCH(G220,BSFC!$D$2:$AD$2,0))</f>
        <v>963.78871919999995</v>
      </c>
      <c r="W220" s="56">
        <f t="shared" si="53"/>
        <v>-0.11619654690500357</v>
      </c>
      <c r="X220" s="56">
        <f t="shared" si="50"/>
        <v>0.11619654690500357</v>
      </c>
      <c r="Y220" s="56">
        <f t="shared" si="51"/>
        <v>-0.35904732993646099</v>
      </c>
      <c r="Z220" s="79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x14ac:dyDescent="0.3">
      <c r="A221" s="55">
        <v>1</v>
      </c>
      <c r="B221" s="56" t="s">
        <v>103</v>
      </c>
      <c r="C221" s="56">
        <f t="shared" si="39"/>
        <v>218</v>
      </c>
      <c r="D221" s="56">
        <f t="shared" si="44"/>
        <v>18.81317</v>
      </c>
      <c r="E221" s="94">
        <f t="shared" si="54"/>
        <v>8.41</v>
      </c>
      <c r="F221" s="94">
        <f>($C$4/E221)+F220</f>
        <v>22.612240540077192</v>
      </c>
      <c r="G221" s="56">
        <f t="shared" si="55"/>
        <v>5000</v>
      </c>
      <c r="H221" s="56">
        <v>2</v>
      </c>
      <c r="I221" s="94">
        <f>E221-E220</f>
        <v>-1</v>
      </c>
      <c r="J221" s="56">
        <f>(0.5*VEHICLE!$C$71*VEHICLE!$C$28*VEHICLE!$C$27*'Drive Cycle'!E221^2)</f>
        <v>62.920007745209993</v>
      </c>
      <c r="K221" s="56">
        <f>IF(A221=1,VEHICLE!$S$5,IF(A221=2,VEHICLE!$Q$5,IF(A221=3,VEHICLE!$R$5,IF(A221=4,VEHICLE!$P$5,1))))</f>
        <v>72.351594900000009</v>
      </c>
      <c r="L221" s="56">
        <v>0</v>
      </c>
      <c r="M221" s="56">
        <f t="shared" si="52"/>
        <v>0</v>
      </c>
      <c r="N221" s="56">
        <f t="shared" si="45"/>
        <v>0</v>
      </c>
      <c r="O221" s="56">
        <f t="shared" si="46"/>
        <v>0</v>
      </c>
      <c r="P221" s="56">
        <f t="shared" si="47"/>
        <v>135.27160264521001</v>
      </c>
      <c r="Q221" s="56">
        <f>IF(H221=1,I221*VEHICLE!$C$69,IF(H221=2,VEHICLE!$C$70*I221,IF(H221=3,VEHICLE!$C$71*I221,0)))</f>
        <v>-585.14848653011734</v>
      </c>
      <c r="R221" s="56">
        <f>(J221+K221+O221+Q221)</f>
        <v>-449.87688388490733</v>
      </c>
      <c r="S221" s="56">
        <f t="shared" si="48"/>
        <v>449.87688388490733</v>
      </c>
      <c r="T221" s="56">
        <f>ABS((R221)/((2*PI()*G221)/60))</f>
        <v>0.8592015582367396</v>
      </c>
      <c r="U221" s="56">
        <f t="shared" si="49"/>
        <v>1</v>
      </c>
      <c r="V221" s="56">
        <f>INDEX(BSFC!$D$4:$AD$26,MATCH(U221,BSFC!$B$4:$B$26,0),MATCH(G221,BSFC!$D$2:$AD$2,0))</f>
        <v>967.30583135999973</v>
      </c>
      <c r="W221" s="56">
        <f t="shared" si="53"/>
        <v>-0.12088014810442677</v>
      </c>
      <c r="X221" s="56">
        <f t="shared" si="50"/>
        <v>0.12088014810442677</v>
      </c>
      <c r="Y221" s="56">
        <f t="shared" si="51"/>
        <v>-0.37351965764267869</v>
      </c>
      <c r="Z221" s="79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x14ac:dyDescent="0.3">
      <c r="A222" s="55">
        <v>1</v>
      </c>
      <c r="B222" s="56" t="s">
        <v>103</v>
      </c>
      <c r="C222" s="56">
        <f t="shared" si="39"/>
        <v>219</v>
      </c>
      <c r="D222" s="56">
        <f t="shared" si="44"/>
        <v>16.576170000000001</v>
      </c>
      <c r="E222" s="94">
        <f t="shared" si="54"/>
        <v>7.41</v>
      </c>
      <c r="F222" s="94">
        <f>($C$4/E222)+F221</f>
        <v>22.747193306608906</v>
      </c>
      <c r="G222" s="56">
        <f t="shared" si="55"/>
        <v>4250</v>
      </c>
      <c r="H222" s="56">
        <v>2</v>
      </c>
      <c r="I222" s="94">
        <f>E222-E221</f>
        <v>-1</v>
      </c>
      <c r="J222" s="56">
        <f>(0.5*VEHICLE!$C$71*VEHICLE!$C$28*VEHICLE!$C$27*'Drive Cycle'!E222^2)</f>
        <v>48.846470883209996</v>
      </c>
      <c r="K222" s="56">
        <f>IF(A222=1,VEHICLE!$S$5,IF(A222=2,VEHICLE!$Q$5,IF(A222=3,VEHICLE!$R$5,IF(A222=4,VEHICLE!$P$5,1))))</f>
        <v>72.351594900000009</v>
      </c>
      <c r="L222" s="56">
        <v>0</v>
      </c>
      <c r="M222" s="56">
        <f t="shared" si="52"/>
        <v>0</v>
      </c>
      <c r="N222" s="56">
        <f t="shared" si="45"/>
        <v>0</v>
      </c>
      <c r="O222" s="56">
        <f t="shared" si="46"/>
        <v>0</v>
      </c>
      <c r="P222" s="56">
        <f t="shared" si="47"/>
        <v>121.19806578321001</v>
      </c>
      <c r="Q222" s="56">
        <f>IF(H222=1,I222*VEHICLE!$C$69,IF(H222=2,VEHICLE!$C$70*I222,IF(H222=3,VEHICLE!$C$71*I222,0)))</f>
        <v>-585.14848653011734</v>
      </c>
      <c r="R222" s="56">
        <f>(J222+K222+O222+Q222)</f>
        <v>-463.9504207469073</v>
      </c>
      <c r="S222" s="56">
        <f t="shared" si="48"/>
        <v>463.9504207469073</v>
      </c>
      <c r="T222" s="56">
        <f>ABS((R222)/((2*PI()*G222)/60))</f>
        <v>1.0424470985143754</v>
      </c>
      <c r="U222" s="56">
        <f t="shared" si="49"/>
        <v>2</v>
      </c>
      <c r="V222" s="56">
        <f>INDEX(BSFC!$D$4:$AD$26,MATCH(U222,BSFC!$B$4:$B$26,0),MATCH(G222,BSFC!$D$2:$AD$2,0))</f>
        <v>913.43656767999983</v>
      </c>
      <c r="W222" s="56">
        <f t="shared" si="53"/>
        <v>-0.11771924441687411</v>
      </c>
      <c r="X222" s="56">
        <f t="shared" si="50"/>
        <v>0.11771924441687411</v>
      </c>
      <c r="Y222" s="56">
        <f t="shared" si="51"/>
        <v>-0.36375246524814098</v>
      </c>
      <c r="Z222" s="79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x14ac:dyDescent="0.3">
      <c r="A223" s="55">
        <v>1</v>
      </c>
      <c r="B223" s="56" t="s">
        <v>103</v>
      </c>
      <c r="C223" s="56">
        <f t="shared" si="39"/>
        <v>220</v>
      </c>
      <c r="D223" s="56">
        <f t="shared" si="44"/>
        <v>14.339170000000001</v>
      </c>
      <c r="E223" s="94">
        <f t="shared" si="54"/>
        <v>6.41</v>
      </c>
      <c r="F223" s="94">
        <f>($C$4/E223)+F222</f>
        <v>22.903199546858517</v>
      </c>
      <c r="G223" s="56">
        <f t="shared" si="55"/>
        <v>3500</v>
      </c>
      <c r="H223" s="56">
        <v>2</v>
      </c>
      <c r="I223" s="94">
        <f>E223-E222</f>
        <v>-1</v>
      </c>
      <c r="J223" s="56">
        <f>(0.5*VEHICLE!$C$71*VEHICLE!$C$28*VEHICLE!$C$27*'Drive Cycle'!E223^2)</f>
        <v>36.552142221209998</v>
      </c>
      <c r="K223" s="56">
        <f>IF(A223=1,VEHICLE!$S$5,IF(A223=2,VEHICLE!$Q$5,IF(A223=3,VEHICLE!$R$5,IF(A223=4,VEHICLE!$P$5,1))))</f>
        <v>72.351594900000009</v>
      </c>
      <c r="L223" s="56">
        <v>0</v>
      </c>
      <c r="M223" s="56">
        <f t="shared" si="52"/>
        <v>0</v>
      </c>
      <c r="N223" s="56">
        <f t="shared" si="45"/>
        <v>0</v>
      </c>
      <c r="O223" s="56">
        <f t="shared" si="46"/>
        <v>0</v>
      </c>
      <c r="P223" s="56">
        <f t="shared" si="47"/>
        <v>108.90373712121001</v>
      </c>
      <c r="Q223" s="56">
        <f>IF(H223=1,I223*VEHICLE!$C$69,IF(H223=2,VEHICLE!$C$70*I223,IF(H223=3,VEHICLE!$C$71*I223,0)))</f>
        <v>-585.14848653011734</v>
      </c>
      <c r="R223" s="56">
        <f>(J223+K223+O223+Q223)</f>
        <v>-476.2447494089073</v>
      </c>
      <c r="S223" s="56">
        <f t="shared" si="48"/>
        <v>476.2447494089073</v>
      </c>
      <c r="T223" s="56">
        <f>ABS((R223)/((2*PI()*G223)/60))</f>
        <v>1.2993721026855189</v>
      </c>
      <c r="U223" s="56">
        <f t="shared" si="49"/>
        <v>2</v>
      </c>
      <c r="V223" s="56">
        <f>INDEX(BSFC!$D$4:$AD$26,MATCH(U223,BSFC!$B$4:$B$26,0),MATCH(G223,BSFC!$D$2:$AD$2,0))</f>
        <v>905.74442879999992</v>
      </c>
      <c r="W223" s="56">
        <f t="shared" si="53"/>
        <v>-0.11982111903399162</v>
      </c>
      <c r="X223" s="56">
        <f t="shared" si="50"/>
        <v>0.11982111903399162</v>
      </c>
      <c r="Y223" s="56">
        <f t="shared" si="51"/>
        <v>-0.37024725781503409</v>
      </c>
      <c r="Z223" s="79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x14ac:dyDescent="0.3">
      <c r="A224" s="55">
        <v>1</v>
      </c>
      <c r="B224" s="56" t="s">
        <v>103</v>
      </c>
      <c r="C224" s="56">
        <f t="shared" si="39"/>
        <v>221</v>
      </c>
      <c r="D224" s="56">
        <f t="shared" si="44"/>
        <v>12.102170000000001</v>
      </c>
      <c r="E224" s="94">
        <f t="shared" si="54"/>
        <v>5.41</v>
      </c>
      <c r="F224" s="94">
        <f>($C$4/E224)+F223</f>
        <v>23.088042430407501</v>
      </c>
      <c r="G224" s="56">
        <f t="shared" si="55"/>
        <v>2750</v>
      </c>
      <c r="H224" s="56">
        <v>1</v>
      </c>
      <c r="I224" s="94">
        <f>E224-E223</f>
        <v>-1</v>
      </c>
      <c r="J224" s="56">
        <f>(0.5*VEHICLE!$C$71*VEHICLE!$C$28*VEHICLE!$C$27*'Drive Cycle'!E224^2)</f>
        <v>26.037021759209999</v>
      </c>
      <c r="K224" s="56">
        <f>IF(A224=1,VEHICLE!$S$5,IF(A224=2,VEHICLE!$Q$5,IF(A224=3,VEHICLE!$R$5,IF(A224=4,VEHICLE!$P$5,1))))</f>
        <v>72.351594900000009</v>
      </c>
      <c r="L224" s="56">
        <v>0</v>
      </c>
      <c r="M224" s="56">
        <f t="shared" si="52"/>
        <v>0</v>
      </c>
      <c r="N224" s="56">
        <f t="shared" si="45"/>
        <v>0</v>
      </c>
      <c r="O224" s="56">
        <f t="shared" si="46"/>
        <v>0</v>
      </c>
      <c r="P224" s="56">
        <f t="shared" si="47"/>
        <v>98.388616659210015</v>
      </c>
      <c r="Q224" s="56">
        <f>IF(H224=1,I224*VEHICLE!$C$69,IF(H224=2,VEHICLE!$C$70*I224,IF(H224=3,VEHICLE!$C$71*I224,0)))</f>
        <v>-587.32023542819468</v>
      </c>
      <c r="R224" s="56">
        <f>(J224+K224+O224+Q224)</f>
        <v>-488.93161876898466</v>
      </c>
      <c r="S224" s="56">
        <f t="shared" si="48"/>
        <v>488.93161876898466</v>
      </c>
      <c r="T224" s="56">
        <f>ABS((R224)/((2*PI()*G224)/60))</f>
        <v>1.697801104603768</v>
      </c>
      <c r="U224" s="56">
        <f t="shared" si="49"/>
        <v>2</v>
      </c>
      <c r="V224" s="56">
        <f>INDEX(BSFC!$D$4:$AD$26,MATCH(U224,BSFC!$B$4:$B$26,0),MATCH(G224,BSFC!$D$2:$AD$2,0))</f>
        <v>947.2398822400005</v>
      </c>
      <c r="W224" s="56">
        <f t="shared" si="53"/>
        <v>-0.12864875805170717</v>
      </c>
      <c r="X224" s="56">
        <f t="shared" si="50"/>
        <v>0.12864875805170717</v>
      </c>
      <c r="Y224" s="56">
        <f t="shared" si="51"/>
        <v>-0.39752466237977513</v>
      </c>
      <c r="Z224" s="79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x14ac:dyDescent="0.3">
      <c r="A225" s="55">
        <v>1</v>
      </c>
      <c r="B225" s="56" t="s">
        <v>103</v>
      </c>
      <c r="C225" s="56">
        <f t="shared" si="39"/>
        <v>222</v>
      </c>
      <c r="D225" s="56">
        <f t="shared" si="44"/>
        <v>9.8651700000000009</v>
      </c>
      <c r="E225" s="94">
        <f t="shared" si="54"/>
        <v>4.41</v>
      </c>
      <c r="F225" s="94">
        <f>($C$4/E225)+F224</f>
        <v>23.314799800022016</v>
      </c>
      <c r="G225" s="56">
        <f t="shared" si="55"/>
        <v>2000</v>
      </c>
      <c r="H225" s="56">
        <v>1</v>
      </c>
      <c r="I225" s="94">
        <f>E225-E224</f>
        <v>-1</v>
      </c>
      <c r="J225" s="56">
        <f>(0.5*VEHICLE!$C$71*VEHICLE!$C$28*VEHICLE!$C$27*'Drive Cycle'!E225^2)</f>
        <v>17.30110949721</v>
      </c>
      <c r="K225" s="56">
        <f>IF(A225=1,VEHICLE!$S$5,IF(A225=2,VEHICLE!$Q$5,IF(A225=3,VEHICLE!$R$5,IF(A225=4,VEHICLE!$P$5,1))))</f>
        <v>72.351594900000009</v>
      </c>
      <c r="L225" s="56">
        <v>0</v>
      </c>
      <c r="M225" s="56">
        <f t="shared" si="52"/>
        <v>0</v>
      </c>
      <c r="N225" s="56">
        <f t="shared" si="45"/>
        <v>0</v>
      </c>
      <c r="O225" s="56">
        <f t="shared" si="46"/>
        <v>0</v>
      </c>
      <c r="P225" s="56">
        <f t="shared" si="47"/>
        <v>89.652704397210016</v>
      </c>
      <c r="Q225" s="56">
        <f>IF(H225=1,I225*VEHICLE!$C$69,IF(H225=2,VEHICLE!$C$70*I225,IF(H225=3,VEHICLE!$C$71*I225,0)))</f>
        <v>-587.32023542819468</v>
      </c>
      <c r="R225" s="56">
        <f>(J225+K225+O225+Q225)</f>
        <v>-497.66753103098466</v>
      </c>
      <c r="S225" s="56">
        <f t="shared" si="48"/>
        <v>497.66753103098466</v>
      </c>
      <c r="T225" s="56">
        <f>ABS((R225)/((2*PI()*G225)/60))</f>
        <v>2.3761874273976127</v>
      </c>
      <c r="U225" s="56">
        <f t="shared" si="49"/>
        <v>3</v>
      </c>
      <c r="V225" s="56">
        <f>INDEX(BSFC!$D$4:$AD$26,MATCH(U225,BSFC!$B$4:$B$26,0),MATCH(G225,BSFC!$D$2:$AD$2,0))</f>
        <v>871.70053920000043</v>
      </c>
      <c r="W225" s="56">
        <f t="shared" si="53"/>
        <v>-0.12050473753945619</v>
      </c>
      <c r="X225" s="56">
        <f t="shared" si="50"/>
        <v>0.12050473753945619</v>
      </c>
      <c r="Y225" s="56">
        <f t="shared" si="51"/>
        <v>-0.3723596389969196</v>
      </c>
      <c r="Z225" s="79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x14ac:dyDescent="0.3">
      <c r="A226" s="55">
        <v>1</v>
      </c>
      <c r="B226" s="56" t="s">
        <v>103</v>
      </c>
      <c r="C226" s="56">
        <f t="shared" si="39"/>
        <v>223</v>
      </c>
      <c r="D226" s="56">
        <f t="shared" si="44"/>
        <v>7.6281700000000008</v>
      </c>
      <c r="E226" s="94">
        <f t="shared" si="54"/>
        <v>3.41</v>
      </c>
      <c r="F226" s="94">
        <f>($C$4/E226)+F225</f>
        <v>23.608054931986825</v>
      </c>
      <c r="G226" s="56">
        <f t="shared" si="55"/>
        <v>1250</v>
      </c>
      <c r="H226" s="56">
        <v>1</v>
      </c>
      <c r="I226" s="94">
        <f>E226-E225</f>
        <v>-1</v>
      </c>
      <c r="J226" s="56">
        <f>(0.5*VEHICLE!$C$71*VEHICLE!$C$28*VEHICLE!$C$27*'Drive Cycle'!E226^2)</f>
        <v>10.34440543521</v>
      </c>
      <c r="K226" s="56">
        <f>IF(A226=1,VEHICLE!$S$5,IF(A226=2,VEHICLE!$Q$5,IF(A226=3,VEHICLE!$R$5,IF(A226=4,VEHICLE!$P$5,1))))</f>
        <v>72.351594900000009</v>
      </c>
      <c r="L226" s="56">
        <v>0</v>
      </c>
      <c r="M226" s="56">
        <f t="shared" si="52"/>
        <v>0</v>
      </c>
      <c r="N226" s="56">
        <f t="shared" si="45"/>
        <v>0</v>
      </c>
      <c r="O226" s="56">
        <f t="shared" si="46"/>
        <v>0</v>
      </c>
      <c r="P226" s="56">
        <f t="shared" si="47"/>
        <v>82.696000335210016</v>
      </c>
      <c r="Q226" s="56">
        <f>IF(H226=1,I226*VEHICLE!$C$69,IF(H226=2,VEHICLE!$C$70*I226,IF(H226=3,VEHICLE!$C$71*I226,0)))</f>
        <v>-587.32023542819468</v>
      </c>
      <c r="R226" s="56">
        <f>(J226+K226+O226+Q226)</f>
        <v>-504.62423509298469</v>
      </c>
      <c r="S226" s="56">
        <f t="shared" si="48"/>
        <v>504.62423509298469</v>
      </c>
      <c r="T226" s="56">
        <f>ABS((R226)/((2*PI()*G226)/60))</f>
        <v>3.8550451881127294</v>
      </c>
      <c r="U226" s="56">
        <f t="shared" si="49"/>
        <v>4</v>
      </c>
      <c r="V226" s="56">
        <f>INDEX(BSFC!$D$4:$AD$26,MATCH(U226,BSFC!$B$4:$B$26,0),MATCH(G226,BSFC!$D$2:$AD$2,0))</f>
        <v>795.95460288000015</v>
      </c>
      <c r="W226" s="56">
        <f t="shared" si="53"/>
        <v>-0.11157166184640568</v>
      </c>
      <c r="X226" s="56">
        <f t="shared" si="50"/>
        <v>0.11157166184640568</v>
      </c>
      <c r="Y226" s="56">
        <f t="shared" si="51"/>
        <v>-0.34475643510539355</v>
      </c>
      <c r="Z226" s="79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x14ac:dyDescent="0.3">
      <c r="A227" s="55">
        <v>1</v>
      </c>
      <c r="B227" s="56" t="s">
        <v>103</v>
      </c>
      <c r="C227" s="56">
        <f t="shared" si="39"/>
        <v>224</v>
      </c>
      <c r="D227" s="56">
        <f t="shared" si="44"/>
        <v>7.6281700000000008</v>
      </c>
      <c r="E227" s="94">
        <f>E226</f>
        <v>3.41</v>
      </c>
      <c r="F227" s="94">
        <f>($C$4/E227)+F226</f>
        <v>23.901310063951634</v>
      </c>
      <c r="G227" s="56">
        <f>G226</f>
        <v>1250</v>
      </c>
      <c r="H227" s="56">
        <v>1</v>
      </c>
      <c r="I227" s="94">
        <f>E227-E226</f>
        <v>0</v>
      </c>
      <c r="J227" s="56">
        <f>(0.5*VEHICLE!$C$71*VEHICLE!$C$28*VEHICLE!$C$27*'Drive Cycle'!E227^2)</f>
        <v>10.34440543521</v>
      </c>
      <c r="K227" s="56">
        <f>IF(A227=1,VEHICLE!$S$5,IF(A227=2,VEHICLE!$Q$5,IF(A227=3,VEHICLE!$R$5,IF(A227=4,VEHICLE!$P$5,1))))</f>
        <v>72.351594900000009</v>
      </c>
      <c r="L227" s="56">
        <v>0</v>
      </c>
      <c r="M227" s="56">
        <f t="shared" si="52"/>
        <v>0</v>
      </c>
      <c r="N227" s="56">
        <f t="shared" si="45"/>
        <v>0</v>
      </c>
      <c r="O227" s="56">
        <f t="shared" si="46"/>
        <v>0</v>
      </c>
      <c r="P227" s="56">
        <f t="shared" si="47"/>
        <v>82.696000335210016</v>
      </c>
      <c r="Q227" s="56">
        <f>IF(H227=1,I227*VEHICLE!$C$69,IF(H227=2,VEHICLE!$C$70*I227,IF(H227=3,VEHICLE!$C$71*I227,0)))</f>
        <v>0</v>
      </c>
      <c r="R227" s="56">
        <f>(J227+K227+O227+Q227)</f>
        <v>82.696000335210016</v>
      </c>
      <c r="S227" s="56">
        <f t="shared" si="48"/>
        <v>82.696000335210016</v>
      </c>
      <c r="T227" s="56">
        <f>ABS((R227)/((2*PI()*G227)/60))</f>
        <v>0.63175090690933</v>
      </c>
      <c r="U227" s="56">
        <f t="shared" si="49"/>
        <v>1</v>
      </c>
      <c r="V227" s="56">
        <f>INDEX(BSFC!$D$4:$AD$26,MATCH(U227,BSFC!$B$4:$B$26,0),MATCH(G227,BSFC!$D$2:$AD$2,0))</f>
        <v>1183.9594262400005</v>
      </c>
      <c r="W227" s="56">
        <f t="shared" si="53"/>
        <v>2.7196863641449482E-2</v>
      </c>
      <c r="X227" s="56">
        <f t="shared" si="50"/>
        <v>2.7196863641449482E-2</v>
      </c>
      <c r="Y227" s="56">
        <f t="shared" si="51"/>
        <v>8.4038308652078897E-2</v>
      </c>
      <c r="Z227" s="79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x14ac:dyDescent="0.3">
      <c r="A228" s="55">
        <v>1</v>
      </c>
      <c r="B228" s="56" t="s">
        <v>103</v>
      </c>
      <c r="C228" s="56">
        <f t="shared" si="39"/>
        <v>225</v>
      </c>
      <c r="D228" s="56">
        <f t="shared" si="44"/>
        <v>7.6281700000000008</v>
      </c>
      <c r="E228" s="94">
        <f t="shared" ref="E228:E238" si="56">E227</f>
        <v>3.41</v>
      </c>
      <c r="F228" s="94">
        <f>($C$4/E228)+F227</f>
        <v>24.194565195916443</v>
      </c>
      <c r="G228" s="56">
        <f t="shared" ref="G228:G238" si="57">G227</f>
        <v>1250</v>
      </c>
      <c r="H228" s="56">
        <v>1</v>
      </c>
      <c r="I228" s="94">
        <f>E228-E227</f>
        <v>0</v>
      </c>
      <c r="J228" s="56">
        <f>(0.5*VEHICLE!$C$71*VEHICLE!$C$28*VEHICLE!$C$27*'Drive Cycle'!E228^2)</f>
        <v>10.34440543521</v>
      </c>
      <c r="K228" s="56">
        <f>IF(A228=1,VEHICLE!$S$5,IF(A228=2,VEHICLE!$Q$5,IF(A228=3,VEHICLE!$R$5,IF(A228=4,VEHICLE!$P$5,1))))</f>
        <v>72.351594900000009</v>
      </c>
      <c r="L228" s="56">
        <v>0</v>
      </c>
      <c r="M228" s="56">
        <f t="shared" si="52"/>
        <v>0</v>
      </c>
      <c r="N228" s="56">
        <f t="shared" si="45"/>
        <v>0</v>
      </c>
      <c r="O228" s="56">
        <f t="shared" si="46"/>
        <v>0</v>
      </c>
      <c r="P228" s="56">
        <f t="shared" si="47"/>
        <v>82.696000335210016</v>
      </c>
      <c r="Q228" s="56">
        <f>IF(H228=1,I228*VEHICLE!$C$69,IF(H228=2,VEHICLE!$C$70*I228,IF(H228=3,VEHICLE!$C$71*I228,0)))</f>
        <v>0</v>
      </c>
      <c r="R228" s="56">
        <f>(J228+K228+O228+Q228)</f>
        <v>82.696000335210016</v>
      </c>
      <c r="S228" s="56">
        <f t="shared" si="48"/>
        <v>82.696000335210016</v>
      </c>
      <c r="T228" s="56">
        <f>ABS((R228)/((2*PI()*G228)/60))</f>
        <v>0.63175090690933</v>
      </c>
      <c r="U228" s="56">
        <f t="shared" si="49"/>
        <v>1</v>
      </c>
      <c r="V228" s="56">
        <f>INDEX(BSFC!$D$4:$AD$26,MATCH(U228,BSFC!$B$4:$B$26,0),MATCH(G228,BSFC!$D$2:$AD$2,0))</f>
        <v>1183.9594262400005</v>
      </c>
      <c r="W228" s="56">
        <f t="shared" si="53"/>
        <v>2.7196863641449482E-2</v>
      </c>
      <c r="X228" s="56">
        <f t="shared" si="50"/>
        <v>2.7196863641449482E-2</v>
      </c>
      <c r="Y228" s="56">
        <f t="shared" si="51"/>
        <v>8.4038308652078897E-2</v>
      </c>
      <c r="Z228" s="79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x14ac:dyDescent="0.3">
      <c r="A229" s="55">
        <v>1</v>
      </c>
      <c r="B229" s="56" t="s">
        <v>103</v>
      </c>
      <c r="C229" s="56">
        <f t="shared" si="39"/>
        <v>226</v>
      </c>
      <c r="D229" s="56">
        <f t="shared" si="44"/>
        <v>7.6281700000000008</v>
      </c>
      <c r="E229" s="94">
        <f t="shared" si="56"/>
        <v>3.41</v>
      </c>
      <c r="F229" s="94">
        <f>($C$4/E229)+F228</f>
        <v>24.487820327881252</v>
      </c>
      <c r="G229" s="56">
        <f t="shared" si="57"/>
        <v>1250</v>
      </c>
      <c r="H229" s="56">
        <v>1</v>
      </c>
      <c r="I229" s="94">
        <f>E229-E228</f>
        <v>0</v>
      </c>
      <c r="J229" s="56">
        <f>(0.5*VEHICLE!$C$71*VEHICLE!$C$28*VEHICLE!$C$27*'Drive Cycle'!E229^2)</f>
        <v>10.34440543521</v>
      </c>
      <c r="K229" s="56">
        <f>IF(A229=1,VEHICLE!$S$5,IF(A229=2,VEHICLE!$Q$5,IF(A229=3,VEHICLE!$R$5,IF(A229=4,VEHICLE!$P$5,1))))</f>
        <v>72.351594900000009</v>
      </c>
      <c r="L229" s="56">
        <v>0</v>
      </c>
      <c r="M229" s="56">
        <f t="shared" si="52"/>
        <v>0</v>
      </c>
      <c r="N229" s="56">
        <f t="shared" si="45"/>
        <v>0</v>
      </c>
      <c r="O229" s="56">
        <f t="shared" si="46"/>
        <v>0</v>
      </c>
      <c r="P229" s="56">
        <f t="shared" si="47"/>
        <v>82.696000335210016</v>
      </c>
      <c r="Q229" s="56">
        <f>IF(H229=1,I229*VEHICLE!$C$69,IF(H229=2,VEHICLE!$C$70*I229,IF(H229=3,VEHICLE!$C$71*I229,0)))</f>
        <v>0</v>
      </c>
      <c r="R229" s="56">
        <f>(J229+K229+O229+Q229)</f>
        <v>82.696000335210016</v>
      </c>
      <c r="S229" s="56">
        <f t="shared" si="48"/>
        <v>82.696000335210016</v>
      </c>
      <c r="T229" s="56">
        <f>ABS((R229)/((2*PI()*G229)/60))</f>
        <v>0.63175090690933</v>
      </c>
      <c r="U229" s="56">
        <f t="shared" si="49"/>
        <v>1</v>
      </c>
      <c r="V229" s="56">
        <f>INDEX(BSFC!$D$4:$AD$26,MATCH(U229,BSFC!$B$4:$B$26,0),MATCH(G229,BSFC!$D$2:$AD$2,0))</f>
        <v>1183.9594262400005</v>
      </c>
      <c r="W229" s="56">
        <f t="shared" si="53"/>
        <v>2.7196863641449482E-2</v>
      </c>
      <c r="X229" s="56">
        <f t="shared" si="50"/>
        <v>2.7196863641449482E-2</v>
      </c>
      <c r="Y229" s="56">
        <f t="shared" si="51"/>
        <v>8.4038308652078897E-2</v>
      </c>
      <c r="Z229" s="79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x14ac:dyDescent="0.3">
      <c r="A230" s="55">
        <v>1</v>
      </c>
      <c r="B230" s="56" t="s">
        <v>103</v>
      </c>
      <c r="C230" s="56">
        <f t="shared" si="39"/>
        <v>227</v>
      </c>
      <c r="D230" s="56">
        <f t="shared" si="44"/>
        <v>7.6281700000000008</v>
      </c>
      <c r="E230" s="94">
        <f t="shared" si="56"/>
        <v>3.41</v>
      </c>
      <c r="F230" s="94">
        <f>($C$4/E230)+F229</f>
        <v>24.781075459846061</v>
      </c>
      <c r="G230" s="56">
        <f t="shared" si="57"/>
        <v>1250</v>
      </c>
      <c r="H230" s="56">
        <v>1</v>
      </c>
      <c r="I230" s="94">
        <f>E230-E229</f>
        <v>0</v>
      </c>
      <c r="J230" s="56">
        <f>(0.5*VEHICLE!$C$71*VEHICLE!$C$28*VEHICLE!$C$27*'Drive Cycle'!E230^2)</f>
        <v>10.34440543521</v>
      </c>
      <c r="K230" s="56">
        <f>IF(A230=1,VEHICLE!$S$5,IF(A230=2,VEHICLE!$Q$5,IF(A230=3,VEHICLE!$R$5,IF(A230=4,VEHICLE!$P$5,1))))</f>
        <v>72.351594900000009</v>
      </c>
      <c r="L230" s="56">
        <v>0</v>
      </c>
      <c r="M230" s="56">
        <f t="shared" si="52"/>
        <v>0</v>
      </c>
      <c r="N230" s="56">
        <f t="shared" si="45"/>
        <v>0</v>
      </c>
      <c r="O230" s="56">
        <f t="shared" si="46"/>
        <v>0</v>
      </c>
      <c r="P230" s="56">
        <f t="shared" si="47"/>
        <v>82.696000335210016</v>
      </c>
      <c r="Q230" s="56">
        <f>IF(H230=1,I230*VEHICLE!$C$69,IF(H230=2,VEHICLE!$C$70*I230,IF(H230=3,VEHICLE!$C$71*I230,0)))</f>
        <v>0</v>
      </c>
      <c r="R230" s="56">
        <f>(J230+K230+O230+Q230)</f>
        <v>82.696000335210016</v>
      </c>
      <c r="S230" s="56">
        <f t="shared" si="48"/>
        <v>82.696000335210016</v>
      </c>
      <c r="T230" s="56">
        <f>ABS((R230)/((2*PI()*G230)/60))</f>
        <v>0.63175090690933</v>
      </c>
      <c r="U230" s="56">
        <f t="shared" si="49"/>
        <v>1</v>
      </c>
      <c r="V230" s="56">
        <f>INDEX(BSFC!$D$4:$AD$26,MATCH(U230,BSFC!$B$4:$B$26,0),MATCH(G230,BSFC!$D$2:$AD$2,0))</f>
        <v>1183.9594262400005</v>
      </c>
      <c r="W230" s="56">
        <f t="shared" si="53"/>
        <v>2.7196863641449482E-2</v>
      </c>
      <c r="X230" s="56">
        <f t="shared" si="50"/>
        <v>2.7196863641449482E-2</v>
      </c>
      <c r="Y230" s="56">
        <f t="shared" si="51"/>
        <v>8.4038308652078897E-2</v>
      </c>
      <c r="Z230" s="79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x14ac:dyDescent="0.3">
      <c r="A231" s="55">
        <v>1</v>
      </c>
      <c r="B231" s="57" t="s">
        <v>118</v>
      </c>
      <c r="C231" s="57">
        <f t="shared" si="39"/>
        <v>228</v>
      </c>
      <c r="D231" s="57">
        <f t="shared" si="44"/>
        <v>7.6281700000000008</v>
      </c>
      <c r="E231" s="86">
        <f t="shared" si="56"/>
        <v>3.41</v>
      </c>
      <c r="F231" s="86">
        <f>($C$4/E231)+F230</f>
        <v>25.07433059181087</v>
      </c>
      <c r="G231" s="57">
        <f t="shared" si="57"/>
        <v>1250</v>
      </c>
      <c r="H231" s="57">
        <v>1</v>
      </c>
      <c r="I231" s="86">
        <f>E231-E230</f>
        <v>0</v>
      </c>
      <c r="J231" s="57">
        <f>(0.5*VEHICLE!$C$71*VEHICLE!$C$28*VEHICLE!$C$27*'Drive Cycle'!E231^2)</f>
        <v>10.34440543521</v>
      </c>
      <c r="K231" s="57">
        <f>IF(A231=1,VEHICLE!$S$5,IF(A231=2,VEHICLE!$Q$5,IF(A231=3,VEHICLE!$R$5,IF(A231=4,VEHICLE!$P$5,1))))</f>
        <v>72.351594900000009</v>
      </c>
      <c r="L231" s="57">
        <v>0</v>
      </c>
      <c r="M231" s="57">
        <f t="shared" si="52"/>
        <v>0</v>
      </c>
      <c r="N231" s="57">
        <f t="shared" si="45"/>
        <v>0</v>
      </c>
      <c r="O231" s="57">
        <f t="shared" si="46"/>
        <v>0</v>
      </c>
      <c r="P231" s="57">
        <f t="shared" si="47"/>
        <v>82.696000335210016</v>
      </c>
      <c r="Q231" s="57">
        <f>IF(H231=1,I231*VEHICLE!$C$69,IF(H231=2,VEHICLE!$C$70*I231,IF(H231=3,VEHICLE!$C$71*I231,0)))</f>
        <v>0</v>
      </c>
      <c r="R231" s="57">
        <f>(J231+K231+O231+Q231)</f>
        <v>82.696000335210016</v>
      </c>
      <c r="S231" s="57">
        <f t="shared" si="48"/>
        <v>82.696000335210016</v>
      </c>
      <c r="T231" s="57">
        <f>ABS((R231)/((2*PI()*G231)/60))</f>
        <v>0.63175090690933</v>
      </c>
      <c r="U231" s="57">
        <f t="shared" si="49"/>
        <v>1</v>
      </c>
      <c r="V231" s="57">
        <f>INDEX(BSFC!$D$4:$AD$26,MATCH(U231,BSFC!$B$4:$B$26,0),MATCH(G231,BSFC!$D$2:$AD$2,0))</f>
        <v>1183.9594262400005</v>
      </c>
      <c r="W231" s="57">
        <f t="shared" si="53"/>
        <v>2.7196863641449482E-2</v>
      </c>
      <c r="X231" s="57">
        <f t="shared" si="50"/>
        <v>2.7196863641449482E-2</v>
      </c>
      <c r="Y231" s="57">
        <f t="shared" si="51"/>
        <v>8.4038308652078897E-2</v>
      </c>
      <c r="Z231" s="79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x14ac:dyDescent="0.3">
      <c r="A232" s="55">
        <v>1</v>
      </c>
      <c r="B232" s="57" t="s">
        <v>118</v>
      </c>
      <c r="C232" s="57">
        <f t="shared" ref="C232:C295" si="58">C231+1</f>
        <v>229</v>
      </c>
      <c r="D232" s="57">
        <f t="shared" si="44"/>
        <v>7.6281700000000008</v>
      </c>
      <c r="E232" s="86">
        <f t="shared" si="56"/>
        <v>3.41</v>
      </c>
      <c r="F232" s="86">
        <f>($C$4/E232)+F231</f>
        <v>25.367585723775679</v>
      </c>
      <c r="G232" s="57">
        <f t="shared" si="57"/>
        <v>1250</v>
      </c>
      <c r="H232" s="57">
        <v>1</v>
      </c>
      <c r="I232" s="86">
        <f>E232-E231</f>
        <v>0</v>
      </c>
      <c r="J232" s="57">
        <f>(0.5*VEHICLE!$C$71*VEHICLE!$C$28*VEHICLE!$C$27*'Drive Cycle'!E232^2)</f>
        <v>10.34440543521</v>
      </c>
      <c r="K232" s="57">
        <f>IF(A232=1,VEHICLE!$S$5,IF(A232=2,VEHICLE!$Q$5,IF(A232=3,VEHICLE!$R$5,IF(A232=4,VEHICLE!$P$5,1))))</f>
        <v>72.351594900000009</v>
      </c>
      <c r="L232" s="57">
        <v>0</v>
      </c>
      <c r="M232" s="57">
        <f t="shared" si="52"/>
        <v>0</v>
      </c>
      <c r="N232" s="57">
        <f t="shared" si="45"/>
        <v>0</v>
      </c>
      <c r="O232" s="57">
        <f t="shared" si="46"/>
        <v>0</v>
      </c>
      <c r="P232" s="57">
        <f t="shared" si="47"/>
        <v>82.696000335210016</v>
      </c>
      <c r="Q232" s="57">
        <f>IF(H232=1,I232*VEHICLE!$C$69,IF(H232=2,VEHICLE!$C$70*I232,IF(H232=3,VEHICLE!$C$71*I232,0)))</f>
        <v>0</v>
      </c>
      <c r="R232" s="57">
        <f>(J232+K232+O232+Q232)</f>
        <v>82.696000335210016</v>
      </c>
      <c r="S232" s="57">
        <f t="shared" si="48"/>
        <v>82.696000335210016</v>
      </c>
      <c r="T232" s="57">
        <f>ABS((R232)/((2*PI()*G232)/60))</f>
        <v>0.63175090690933</v>
      </c>
      <c r="U232" s="57">
        <f t="shared" si="49"/>
        <v>1</v>
      </c>
      <c r="V232" s="57">
        <f>INDEX(BSFC!$D$4:$AD$26,MATCH(U232,BSFC!$B$4:$B$26,0),MATCH(G232,BSFC!$D$2:$AD$2,0))</f>
        <v>1183.9594262400005</v>
      </c>
      <c r="W232" s="57">
        <f t="shared" si="53"/>
        <v>2.7196863641449482E-2</v>
      </c>
      <c r="X232" s="57">
        <f t="shared" si="50"/>
        <v>2.7196863641449482E-2</v>
      </c>
      <c r="Y232" s="57">
        <f t="shared" si="51"/>
        <v>8.4038308652078897E-2</v>
      </c>
      <c r="Z232" s="79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x14ac:dyDescent="0.3">
      <c r="A233" s="55">
        <v>1</v>
      </c>
      <c r="B233" s="57" t="s">
        <v>118</v>
      </c>
      <c r="C233" s="57">
        <f t="shared" si="58"/>
        <v>230</v>
      </c>
      <c r="D233" s="57">
        <f t="shared" si="44"/>
        <v>7.6281700000000008</v>
      </c>
      <c r="E233" s="86">
        <f t="shared" si="56"/>
        <v>3.41</v>
      </c>
      <c r="F233" s="86">
        <f>($C$4/E233)+F232</f>
        <v>25.660840855740489</v>
      </c>
      <c r="G233" s="57">
        <f t="shared" si="57"/>
        <v>1250</v>
      </c>
      <c r="H233" s="57">
        <v>1</v>
      </c>
      <c r="I233" s="86">
        <f>E233-E232</f>
        <v>0</v>
      </c>
      <c r="J233" s="57">
        <f>(0.5*VEHICLE!$C$71*VEHICLE!$C$28*VEHICLE!$C$27*'Drive Cycle'!E233^2)</f>
        <v>10.34440543521</v>
      </c>
      <c r="K233" s="57">
        <f>IF(A233=1,VEHICLE!$S$5,IF(A233=2,VEHICLE!$Q$5,IF(A233=3,VEHICLE!$R$5,IF(A233=4,VEHICLE!$P$5,1))))</f>
        <v>72.351594900000009</v>
      </c>
      <c r="L233" s="57">
        <v>0</v>
      </c>
      <c r="M233" s="57">
        <f t="shared" si="52"/>
        <v>0</v>
      </c>
      <c r="N233" s="57">
        <f t="shared" si="45"/>
        <v>0</v>
      </c>
      <c r="O233" s="57">
        <f t="shared" si="46"/>
        <v>0</v>
      </c>
      <c r="P233" s="57">
        <f t="shared" si="47"/>
        <v>82.696000335210016</v>
      </c>
      <c r="Q233" s="57">
        <f>IF(H233=1,I233*VEHICLE!$C$69,IF(H233=2,VEHICLE!$C$70*I233,IF(H233=3,VEHICLE!$C$71*I233,0)))</f>
        <v>0</v>
      </c>
      <c r="R233" s="57">
        <f>(J233+K233+O233+Q233)</f>
        <v>82.696000335210016</v>
      </c>
      <c r="S233" s="57">
        <f t="shared" si="48"/>
        <v>82.696000335210016</v>
      </c>
      <c r="T233" s="57">
        <f>ABS((R233)/((2*PI()*G233)/60))</f>
        <v>0.63175090690933</v>
      </c>
      <c r="U233" s="57">
        <f t="shared" si="49"/>
        <v>1</v>
      </c>
      <c r="V233" s="57">
        <f>INDEX(BSFC!$D$4:$AD$26,MATCH(U233,BSFC!$B$4:$B$26,0),MATCH(G233,BSFC!$D$2:$AD$2,0))</f>
        <v>1183.9594262400005</v>
      </c>
      <c r="W233" s="57">
        <f t="shared" si="53"/>
        <v>2.7196863641449482E-2</v>
      </c>
      <c r="X233" s="57">
        <f t="shared" si="50"/>
        <v>2.7196863641449482E-2</v>
      </c>
      <c r="Y233" s="57">
        <f t="shared" si="51"/>
        <v>8.4038308652078897E-2</v>
      </c>
      <c r="Z233" s="79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x14ac:dyDescent="0.3">
      <c r="A234" s="55">
        <v>1</v>
      </c>
      <c r="B234" s="57" t="s">
        <v>118</v>
      </c>
      <c r="C234" s="57">
        <f t="shared" si="58"/>
        <v>231</v>
      </c>
      <c r="D234" s="57">
        <f t="shared" si="44"/>
        <v>7.6281700000000008</v>
      </c>
      <c r="E234" s="86">
        <f t="shared" si="56"/>
        <v>3.41</v>
      </c>
      <c r="F234" s="86">
        <f>($C$4/E234)+F233</f>
        <v>25.954095987705298</v>
      </c>
      <c r="G234" s="57">
        <f t="shared" si="57"/>
        <v>1250</v>
      </c>
      <c r="H234" s="57">
        <v>1</v>
      </c>
      <c r="I234" s="86">
        <f>E234-E233</f>
        <v>0</v>
      </c>
      <c r="J234" s="57">
        <f>(0.5*VEHICLE!$C$71*VEHICLE!$C$28*VEHICLE!$C$27*'Drive Cycle'!E234^2)</f>
        <v>10.34440543521</v>
      </c>
      <c r="K234" s="57">
        <f>IF(A234=1,VEHICLE!$S$5,IF(A234=2,VEHICLE!$Q$5,IF(A234=3,VEHICLE!$R$5,IF(A234=4,VEHICLE!$P$5,1))))</f>
        <v>72.351594900000009</v>
      </c>
      <c r="L234" s="57">
        <v>0</v>
      </c>
      <c r="M234" s="57">
        <f t="shared" si="52"/>
        <v>0</v>
      </c>
      <c r="N234" s="57">
        <f t="shared" si="45"/>
        <v>0</v>
      </c>
      <c r="O234" s="57">
        <f t="shared" si="46"/>
        <v>0</v>
      </c>
      <c r="P234" s="57">
        <f t="shared" si="47"/>
        <v>82.696000335210016</v>
      </c>
      <c r="Q234" s="57">
        <f>IF(H234=1,I234*VEHICLE!$C$69,IF(H234=2,VEHICLE!$C$70*I234,IF(H234=3,VEHICLE!$C$71*I234,0)))</f>
        <v>0</v>
      </c>
      <c r="R234" s="57">
        <f>(J234+K234+O234+Q234)</f>
        <v>82.696000335210016</v>
      </c>
      <c r="S234" s="57">
        <f t="shared" si="48"/>
        <v>82.696000335210016</v>
      </c>
      <c r="T234" s="57">
        <f>ABS((R234)/((2*PI()*G234)/60))</f>
        <v>0.63175090690933</v>
      </c>
      <c r="U234" s="57">
        <f t="shared" si="49"/>
        <v>1</v>
      </c>
      <c r="V234" s="57">
        <f>INDEX(BSFC!$D$4:$AD$26,MATCH(U234,BSFC!$B$4:$B$26,0),MATCH(G234,BSFC!$D$2:$AD$2,0))</f>
        <v>1183.9594262400005</v>
      </c>
      <c r="W234" s="57">
        <f t="shared" si="53"/>
        <v>2.7196863641449482E-2</v>
      </c>
      <c r="X234" s="57">
        <f t="shared" si="50"/>
        <v>2.7196863641449482E-2</v>
      </c>
      <c r="Y234" s="57">
        <f t="shared" si="51"/>
        <v>8.4038308652078897E-2</v>
      </c>
      <c r="Z234" s="79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x14ac:dyDescent="0.3">
      <c r="A235" s="55">
        <v>1</v>
      </c>
      <c r="B235" s="57" t="s">
        <v>118</v>
      </c>
      <c r="C235" s="57">
        <f t="shared" si="58"/>
        <v>232</v>
      </c>
      <c r="D235" s="57">
        <f t="shared" si="44"/>
        <v>7.6281700000000008</v>
      </c>
      <c r="E235" s="86">
        <f t="shared" si="56"/>
        <v>3.41</v>
      </c>
      <c r="F235" s="86">
        <f>($C$4/E235)+F234</f>
        <v>26.247351119670107</v>
      </c>
      <c r="G235" s="57">
        <f t="shared" si="57"/>
        <v>1250</v>
      </c>
      <c r="H235" s="57">
        <v>1</v>
      </c>
      <c r="I235" s="86">
        <f>E235-E234</f>
        <v>0</v>
      </c>
      <c r="J235" s="57">
        <f>(0.5*VEHICLE!$C$71*VEHICLE!$C$28*VEHICLE!$C$27*'Drive Cycle'!E235^2)</f>
        <v>10.34440543521</v>
      </c>
      <c r="K235" s="57">
        <f>IF(A235=1,VEHICLE!$S$5,IF(A235=2,VEHICLE!$Q$5,IF(A235=3,VEHICLE!$R$5,IF(A235=4,VEHICLE!$P$5,1))))</f>
        <v>72.351594900000009</v>
      </c>
      <c r="L235" s="57">
        <v>0</v>
      </c>
      <c r="M235" s="57">
        <f t="shared" si="52"/>
        <v>0</v>
      </c>
      <c r="N235" s="57">
        <f t="shared" si="45"/>
        <v>0</v>
      </c>
      <c r="O235" s="57">
        <f t="shared" si="46"/>
        <v>0</v>
      </c>
      <c r="P235" s="57">
        <f t="shared" si="47"/>
        <v>82.696000335210016</v>
      </c>
      <c r="Q235" s="57">
        <f>IF(H235=1,I235*VEHICLE!$C$69,IF(H235=2,VEHICLE!$C$70*I235,IF(H235=3,VEHICLE!$C$71*I235,0)))</f>
        <v>0</v>
      </c>
      <c r="R235" s="57">
        <f>(J235+K235+O235+Q235)</f>
        <v>82.696000335210016</v>
      </c>
      <c r="S235" s="57">
        <f t="shared" si="48"/>
        <v>82.696000335210016</v>
      </c>
      <c r="T235" s="57">
        <f>ABS((R235)/((2*PI()*G235)/60))</f>
        <v>0.63175090690933</v>
      </c>
      <c r="U235" s="57">
        <f t="shared" si="49"/>
        <v>1</v>
      </c>
      <c r="V235" s="57">
        <f>INDEX(BSFC!$D$4:$AD$26,MATCH(U235,BSFC!$B$4:$B$26,0),MATCH(G235,BSFC!$D$2:$AD$2,0))</f>
        <v>1183.9594262400005</v>
      </c>
      <c r="W235" s="57">
        <f t="shared" si="53"/>
        <v>2.7196863641449482E-2</v>
      </c>
      <c r="X235" s="57">
        <f t="shared" si="50"/>
        <v>2.7196863641449482E-2</v>
      </c>
      <c r="Y235" s="57">
        <f t="shared" si="51"/>
        <v>8.4038308652078897E-2</v>
      </c>
      <c r="Z235" s="79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x14ac:dyDescent="0.3">
      <c r="A236" s="55">
        <v>1</v>
      </c>
      <c r="B236" s="57" t="s">
        <v>118</v>
      </c>
      <c r="C236" s="57">
        <f t="shared" si="58"/>
        <v>233</v>
      </c>
      <c r="D236" s="57">
        <f t="shared" si="44"/>
        <v>7.6281700000000008</v>
      </c>
      <c r="E236" s="86">
        <f t="shared" si="56"/>
        <v>3.41</v>
      </c>
      <c r="F236" s="86">
        <f>($C$4/E236)+F235</f>
        <v>26.540606251634916</v>
      </c>
      <c r="G236" s="57">
        <f t="shared" si="57"/>
        <v>1250</v>
      </c>
      <c r="H236" s="57">
        <v>1</v>
      </c>
      <c r="I236" s="86">
        <f>E236-E235</f>
        <v>0</v>
      </c>
      <c r="J236" s="57">
        <f>(0.5*VEHICLE!$C$71*VEHICLE!$C$28*VEHICLE!$C$27*'Drive Cycle'!E236^2)</f>
        <v>10.34440543521</v>
      </c>
      <c r="K236" s="57">
        <f>IF(A236=1,VEHICLE!$S$5,IF(A236=2,VEHICLE!$Q$5,IF(A236=3,VEHICLE!$R$5,IF(A236=4,VEHICLE!$P$5,1))))</f>
        <v>72.351594900000009</v>
      </c>
      <c r="L236" s="57">
        <v>0</v>
      </c>
      <c r="M236" s="57">
        <f t="shared" si="52"/>
        <v>0</v>
      </c>
      <c r="N236" s="57">
        <f t="shared" si="45"/>
        <v>0</v>
      </c>
      <c r="O236" s="57">
        <f t="shared" si="46"/>
        <v>0</v>
      </c>
      <c r="P236" s="57">
        <f t="shared" si="47"/>
        <v>82.696000335210016</v>
      </c>
      <c r="Q236" s="57">
        <f>IF(H236=1,I236*VEHICLE!$C$69,IF(H236=2,VEHICLE!$C$70*I236,IF(H236=3,VEHICLE!$C$71*I236,0)))</f>
        <v>0</v>
      </c>
      <c r="R236" s="57">
        <f>(J236+K236+O236+Q236)</f>
        <v>82.696000335210016</v>
      </c>
      <c r="S236" s="57">
        <f t="shared" si="48"/>
        <v>82.696000335210016</v>
      </c>
      <c r="T236" s="57">
        <f>ABS((R236)/((2*PI()*G236)/60))</f>
        <v>0.63175090690933</v>
      </c>
      <c r="U236" s="57">
        <f t="shared" si="49"/>
        <v>1</v>
      </c>
      <c r="V236" s="57">
        <f>INDEX(BSFC!$D$4:$AD$26,MATCH(U236,BSFC!$B$4:$B$26,0),MATCH(G236,BSFC!$D$2:$AD$2,0))</f>
        <v>1183.9594262400005</v>
      </c>
      <c r="W236" s="57">
        <f t="shared" si="53"/>
        <v>2.7196863641449482E-2</v>
      </c>
      <c r="X236" s="57">
        <f t="shared" si="50"/>
        <v>2.7196863641449482E-2</v>
      </c>
      <c r="Y236" s="57">
        <f t="shared" si="51"/>
        <v>8.4038308652078897E-2</v>
      </c>
      <c r="Z236" s="79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x14ac:dyDescent="0.3">
      <c r="A237" s="55">
        <v>1</v>
      </c>
      <c r="B237" s="57" t="s">
        <v>118</v>
      </c>
      <c r="C237" s="57">
        <f t="shared" si="58"/>
        <v>234</v>
      </c>
      <c r="D237" s="57">
        <f t="shared" si="44"/>
        <v>7.6281700000000008</v>
      </c>
      <c r="E237" s="86">
        <f t="shared" si="56"/>
        <v>3.41</v>
      </c>
      <c r="F237" s="86">
        <f>($C$4/E237)+F236</f>
        <v>26.833861383599725</v>
      </c>
      <c r="G237" s="57">
        <f t="shared" si="57"/>
        <v>1250</v>
      </c>
      <c r="H237" s="57">
        <v>1</v>
      </c>
      <c r="I237" s="86">
        <f>E237-E236</f>
        <v>0</v>
      </c>
      <c r="J237" s="57">
        <f>(0.5*VEHICLE!$C$71*VEHICLE!$C$28*VEHICLE!$C$27*'Drive Cycle'!E237^2)</f>
        <v>10.34440543521</v>
      </c>
      <c r="K237" s="57">
        <f>IF(A237=1,VEHICLE!$S$5,IF(A237=2,VEHICLE!$Q$5,IF(A237=3,VEHICLE!$R$5,IF(A237=4,VEHICLE!$P$5,1))))</f>
        <v>72.351594900000009</v>
      </c>
      <c r="L237" s="57">
        <v>0</v>
      </c>
      <c r="M237" s="57">
        <f t="shared" si="52"/>
        <v>0</v>
      </c>
      <c r="N237" s="57">
        <f t="shared" si="45"/>
        <v>0</v>
      </c>
      <c r="O237" s="57">
        <f t="shared" si="46"/>
        <v>0</v>
      </c>
      <c r="P237" s="57">
        <f t="shared" si="47"/>
        <v>82.696000335210016</v>
      </c>
      <c r="Q237" s="57">
        <f>IF(H237=1,I237*VEHICLE!$C$69,IF(H237=2,VEHICLE!$C$70*I237,IF(H237=3,VEHICLE!$C$71*I237,0)))</f>
        <v>0</v>
      </c>
      <c r="R237" s="57">
        <f>(J237+K237+O237+Q237)</f>
        <v>82.696000335210016</v>
      </c>
      <c r="S237" s="57">
        <f t="shared" si="48"/>
        <v>82.696000335210016</v>
      </c>
      <c r="T237" s="57">
        <f>ABS((R237)/((2*PI()*G237)/60))</f>
        <v>0.63175090690933</v>
      </c>
      <c r="U237" s="57">
        <f t="shared" si="49"/>
        <v>1</v>
      </c>
      <c r="V237" s="57">
        <f>INDEX(BSFC!$D$4:$AD$26,MATCH(U237,BSFC!$B$4:$B$26,0),MATCH(G237,BSFC!$D$2:$AD$2,0))</f>
        <v>1183.9594262400005</v>
      </c>
      <c r="W237" s="57">
        <f t="shared" si="53"/>
        <v>2.7196863641449482E-2</v>
      </c>
      <c r="X237" s="57">
        <f t="shared" si="50"/>
        <v>2.7196863641449482E-2</v>
      </c>
      <c r="Y237" s="57">
        <f t="shared" si="51"/>
        <v>8.4038308652078897E-2</v>
      </c>
      <c r="Z237" s="79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x14ac:dyDescent="0.3">
      <c r="A238" s="55">
        <v>1</v>
      </c>
      <c r="B238" s="57" t="s">
        <v>118</v>
      </c>
      <c r="C238" s="57">
        <f t="shared" si="58"/>
        <v>235</v>
      </c>
      <c r="D238" s="57">
        <f t="shared" si="44"/>
        <v>7.6281700000000008</v>
      </c>
      <c r="E238" s="86">
        <f t="shared" si="56"/>
        <v>3.41</v>
      </c>
      <c r="F238" s="86">
        <f>($C$4/E238)+F237</f>
        <v>27.127116515564534</v>
      </c>
      <c r="G238" s="57">
        <f t="shared" si="57"/>
        <v>1250</v>
      </c>
      <c r="H238" s="57">
        <v>1</v>
      </c>
      <c r="I238" s="86">
        <f>E238-E237</f>
        <v>0</v>
      </c>
      <c r="J238" s="57">
        <f>(0.5*VEHICLE!$C$71*VEHICLE!$C$28*VEHICLE!$C$27*'Drive Cycle'!E238^2)</f>
        <v>10.34440543521</v>
      </c>
      <c r="K238" s="57">
        <f>IF(A238=1,VEHICLE!$S$5,IF(A238=2,VEHICLE!$Q$5,IF(A238=3,VEHICLE!$R$5,IF(A238=4,VEHICLE!$P$5,1))))</f>
        <v>72.351594900000009</v>
      </c>
      <c r="L238" s="57">
        <v>0</v>
      </c>
      <c r="M238" s="57">
        <f t="shared" si="52"/>
        <v>0</v>
      </c>
      <c r="N238" s="57">
        <f t="shared" si="45"/>
        <v>0</v>
      </c>
      <c r="O238" s="57">
        <f t="shared" si="46"/>
        <v>0</v>
      </c>
      <c r="P238" s="57">
        <f t="shared" si="47"/>
        <v>82.696000335210016</v>
      </c>
      <c r="Q238" s="57">
        <f>IF(H238=1,I238*VEHICLE!$C$69,IF(H238=2,VEHICLE!$C$70*I238,IF(H238=3,VEHICLE!$C$71*I238,0)))</f>
        <v>0</v>
      </c>
      <c r="R238" s="57">
        <f>(J238+K238+O238+Q238)</f>
        <v>82.696000335210016</v>
      </c>
      <c r="S238" s="57">
        <f t="shared" si="48"/>
        <v>82.696000335210016</v>
      </c>
      <c r="T238" s="57">
        <f>ABS((R238)/((2*PI()*G238)/60))</f>
        <v>0.63175090690933</v>
      </c>
      <c r="U238" s="57">
        <f t="shared" si="49"/>
        <v>1</v>
      </c>
      <c r="V238" s="57">
        <f>INDEX(BSFC!$D$4:$AD$26,MATCH(U238,BSFC!$B$4:$B$26,0),MATCH(G238,BSFC!$D$2:$AD$2,0))</f>
        <v>1183.9594262400005</v>
      </c>
      <c r="W238" s="57">
        <f t="shared" si="53"/>
        <v>2.7196863641449482E-2</v>
      </c>
      <c r="X238" s="57">
        <f t="shared" si="50"/>
        <v>2.7196863641449482E-2</v>
      </c>
      <c r="Y238" s="57">
        <f t="shared" si="51"/>
        <v>8.4038308652078897E-2</v>
      </c>
      <c r="Z238" s="79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x14ac:dyDescent="0.3">
      <c r="A239" s="55">
        <v>1</v>
      </c>
      <c r="B239" s="57" t="s">
        <v>118</v>
      </c>
      <c r="C239" s="57">
        <f t="shared" si="58"/>
        <v>236</v>
      </c>
      <c r="D239" s="57">
        <f t="shared" si="44"/>
        <v>8.7466699999999999</v>
      </c>
      <c r="E239" s="86">
        <f>E238+0.5</f>
        <v>3.91</v>
      </c>
      <c r="F239" s="86">
        <f>($C$4/E239)+F238</f>
        <v>27.382870991267858</v>
      </c>
      <c r="G239" s="57">
        <f>G238+750</f>
        <v>2000</v>
      </c>
      <c r="H239" s="57">
        <v>1</v>
      </c>
      <c r="I239" s="86">
        <f>E239-E238</f>
        <v>0.5</v>
      </c>
      <c r="J239" s="57">
        <f>(0.5*VEHICLE!$C$71*VEHICLE!$C$28*VEHICLE!$C$27*'Drive Cycle'!E239^2)</f>
        <v>13.60035644121</v>
      </c>
      <c r="K239" s="57">
        <f>IF(A239=1,VEHICLE!$S$5,IF(A239=2,VEHICLE!$Q$5,IF(A239=3,VEHICLE!$R$5,IF(A239=4,VEHICLE!$P$5,1))))</f>
        <v>72.351594900000009</v>
      </c>
      <c r="L239" s="57">
        <v>0</v>
      </c>
      <c r="M239" s="57">
        <f t="shared" si="52"/>
        <v>0</v>
      </c>
      <c r="N239" s="57">
        <f t="shared" si="45"/>
        <v>0</v>
      </c>
      <c r="O239" s="57">
        <f t="shared" si="46"/>
        <v>0</v>
      </c>
      <c r="P239" s="57">
        <f t="shared" si="47"/>
        <v>85.951951341210005</v>
      </c>
      <c r="Q239" s="57">
        <f>IF(H239=1,I239*VEHICLE!$C$69,IF(H239=2,VEHICLE!$C$70*I239,IF(H239=3,VEHICLE!$C$71*I239,0)))</f>
        <v>293.66011771409734</v>
      </c>
      <c r="R239" s="57">
        <f>(J239+K239+O239+Q239)</f>
        <v>379.61206905530736</v>
      </c>
      <c r="S239" s="57">
        <f t="shared" si="48"/>
        <v>379.61206905530736</v>
      </c>
      <c r="T239" s="57">
        <f>ABS((R239)/((2*PI()*G239)/60))</f>
        <v>1.8125141174248227</v>
      </c>
      <c r="U239" s="57">
        <f t="shared" si="49"/>
        <v>2</v>
      </c>
      <c r="V239" s="57">
        <f>INDEX(BSFC!$D$4:$AD$26,MATCH(U239,BSFC!$B$4:$B$26,0),MATCH(G239,BSFC!$D$2:$AD$2,0))</f>
        <v>976.38004896000075</v>
      </c>
      <c r="W239" s="57">
        <f t="shared" si="53"/>
        <v>0.10295712515834116</v>
      </c>
      <c r="X239" s="57">
        <f t="shared" si="50"/>
        <v>0.10295712515834116</v>
      </c>
      <c r="Y239" s="57">
        <f t="shared" si="51"/>
        <v>0.31813751673927415</v>
      </c>
      <c r="Z239" s="79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x14ac:dyDescent="0.3">
      <c r="A240" s="55">
        <v>1</v>
      </c>
      <c r="B240" s="57" t="s">
        <v>118</v>
      </c>
      <c r="C240" s="57">
        <f t="shared" si="58"/>
        <v>237</v>
      </c>
      <c r="D240" s="57">
        <f t="shared" si="44"/>
        <v>9.8651700000000009</v>
      </c>
      <c r="E240" s="86">
        <f t="shared" ref="E240:E254" si="59">E239+0.5</f>
        <v>4.41</v>
      </c>
      <c r="F240" s="86">
        <f>($C$4/E240)+F239</f>
        <v>27.609628360882372</v>
      </c>
      <c r="G240" s="57">
        <f>G239+250</f>
        <v>2250</v>
      </c>
      <c r="H240" s="57">
        <v>1</v>
      </c>
      <c r="I240" s="86">
        <f>E240-E239</f>
        <v>0.5</v>
      </c>
      <c r="J240" s="57">
        <f>(0.5*VEHICLE!$C$71*VEHICLE!$C$28*VEHICLE!$C$27*'Drive Cycle'!E240^2)</f>
        <v>17.30110949721</v>
      </c>
      <c r="K240" s="57">
        <f>IF(A240=1,VEHICLE!$S$5,IF(A240=2,VEHICLE!$Q$5,IF(A240=3,VEHICLE!$R$5,IF(A240=4,VEHICLE!$P$5,1))))</f>
        <v>72.351594900000009</v>
      </c>
      <c r="L240" s="57">
        <v>0</v>
      </c>
      <c r="M240" s="57">
        <f t="shared" si="52"/>
        <v>0</v>
      </c>
      <c r="N240" s="57">
        <f t="shared" si="45"/>
        <v>0</v>
      </c>
      <c r="O240" s="57">
        <f t="shared" si="46"/>
        <v>0</v>
      </c>
      <c r="P240" s="57">
        <f t="shared" si="47"/>
        <v>89.652704397210016</v>
      </c>
      <c r="Q240" s="57">
        <f>IF(H240=1,I240*VEHICLE!$C$69,IF(H240=2,VEHICLE!$C$70*I240,IF(H240=3,VEHICLE!$C$71*I240,0)))</f>
        <v>293.66011771409734</v>
      </c>
      <c r="R240" s="57">
        <f>(J240+K240+O240+Q240)</f>
        <v>383.31282211130736</v>
      </c>
      <c r="S240" s="57">
        <f t="shared" si="48"/>
        <v>383.31282211130736</v>
      </c>
      <c r="T240" s="57">
        <f>ABS((R240)/((2*PI()*G240)/60))</f>
        <v>1.6268301437205044</v>
      </c>
      <c r="U240" s="57">
        <f t="shared" si="49"/>
        <v>2</v>
      </c>
      <c r="V240" s="57">
        <f>INDEX(BSFC!$D$4:$AD$26,MATCH(U240,BSFC!$B$4:$B$26,0),MATCH(G240,BSFC!$D$2:$AD$2,0))</f>
        <v>976.05928224000047</v>
      </c>
      <c r="W240" s="57">
        <f t="shared" si="53"/>
        <v>0.10392667722870878</v>
      </c>
      <c r="X240" s="57">
        <f t="shared" si="50"/>
        <v>0.10392667722870878</v>
      </c>
      <c r="Y240" s="57">
        <f t="shared" si="51"/>
        <v>0.32113343263671013</v>
      </c>
      <c r="Z240" s="79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x14ac:dyDescent="0.3">
      <c r="A241" s="55">
        <v>1</v>
      </c>
      <c r="B241" s="57" t="s">
        <v>118</v>
      </c>
      <c r="C241" s="57">
        <f t="shared" si="58"/>
        <v>238</v>
      </c>
      <c r="D241" s="57">
        <f t="shared" si="44"/>
        <v>10.98367</v>
      </c>
      <c r="E241" s="86">
        <f t="shared" si="59"/>
        <v>4.91</v>
      </c>
      <c r="F241" s="86">
        <f>($C$4/E241)+F240</f>
        <v>27.813294348662414</v>
      </c>
      <c r="G241" s="57">
        <f t="shared" ref="G241:G255" si="60">G240+250</f>
        <v>2500</v>
      </c>
      <c r="H241" s="57">
        <v>1</v>
      </c>
      <c r="I241" s="86">
        <f>E241-E240</f>
        <v>0.5</v>
      </c>
      <c r="J241" s="57">
        <f>(0.5*VEHICLE!$C$71*VEHICLE!$C$28*VEHICLE!$C$27*'Drive Cycle'!E241^2)</f>
        <v>21.446664603209999</v>
      </c>
      <c r="K241" s="57">
        <f>IF(A241=1,VEHICLE!$S$5,IF(A241=2,VEHICLE!$Q$5,IF(A241=3,VEHICLE!$R$5,IF(A241=4,VEHICLE!$P$5,1))))</f>
        <v>72.351594900000009</v>
      </c>
      <c r="L241" s="57">
        <v>0</v>
      </c>
      <c r="M241" s="57">
        <f t="shared" si="52"/>
        <v>0</v>
      </c>
      <c r="N241" s="57">
        <f t="shared" si="45"/>
        <v>0</v>
      </c>
      <c r="O241" s="57">
        <f t="shared" si="46"/>
        <v>0</v>
      </c>
      <c r="P241" s="57">
        <f t="shared" si="47"/>
        <v>93.798259503210005</v>
      </c>
      <c r="Q241" s="57">
        <f>IF(H241=1,I241*VEHICLE!$C$69,IF(H241=2,VEHICLE!$C$70*I241,IF(H241=3,VEHICLE!$C$71*I241,0)))</f>
        <v>293.66011771409734</v>
      </c>
      <c r="R241" s="57">
        <f>(J241+K241+O241+Q241)</f>
        <v>387.45837721730732</v>
      </c>
      <c r="S241" s="57">
        <f t="shared" si="48"/>
        <v>387.45837721730732</v>
      </c>
      <c r="T241" s="57">
        <f>ABS((R241)/((2*PI()*G241)/60))</f>
        <v>1.479981983435968</v>
      </c>
      <c r="U241" s="57">
        <f t="shared" si="49"/>
        <v>2</v>
      </c>
      <c r="V241" s="57">
        <f>INDEX(BSFC!$D$4:$AD$26,MATCH(U241,BSFC!$B$4:$B$26,0),MATCH(G241,BSFC!$D$2:$AD$2,0))</f>
        <v>952.83484224000051</v>
      </c>
      <c r="W241" s="57">
        <f t="shared" si="53"/>
        <v>0.10255106714733879</v>
      </c>
      <c r="X241" s="57">
        <f t="shared" si="50"/>
        <v>0.10255106714733879</v>
      </c>
      <c r="Y241" s="57">
        <f t="shared" si="51"/>
        <v>0.31688279748527687</v>
      </c>
      <c r="Z241" s="79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x14ac:dyDescent="0.3">
      <c r="A242" s="55">
        <v>1</v>
      </c>
      <c r="B242" s="57" t="s">
        <v>118</v>
      </c>
      <c r="C242" s="57">
        <f t="shared" si="58"/>
        <v>239</v>
      </c>
      <c r="D242" s="57">
        <f t="shared" si="44"/>
        <v>12.102170000000001</v>
      </c>
      <c r="E242" s="86">
        <f t="shared" si="59"/>
        <v>5.41</v>
      </c>
      <c r="F242" s="86">
        <f>($C$4/E242)+F241</f>
        <v>27.998137232211398</v>
      </c>
      <c r="G242" s="57">
        <f t="shared" si="60"/>
        <v>2750</v>
      </c>
      <c r="H242" s="57">
        <v>1</v>
      </c>
      <c r="I242" s="86">
        <f>E242-E241</f>
        <v>0.5</v>
      </c>
      <c r="J242" s="57">
        <f>(0.5*VEHICLE!$C$71*VEHICLE!$C$28*VEHICLE!$C$27*'Drive Cycle'!E242^2)</f>
        <v>26.037021759209999</v>
      </c>
      <c r="K242" s="57">
        <f>IF(A242=1,VEHICLE!$S$5,IF(A242=2,VEHICLE!$Q$5,IF(A242=3,VEHICLE!$R$5,IF(A242=4,VEHICLE!$P$5,1))))</f>
        <v>72.351594900000009</v>
      </c>
      <c r="L242" s="57">
        <v>0</v>
      </c>
      <c r="M242" s="57">
        <f t="shared" si="52"/>
        <v>0</v>
      </c>
      <c r="N242" s="57">
        <f t="shared" si="45"/>
        <v>0</v>
      </c>
      <c r="O242" s="57">
        <f t="shared" si="46"/>
        <v>0</v>
      </c>
      <c r="P242" s="57">
        <f t="shared" si="47"/>
        <v>98.388616659210015</v>
      </c>
      <c r="Q242" s="57">
        <f>IF(H242=1,I242*VEHICLE!$C$69,IF(H242=2,VEHICLE!$C$70*I242,IF(H242=3,VEHICLE!$C$71*I242,0)))</f>
        <v>293.66011771409734</v>
      </c>
      <c r="R242" s="57">
        <f>(J242+K242+O242+Q242)</f>
        <v>392.04873437330735</v>
      </c>
      <c r="S242" s="57">
        <f t="shared" si="48"/>
        <v>392.04873437330735</v>
      </c>
      <c r="T242" s="57">
        <f>ABS((R242)/((2*PI()*G242)/60))</f>
        <v>1.3613780510930911</v>
      </c>
      <c r="U242" s="57">
        <f t="shared" si="49"/>
        <v>2</v>
      </c>
      <c r="V242" s="57">
        <f>INDEX(BSFC!$D$4:$AD$26,MATCH(U242,BSFC!$B$4:$B$26,0),MATCH(G242,BSFC!$D$2:$AD$2,0))</f>
        <v>947.2398822400005</v>
      </c>
      <c r="W242" s="57">
        <f t="shared" si="53"/>
        <v>0.10315672138336468</v>
      </c>
      <c r="X242" s="57">
        <f t="shared" si="50"/>
        <v>0.10315672138336468</v>
      </c>
      <c r="Y242" s="57">
        <f t="shared" si="51"/>
        <v>0.31875426907459686</v>
      </c>
      <c r="Z242" s="79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x14ac:dyDescent="0.3">
      <c r="A243" s="55">
        <v>1</v>
      </c>
      <c r="B243" s="57" t="s">
        <v>118</v>
      </c>
      <c r="C243" s="57">
        <f t="shared" si="58"/>
        <v>240</v>
      </c>
      <c r="D243" s="57">
        <f t="shared" si="44"/>
        <v>13.22067</v>
      </c>
      <c r="E243" s="86">
        <f t="shared" si="59"/>
        <v>5.91</v>
      </c>
      <c r="F243" s="86">
        <f>($C$4/E243)+F242</f>
        <v>28.167341969944054</v>
      </c>
      <c r="G243" s="57">
        <f t="shared" si="60"/>
        <v>3000</v>
      </c>
      <c r="H243" s="57">
        <v>2</v>
      </c>
      <c r="I243" s="86">
        <f>E243-E242</f>
        <v>0.5</v>
      </c>
      <c r="J243" s="57">
        <f>(0.5*VEHICLE!$C$71*VEHICLE!$C$28*VEHICLE!$C$27*'Drive Cycle'!E243^2)</f>
        <v>31.072180965209999</v>
      </c>
      <c r="K243" s="57">
        <f>IF(A243=1,VEHICLE!$S$5,IF(A243=2,VEHICLE!$Q$5,IF(A243=3,VEHICLE!$R$5,IF(A243=4,VEHICLE!$P$5,1))))</f>
        <v>72.351594900000009</v>
      </c>
      <c r="L243" s="57">
        <v>0</v>
      </c>
      <c r="M243" s="57">
        <f t="shared" si="52"/>
        <v>0</v>
      </c>
      <c r="N243" s="57">
        <f t="shared" si="45"/>
        <v>0</v>
      </c>
      <c r="O243" s="57">
        <f t="shared" si="46"/>
        <v>0</v>
      </c>
      <c r="P243" s="57">
        <f t="shared" si="47"/>
        <v>103.42377586521</v>
      </c>
      <c r="Q243" s="57">
        <f>IF(H243=1,I243*VEHICLE!$C$69,IF(H243=2,VEHICLE!$C$70*I243,IF(H243=3,VEHICLE!$C$71*I243,0)))</f>
        <v>292.57424326505867</v>
      </c>
      <c r="R243" s="57">
        <f>(J243+K243+O243+Q243)</f>
        <v>395.99801913026869</v>
      </c>
      <c r="S243" s="57">
        <f t="shared" si="48"/>
        <v>395.99801913026869</v>
      </c>
      <c r="T243" s="57">
        <f>ABS((R243)/((2*PI()*G243)/60))</f>
        <v>1.2605008439836238</v>
      </c>
      <c r="U243" s="57">
        <f t="shared" si="49"/>
        <v>2</v>
      </c>
      <c r="V243" s="57">
        <f>INDEX(BSFC!$D$4:$AD$26,MATCH(U243,BSFC!$B$4:$B$26,0),MATCH(G243,BSFC!$D$2:$AD$2,0))</f>
        <v>929.28963552000016</v>
      </c>
      <c r="W243" s="57">
        <f t="shared" si="53"/>
        <v>0.1022213485733915</v>
      </c>
      <c r="X243" s="57">
        <f t="shared" si="50"/>
        <v>0.1022213485733915</v>
      </c>
      <c r="Y243" s="57">
        <f t="shared" si="51"/>
        <v>0.31586396709177972</v>
      </c>
      <c r="Z243" s="79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x14ac:dyDescent="0.3">
      <c r="A244" s="55">
        <v>1</v>
      </c>
      <c r="B244" s="57" t="s">
        <v>118</v>
      </c>
      <c r="C244" s="57">
        <f t="shared" si="58"/>
        <v>241</v>
      </c>
      <c r="D244" s="57">
        <f t="shared" si="44"/>
        <v>14.339170000000001</v>
      </c>
      <c r="E244" s="86">
        <f t="shared" si="59"/>
        <v>6.41</v>
      </c>
      <c r="F244" s="86">
        <f>($C$4/E244)+F243</f>
        <v>28.323348210193664</v>
      </c>
      <c r="G244" s="57">
        <f t="shared" si="60"/>
        <v>3250</v>
      </c>
      <c r="H244" s="57">
        <v>2</v>
      </c>
      <c r="I244" s="86">
        <f>E244-E243</f>
        <v>0.5</v>
      </c>
      <c r="J244" s="57">
        <f>(0.5*VEHICLE!$C$71*VEHICLE!$C$28*VEHICLE!$C$27*'Drive Cycle'!E244^2)</f>
        <v>36.552142221209998</v>
      </c>
      <c r="K244" s="57">
        <f>IF(A244=1,VEHICLE!$S$5,IF(A244=2,VEHICLE!$Q$5,IF(A244=3,VEHICLE!$R$5,IF(A244=4,VEHICLE!$P$5,1))))</f>
        <v>72.351594900000009</v>
      </c>
      <c r="L244" s="57">
        <v>0</v>
      </c>
      <c r="M244" s="57">
        <f t="shared" si="52"/>
        <v>0</v>
      </c>
      <c r="N244" s="57">
        <f t="shared" si="45"/>
        <v>0</v>
      </c>
      <c r="O244" s="57">
        <f t="shared" si="46"/>
        <v>0</v>
      </c>
      <c r="P244" s="57">
        <f t="shared" si="47"/>
        <v>108.90373712121001</v>
      </c>
      <c r="Q244" s="57">
        <f>IF(H244=1,I244*VEHICLE!$C$69,IF(H244=2,VEHICLE!$C$70*I244,IF(H244=3,VEHICLE!$C$71*I244,0)))</f>
        <v>292.57424326505867</v>
      </c>
      <c r="R244" s="57">
        <f>(J244+K244+O244+Q244)</f>
        <v>401.47798038626865</v>
      </c>
      <c r="S244" s="57">
        <f t="shared" si="48"/>
        <v>401.47798038626865</v>
      </c>
      <c r="T244" s="57">
        <f>ABS((R244)/((2*PI()*G244)/60))</f>
        <v>1.1796407099266275</v>
      </c>
      <c r="U244" s="57">
        <f t="shared" si="49"/>
        <v>2</v>
      </c>
      <c r="V244" s="57">
        <f>INDEX(BSFC!$D$4:$AD$26,MATCH(U244,BSFC!$B$4:$B$26,0),MATCH(G244,BSFC!$D$2:$AD$2,0))</f>
        <v>915.61903879999988</v>
      </c>
      <c r="W244" s="57">
        <f t="shared" si="53"/>
        <v>0.10211135625017792</v>
      </c>
      <c r="X244" s="57">
        <f t="shared" si="50"/>
        <v>0.10211135625017792</v>
      </c>
      <c r="Y244" s="57">
        <f t="shared" si="51"/>
        <v>0.31552409081304977</v>
      </c>
      <c r="Z244" s="79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x14ac:dyDescent="0.3">
      <c r="A245" s="55">
        <v>1</v>
      </c>
      <c r="B245" s="57" t="s">
        <v>118</v>
      </c>
      <c r="C245" s="57">
        <f t="shared" si="58"/>
        <v>242</v>
      </c>
      <c r="D245" s="57">
        <f t="shared" si="44"/>
        <v>15.45767</v>
      </c>
      <c r="E245" s="86">
        <f t="shared" si="59"/>
        <v>6.91</v>
      </c>
      <c r="F245" s="86">
        <f>($C$4/E245)+F244</f>
        <v>28.468066010483099</v>
      </c>
      <c r="G245" s="57">
        <f t="shared" si="60"/>
        <v>3500</v>
      </c>
      <c r="H245" s="57">
        <v>2</v>
      </c>
      <c r="I245" s="86">
        <f>E245-E244</f>
        <v>0.5</v>
      </c>
      <c r="J245" s="57">
        <f>(0.5*VEHICLE!$C$71*VEHICLE!$C$28*VEHICLE!$C$27*'Drive Cycle'!E245^2)</f>
        <v>42.476905527209993</v>
      </c>
      <c r="K245" s="57">
        <f>IF(A245=1,VEHICLE!$S$5,IF(A245=2,VEHICLE!$Q$5,IF(A245=3,VEHICLE!$R$5,IF(A245=4,VEHICLE!$P$5,1))))</f>
        <v>72.351594900000009</v>
      </c>
      <c r="L245" s="57">
        <v>0</v>
      </c>
      <c r="M245" s="57">
        <f t="shared" si="52"/>
        <v>0</v>
      </c>
      <c r="N245" s="57">
        <f t="shared" si="45"/>
        <v>0</v>
      </c>
      <c r="O245" s="57">
        <f t="shared" si="46"/>
        <v>0</v>
      </c>
      <c r="P245" s="57">
        <f t="shared" si="47"/>
        <v>114.82850042721</v>
      </c>
      <c r="Q245" s="57">
        <f>IF(H245=1,I245*VEHICLE!$C$69,IF(H245=2,VEHICLE!$C$70*I245,IF(H245=3,VEHICLE!$C$71*I245,0)))</f>
        <v>292.57424326505867</v>
      </c>
      <c r="R245" s="57">
        <f>(J245+K245+O245+Q245)</f>
        <v>407.4027436922687</v>
      </c>
      <c r="S245" s="57">
        <f t="shared" si="48"/>
        <v>407.4027436922687</v>
      </c>
      <c r="T245" s="57">
        <f>ABS((R245)/((2*PI()*G245)/60))</f>
        <v>1.1115456083627153</v>
      </c>
      <c r="U245" s="57">
        <f t="shared" si="49"/>
        <v>2</v>
      </c>
      <c r="V245" s="57">
        <f>INDEX(BSFC!$D$4:$AD$26,MATCH(U245,BSFC!$B$4:$B$26,0),MATCH(G245,BSFC!$D$2:$AD$2,0))</f>
        <v>905.74442879999992</v>
      </c>
      <c r="W245" s="57">
        <f t="shared" si="53"/>
        <v>0.1025007681603074</v>
      </c>
      <c r="X245" s="57">
        <f t="shared" si="50"/>
        <v>0.1025007681603074</v>
      </c>
      <c r="Y245" s="57">
        <f t="shared" si="51"/>
        <v>0.31672737361534986</v>
      </c>
      <c r="Z245" s="79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x14ac:dyDescent="0.3">
      <c r="A246" s="55">
        <v>1</v>
      </c>
      <c r="B246" s="57" t="s">
        <v>118</v>
      </c>
      <c r="C246" s="57">
        <f t="shared" si="58"/>
        <v>243</v>
      </c>
      <c r="D246" s="57">
        <f t="shared" si="44"/>
        <v>16.576170000000001</v>
      </c>
      <c r="E246" s="86">
        <f t="shared" si="59"/>
        <v>7.41</v>
      </c>
      <c r="F246" s="86">
        <f>($C$4/E246)+F245</f>
        <v>28.603018777014814</v>
      </c>
      <c r="G246" s="57">
        <f t="shared" si="60"/>
        <v>3750</v>
      </c>
      <c r="H246" s="57">
        <v>2</v>
      </c>
      <c r="I246" s="86">
        <f>E246-E245</f>
        <v>0.5</v>
      </c>
      <c r="J246" s="57">
        <f>(0.5*VEHICLE!$C$71*VEHICLE!$C$28*VEHICLE!$C$27*'Drive Cycle'!E246^2)</f>
        <v>48.846470883209996</v>
      </c>
      <c r="K246" s="57">
        <f>IF(A246=1,VEHICLE!$S$5,IF(A246=2,VEHICLE!$Q$5,IF(A246=3,VEHICLE!$R$5,IF(A246=4,VEHICLE!$P$5,1))))</f>
        <v>72.351594900000009</v>
      </c>
      <c r="L246" s="57">
        <v>0</v>
      </c>
      <c r="M246" s="57">
        <f t="shared" si="52"/>
        <v>0</v>
      </c>
      <c r="N246" s="57">
        <f t="shared" si="45"/>
        <v>0</v>
      </c>
      <c r="O246" s="57">
        <f t="shared" si="46"/>
        <v>0</v>
      </c>
      <c r="P246" s="57">
        <f t="shared" si="47"/>
        <v>121.19806578321001</v>
      </c>
      <c r="Q246" s="57">
        <f>IF(H246=1,I246*VEHICLE!$C$69,IF(H246=2,VEHICLE!$C$70*I246,IF(H246=3,VEHICLE!$C$71*I246,0)))</f>
        <v>292.57424326505867</v>
      </c>
      <c r="R246" s="57">
        <f>(J246+K246+O246+Q246)</f>
        <v>413.77230904826865</v>
      </c>
      <c r="S246" s="57">
        <f t="shared" si="48"/>
        <v>413.77230904826865</v>
      </c>
      <c r="T246" s="57">
        <f>ABS((R246)/((2*PI()*G246)/60))</f>
        <v>1.0536625327932692</v>
      </c>
      <c r="U246" s="57">
        <f t="shared" si="49"/>
        <v>2</v>
      </c>
      <c r="V246" s="57">
        <f>INDEX(BSFC!$D$4:$AD$26,MATCH(U246,BSFC!$B$4:$B$26,0),MATCH(G246,BSFC!$D$2:$AD$2,0))</f>
        <v>928.43257663999975</v>
      </c>
      <c r="W246" s="57">
        <f t="shared" si="53"/>
        <v>0.10671102528665732</v>
      </c>
      <c r="X246" s="57">
        <f t="shared" si="50"/>
        <v>0.10671102528665732</v>
      </c>
      <c r="Y246" s="57">
        <f t="shared" si="51"/>
        <v>0.32973706813577114</v>
      </c>
      <c r="Z246" s="79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x14ac:dyDescent="0.3">
      <c r="A247" s="55">
        <v>1</v>
      </c>
      <c r="B247" s="57" t="s">
        <v>118</v>
      </c>
      <c r="C247" s="57">
        <f t="shared" si="58"/>
        <v>244</v>
      </c>
      <c r="D247" s="57">
        <f t="shared" si="44"/>
        <v>17.694670000000002</v>
      </c>
      <c r="E247" s="86">
        <f t="shared" si="59"/>
        <v>7.91</v>
      </c>
      <c r="F247" s="86">
        <f>($C$4/E247)+F246</f>
        <v>28.729441027330868</v>
      </c>
      <c r="G247" s="57">
        <f t="shared" si="60"/>
        <v>4000</v>
      </c>
      <c r="H247" s="57">
        <v>2</v>
      </c>
      <c r="I247" s="86">
        <f>E247-E246</f>
        <v>0.5</v>
      </c>
      <c r="J247" s="57">
        <f>(0.5*VEHICLE!$C$71*VEHICLE!$C$28*VEHICLE!$C$27*'Drive Cycle'!E247^2)</f>
        <v>55.660838289209991</v>
      </c>
      <c r="K247" s="57">
        <f>IF(A247=1,VEHICLE!$S$5,IF(A247=2,VEHICLE!$Q$5,IF(A247=3,VEHICLE!$R$5,IF(A247=4,VEHICLE!$P$5,1))))</f>
        <v>72.351594900000009</v>
      </c>
      <c r="L247" s="57">
        <v>0</v>
      </c>
      <c r="M247" s="57">
        <f t="shared" si="52"/>
        <v>0</v>
      </c>
      <c r="N247" s="57">
        <f t="shared" si="45"/>
        <v>0</v>
      </c>
      <c r="O247" s="57">
        <f t="shared" si="46"/>
        <v>0</v>
      </c>
      <c r="P247" s="57">
        <f t="shared" si="47"/>
        <v>128.01243318921001</v>
      </c>
      <c r="Q247" s="57">
        <f>IF(H247=1,I247*VEHICLE!$C$69,IF(H247=2,VEHICLE!$C$70*I247,IF(H247=3,VEHICLE!$C$71*I247,0)))</f>
        <v>292.57424326505867</v>
      </c>
      <c r="R247" s="57">
        <f>(J247+K247+O247+Q247)</f>
        <v>420.58667645426868</v>
      </c>
      <c r="S247" s="57">
        <f t="shared" si="48"/>
        <v>420.58667645426868</v>
      </c>
      <c r="T247" s="57">
        <f>ABS((R247)/((2*PI()*G247)/60))</f>
        <v>1.0040767283443279</v>
      </c>
      <c r="U247" s="57">
        <f t="shared" si="49"/>
        <v>2</v>
      </c>
      <c r="V247" s="57">
        <f>INDEX(BSFC!$D$4:$AD$26,MATCH(U247,BSFC!$B$4:$B$26,0),MATCH(G247,BSFC!$D$2:$AD$2,0))</f>
        <v>918.89477663999969</v>
      </c>
      <c r="W247" s="57">
        <f t="shared" si="53"/>
        <v>0.10735413892172363</v>
      </c>
      <c r="X247" s="57">
        <f t="shared" si="50"/>
        <v>0.10735413892172363</v>
      </c>
      <c r="Y247" s="57">
        <f t="shared" si="51"/>
        <v>0.33172428926812603</v>
      </c>
      <c r="Z247" s="79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x14ac:dyDescent="0.3">
      <c r="A248" s="55">
        <v>1</v>
      </c>
      <c r="B248" s="56" t="s">
        <v>104</v>
      </c>
      <c r="C248" s="56">
        <f t="shared" si="58"/>
        <v>245</v>
      </c>
      <c r="D248" s="56">
        <f t="shared" si="44"/>
        <v>18.81317</v>
      </c>
      <c r="E248" s="94">
        <f t="shared" si="59"/>
        <v>8.41</v>
      </c>
      <c r="F248" s="94">
        <f>($C$4/E248)+F247</f>
        <v>28.848347091540141</v>
      </c>
      <c r="G248" s="56">
        <f t="shared" si="60"/>
        <v>4250</v>
      </c>
      <c r="H248" s="56">
        <v>2</v>
      </c>
      <c r="I248" s="94">
        <f>E248-E247</f>
        <v>0.5</v>
      </c>
      <c r="J248" s="56">
        <f>(0.5*VEHICLE!$C$71*VEHICLE!$C$28*VEHICLE!$C$27*'Drive Cycle'!E248^2)</f>
        <v>62.920007745209993</v>
      </c>
      <c r="K248" s="56">
        <f>IF(A248=1,VEHICLE!$S$5,IF(A248=2,VEHICLE!$Q$5,IF(A248=3,VEHICLE!$R$5,IF(A248=4,VEHICLE!$P$5,1))))</f>
        <v>72.351594900000009</v>
      </c>
      <c r="L248" s="56">
        <v>0</v>
      </c>
      <c r="M248" s="56">
        <f t="shared" si="52"/>
        <v>0</v>
      </c>
      <c r="N248" s="56">
        <f t="shared" si="45"/>
        <v>0</v>
      </c>
      <c r="O248" s="56">
        <f t="shared" si="46"/>
        <v>0</v>
      </c>
      <c r="P248" s="56">
        <f t="shared" si="47"/>
        <v>135.27160264521001</v>
      </c>
      <c r="Q248" s="56">
        <f>IF(H248=1,I248*VEHICLE!$C$69,IF(H248=2,VEHICLE!$C$70*I248,IF(H248=3,VEHICLE!$C$71*I248,0)))</f>
        <v>292.57424326505867</v>
      </c>
      <c r="R248" s="56">
        <f>(J248+K248+O248+Q248)</f>
        <v>427.84584591026868</v>
      </c>
      <c r="S248" s="56">
        <f t="shared" si="48"/>
        <v>427.84584591026868</v>
      </c>
      <c r="T248" s="56">
        <f>ABS((R248)/((2*PI()*G248)/60))</f>
        <v>0.96132397070050779</v>
      </c>
      <c r="U248" s="56">
        <f t="shared" si="49"/>
        <v>1</v>
      </c>
      <c r="V248" s="56">
        <f>INDEX(BSFC!$D$4:$AD$26,MATCH(U248,BSFC!$B$4:$B$26,0),MATCH(G248,BSFC!$D$2:$AD$2,0))</f>
        <v>1010.1133235199997</v>
      </c>
      <c r="W248" s="56">
        <f t="shared" si="53"/>
        <v>0.12004799704629088</v>
      </c>
      <c r="X248" s="56">
        <f t="shared" si="50"/>
        <v>0.12004799704629088</v>
      </c>
      <c r="Y248" s="56">
        <f t="shared" si="51"/>
        <v>0.37094831087303881</v>
      </c>
      <c r="Z248" s="79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x14ac:dyDescent="0.3">
      <c r="A249" s="55">
        <v>1</v>
      </c>
      <c r="B249" s="56" t="s">
        <v>104</v>
      </c>
      <c r="C249" s="56">
        <f t="shared" si="58"/>
        <v>246</v>
      </c>
      <c r="D249" s="56">
        <f t="shared" si="44"/>
        <v>19.93167</v>
      </c>
      <c r="E249" s="94">
        <f>E248+0.5</f>
        <v>8.91</v>
      </c>
      <c r="F249" s="94">
        <f>($C$4/E249)+F248</f>
        <v>28.960580537106921</v>
      </c>
      <c r="G249" s="56">
        <f t="shared" si="60"/>
        <v>4500</v>
      </c>
      <c r="H249" s="56">
        <v>2</v>
      </c>
      <c r="I249" s="94">
        <f>E249-E248</f>
        <v>0.5</v>
      </c>
      <c r="J249" s="56">
        <f>(0.5*VEHICLE!$C$71*VEHICLE!$C$28*VEHICLE!$C$27*'Drive Cycle'!E249^2)</f>
        <v>70.623979251210002</v>
      </c>
      <c r="K249" s="56">
        <f>IF(A249=1,VEHICLE!$S$5,IF(A249=2,VEHICLE!$Q$5,IF(A249=3,VEHICLE!$R$5,IF(A249=4,VEHICLE!$P$5,1))))</f>
        <v>72.351594900000009</v>
      </c>
      <c r="L249" s="56">
        <v>0</v>
      </c>
      <c r="M249" s="56">
        <f t="shared" si="52"/>
        <v>0</v>
      </c>
      <c r="N249" s="56">
        <f t="shared" si="45"/>
        <v>0</v>
      </c>
      <c r="O249" s="56">
        <f t="shared" si="46"/>
        <v>0</v>
      </c>
      <c r="P249" s="56">
        <f t="shared" si="47"/>
        <v>142.97557415121003</v>
      </c>
      <c r="Q249" s="56">
        <f>IF(H249=1,I249*VEHICLE!$C$69,IF(H249=2,VEHICLE!$C$70*I249,IF(H249=3,VEHICLE!$C$71*I249,0)))</f>
        <v>292.57424326505867</v>
      </c>
      <c r="R249" s="56">
        <f>(J249+K249+O249+Q249)</f>
        <v>435.5498174162687</v>
      </c>
      <c r="S249" s="56">
        <f t="shared" si="48"/>
        <v>435.5498174162687</v>
      </c>
      <c r="T249" s="56">
        <f>ABS((R249)/((2*PI()*G249)/60))</f>
        <v>0.92426541872762191</v>
      </c>
      <c r="U249" s="56">
        <f t="shared" si="49"/>
        <v>1</v>
      </c>
      <c r="V249" s="56">
        <f>INDEX(BSFC!$D$4:$AD$26,MATCH(U249,BSFC!$B$4:$B$26,0),MATCH(G249,BSFC!$D$2:$AD$2,0))</f>
        <v>996.72332351999967</v>
      </c>
      <c r="W249" s="56">
        <f t="shared" si="53"/>
        <v>0.120589628214909</v>
      </c>
      <c r="X249" s="56">
        <f t="shared" si="50"/>
        <v>0.120589628214909</v>
      </c>
      <c r="Y249" s="56">
        <f t="shared" si="51"/>
        <v>0.37262195118406877</v>
      </c>
      <c r="Z249" s="79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x14ac:dyDescent="0.3">
      <c r="A250" s="55">
        <v>1</v>
      </c>
      <c r="B250" s="56" t="s">
        <v>104</v>
      </c>
      <c r="C250" s="56">
        <f t="shared" si="58"/>
        <v>247</v>
      </c>
      <c r="D250" s="56">
        <f t="shared" si="44"/>
        <v>21.050170000000001</v>
      </c>
      <c r="E250" s="94">
        <f t="shared" si="59"/>
        <v>9.41</v>
      </c>
      <c r="F250" s="94">
        <f>($C$4/E250)+F249</f>
        <v>29.066850462717973</v>
      </c>
      <c r="G250" s="56">
        <f t="shared" si="60"/>
        <v>4750</v>
      </c>
      <c r="H250" s="56">
        <v>2</v>
      </c>
      <c r="I250" s="94">
        <f>E250-E249</f>
        <v>0.5</v>
      </c>
      <c r="J250" s="56">
        <f>(0.5*VEHICLE!$C$71*VEHICLE!$C$28*VEHICLE!$C$27*'Drive Cycle'!E250^2)</f>
        <v>78.772752807209997</v>
      </c>
      <c r="K250" s="56">
        <f>IF(A250=1,VEHICLE!$S$5,IF(A250=2,VEHICLE!$Q$5,IF(A250=3,VEHICLE!$R$5,IF(A250=4,VEHICLE!$P$5,1))))</f>
        <v>72.351594900000009</v>
      </c>
      <c r="L250" s="56">
        <v>0</v>
      </c>
      <c r="M250" s="56">
        <f t="shared" si="52"/>
        <v>0</v>
      </c>
      <c r="N250" s="56">
        <f t="shared" si="45"/>
        <v>0</v>
      </c>
      <c r="O250" s="56">
        <f t="shared" si="46"/>
        <v>0</v>
      </c>
      <c r="P250" s="56">
        <f t="shared" si="47"/>
        <v>151.12434770721001</v>
      </c>
      <c r="Q250" s="56">
        <f>IF(H250=1,I250*VEHICLE!$C$69,IF(H250=2,VEHICLE!$C$70*I250,IF(H250=3,VEHICLE!$C$71*I250,0)))</f>
        <v>292.57424326505867</v>
      </c>
      <c r="R250" s="56">
        <f>(J250+K250+O250+Q250)</f>
        <v>443.69859097226868</v>
      </c>
      <c r="S250" s="56">
        <f t="shared" si="48"/>
        <v>443.69859097226868</v>
      </c>
      <c r="T250" s="56">
        <f>ABS((R250)/((2*PI()*G250)/60))</f>
        <v>0.89200198731973346</v>
      </c>
      <c r="U250" s="56">
        <f t="shared" si="49"/>
        <v>1</v>
      </c>
      <c r="V250" s="56">
        <f>INDEX(BSFC!$D$4:$AD$26,MATCH(U250,BSFC!$B$4:$B$26,0),MATCH(G250,BSFC!$D$2:$AD$2,0))</f>
        <v>989.10544351999977</v>
      </c>
      <c r="W250" s="56">
        <f t="shared" si="53"/>
        <v>0.12190685878134022</v>
      </c>
      <c r="X250" s="56">
        <f t="shared" si="50"/>
        <v>0.12190685878134022</v>
      </c>
      <c r="Y250" s="56">
        <f t="shared" si="51"/>
        <v>0.37669219363434125</v>
      </c>
      <c r="Z250" s="79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x14ac:dyDescent="0.3">
      <c r="A251" s="55">
        <v>1</v>
      </c>
      <c r="B251" s="56" t="s">
        <v>104</v>
      </c>
      <c r="C251" s="56">
        <f t="shared" si="58"/>
        <v>248</v>
      </c>
      <c r="D251" s="56">
        <f t="shared" si="44"/>
        <v>22.168670000000002</v>
      </c>
      <c r="E251" s="94">
        <f t="shared" si="59"/>
        <v>9.91</v>
      </c>
      <c r="F251" s="94">
        <f>($C$4/E251)+F250</f>
        <v>29.167758636280031</v>
      </c>
      <c r="G251" s="56">
        <f t="shared" si="60"/>
        <v>5000</v>
      </c>
      <c r="H251" s="56">
        <v>2</v>
      </c>
      <c r="I251" s="94">
        <f>E251-E250</f>
        <v>0.5</v>
      </c>
      <c r="J251" s="56">
        <f>(0.5*VEHICLE!$C$71*VEHICLE!$C$28*VEHICLE!$C$27*'Drive Cycle'!E251^2)</f>
        <v>87.366328413209985</v>
      </c>
      <c r="K251" s="56">
        <f>IF(A251=1,VEHICLE!$S$5,IF(A251=2,VEHICLE!$Q$5,IF(A251=3,VEHICLE!$R$5,IF(A251=4,VEHICLE!$P$5,1))))</f>
        <v>72.351594900000009</v>
      </c>
      <c r="L251" s="56">
        <v>0</v>
      </c>
      <c r="M251" s="56">
        <f t="shared" si="52"/>
        <v>0</v>
      </c>
      <c r="N251" s="56">
        <f t="shared" si="45"/>
        <v>0</v>
      </c>
      <c r="O251" s="56">
        <f t="shared" si="46"/>
        <v>0</v>
      </c>
      <c r="P251" s="56">
        <f t="shared" si="47"/>
        <v>159.71792331321001</v>
      </c>
      <c r="Q251" s="56">
        <f>IF(H251=1,I251*VEHICLE!$C$69,IF(H251=2,VEHICLE!$C$70*I251,IF(H251=3,VEHICLE!$C$71*I251,0)))</f>
        <v>292.57424326505867</v>
      </c>
      <c r="R251" s="56">
        <f>(J251+K251+O251+Q251)</f>
        <v>452.29216657826868</v>
      </c>
      <c r="S251" s="56">
        <f t="shared" si="48"/>
        <v>452.29216657826868</v>
      </c>
      <c r="T251" s="56">
        <f>ABS((R251)/((2*PI()*G251)/60))</f>
        <v>0.86381440839209278</v>
      </c>
      <c r="U251" s="56">
        <f t="shared" si="49"/>
        <v>1</v>
      </c>
      <c r="V251" s="56">
        <f>INDEX(BSFC!$D$4:$AD$26,MATCH(U251,BSFC!$B$4:$B$26,0),MATCH(G251,BSFC!$D$2:$AD$2,0))</f>
        <v>967.30583135999973</v>
      </c>
      <c r="W251" s="56">
        <f t="shared" si="53"/>
        <v>0.12152912505822436</v>
      </c>
      <c r="X251" s="56">
        <f t="shared" si="50"/>
        <v>0.12152912505822436</v>
      </c>
      <c r="Y251" s="56">
        <f t="shared" si="51"/>
        <v>0.37552499642991327</v>
      </c>
      <c r="Z251" s="79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x14ac:dyDescent="0.3">
      <c r="A252" s="55">
        <v>1</v>
      </c>
      <c r="B252" s="56" t="s">
        <v>104</v>
      </c>
      <c r="C252" s="56">
        <f t="shared" si="58"/>
        <v>249</v>
      </c>
      <c r="D252" s="56">
        <f t="shared" si="44"/>
        <v>23.28717</v>
      </c>
      <c r="E252" s="94">
        <f t="shared" si="59"/>
        <v>10.41</v>
      </c>
      <c r="F252" s="94">
        <f>($C$4/E252)+F251</f>
        <v>29.263820115626814</v>
      </c>
      <c r="G252" s="56">
        <f t="shared" si="60"/>
        <v>5250</v>
      </c>
      <c r="H252" s="56">
        <v>2</v>
      </c>
      <c r="I252" s="94">
        <f>E252-E251</f>
        <v>0.5</v>
      </c>
      <c r="J252" s="56">
        <f>(0.5*VEHICLE!$C$71*VEHICLE!$C$28*VEHICLE!$C$27*'Drive Cycle'!E252^2)</f>
        <v>96.404706069209993</v>
      </c>
      <c r="K252" s="56">
        <f>IF(A252=1,VEHICLE!$S$5,IF(A252=2,VEHICLE!$Q$5,IF(A252=3,VEHICLE!$R$5,IF(A252=4,VEHICLE!$P$5,1))))</f>
        <v>72.351594900000009</v>
      </c>
      <c r="L252" s="56">
        <v>0</v>
      </c>
      <c r="M252" s="56">
        <f t="shared" si="52"/>
        <v>0</v>
      </c>
      <c r="N252" s="56">
        <f t="shared" si="45"/>
        <v>0</v>
      </c>
      <c r="O252" s="56">
        <f t="shared" si="46"/>
        <v>0</v>
      </c>
      <c r="P252" s="56">
        <f t="shared" si="47"/>
        <v>168.75630096921</v>
      </c>
      <c r="Q252" s="56">
        <f>IF(H252=1,I252*VEHICLE!$C$69,IF(H252=2,VEHICLE!$C$70*I252,IF(H252=3,VEHICLE!$C$71*I252,0)))</f>
        <v>292.57424326505867</v>
      </c>
      <c r="R252" s="56">
        <f>(J252+K252+O252+Q252)</f>
        <v>461.3305442342687</v>
      </c>
      <c r="S252" s="56">
        <f t="shared" si="48"/>
        <v>461.3305442342687</v>
      </c>
      <c r="T252" s="56">
        <f>ABS((R252)/((2*PI()*G252)/60))</f>
        <v>0.83912041730466458</v>
      </c>
      <c r="U252" s="56">
        <f t="shared" si="49"/>
        <v>1</v>
      </c>
      <c r="V252" s="56">
        <f>INDEX(BSFC!$D$4:$AD$26,MATCH(U252,BSFC!$B$4:$B$26,0),MATCH(G252,BSFC!$D$2:$AD$2,0))</f>
        <v>959.82391135999978</v>
      </c>
      <c r="W252" s="56">
        <f t="shared" si="53"/>
        <v>0.12299891316577032</v>
      </c>
      <c r="X252" s="56">
        <f t="shared" si="50"/>
        <v>0.12299891316577032</v>
      </c>
      <c r="Y252" s="56">
        <f t="shared" si="51"/>
        <v>0.38006664168223026</v>
      </c>
      <c r="Z252" s="79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x14ac:dyDescent="0.3">
      <c r="A253" s="55">
        <v>1</v>
      </c>
      <c r="B253" s="56" t="s">
        <v>104</v>
      </c>
      <c r="C253" s="56">
        <f t="shared" si="58"/>
        <v>250</v>
      </c>
      <c r="D253" s="56">
        <f t="shared" si="44"/>
        <v>24.405670000000001</v>
      </c>
      <c r="E253" s="94">
        <f t="shared" si="59"/>
        <v>10.91</v>
      </c>
      <c r="F253" s="94">
        <f>($C$4/E253)+F252</f>
        <v>29.355479144041112</v>
      </c>
      <c r="G253" s="56">
        <f t="shared" si="60"/>
        <v>5500</v>
      </c>
      <c r="H253" s="56">
        <v>2</v>
      </c>
      <c r="I253" s="94">
        <f>E253-E252</f>
        <v>0.5</v>
      </c>
      <c r="J253" s="56">
        <f>(0.5*VEHICLE!$C$71*VEHICLE!$C$28*VEHICLE!$C$27*'Drive Cycle'!E253^2)</f>
        <v>105.88788577520999</v>
      </c>
      <c r="K253" s="56">
        <f>IF(A253=1,VEHICLE!$S$5,IF(A253=2,VEHICLE!$Q$5,IF(A253=3,VEHICLE!$R$5,IF(A253=4,VEHICLE!$P$5,1))))</f>
        <v>72.351594900000009</v>
      </c>
      <c r="L253" s="56">
        <v>0</v>
      </c>
      <c r="M253" s="56">
        <f t="shared" si="52"/>
        <v>0</v>
      </c>
      <c r="N253" s="56">
        <f t="shared" si="45"/>
        <v>0</v>
      </c>
      <c r="O253" s="56">
        <f t="shared" si="46"/>
        <v>0</v>
      </c>
      <c r="P253" s="56">
        <f t="shared" si="47"/>
        <v>178.23948067521002</v>
      </c>
      <c r="Q253" s="56">
        <f>IF(H253=1,I253*VEHICLE!$C$69,IF(H253=2,VEHICLE!$C$70*I253,IF(H253=3,VEHICLE!$C$71*I253,0)))</f>
        <v>292.57424326505867</v>
      </c>
      <c r="R253" s="56">
        <f>(J253+K253+O253+Q253)</f>
        <v>470.81372394026869</v>
      </c>
      <c r="S253" s="56">
        <f t="shared" si="48"/>
        <v>470.81372394026869</v>
      </c>
      <c r="T253" s="56">
        <f>ABS((R253)/((2*PI()*G253)/60))</f>
        <v>0.81744361571560142</v>
      </c>
      <c r="U253" s="56">
        <f t="shared" si="49"/>
        <v>1</v>
      </c>
      <c r="V253" s="56">
        <f>INDEX(BSFC!$D$4:$AD$26,MATCH(U253,BSFC!$B$4:$B$26,0),MATCH(G253,BSFC!$D$2:$AD$2,0))</f>
        <v>937.88833920000002</v>
      </c>
      <c r="W253" s="56">
        <f t="shared" si="53"/>
        <v>0.12265852822747385</v>
      </c>
      <c r="X253" s="56">
        <f t="shared" si="50"/>
        <v>0.12265852822747385</v>
      </c>
      <c r="Y253" s="56">
        <f t="shared" si="51"/>
        <v>0.37901485222289416</v>
      </c>
      <c r="Z253" s="79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x14ac:dyDescent="0.3">
      <c r="A254" s="55">
        <v>1</v>
      </c>
      <c r="B254" s="56" t="s">
        <v>104</v>
      </c>
      <c r="C254" s="56">
        <f t="shared" si="58"/>
        <v>251</v>
      </c>
      <c r="D254" s="56">
        <f t="shared" si="44"/>
        <v>25.524170000000002</v>
      </c>
      <c r="E254" s="94">
        <f t="shared" si="59"/>
        <v>11.41</v>
      </c>
      <c r="F254" s="94">
        <f>($C$4/E254)+F253</f>
        <v>29.443121562971875</v>
      </c>
      <c r="G254" s="56">
        <f t="shared" si="60"/>
        <v>5750</v>
      </c>
      <c r="H254" s="56">
        <v>3</v>
      </c>
      <c r="I254" s="94">
        <f>E254-E253</f>
        <v>0.5</v>
      </c>
      <c r="J254" s="56">
        <f>(0.5*VEHICLE!$C$71*VEHICLE!$C$28*VEHICLE!$C$27*'Drive Cycle'!E254^2)</f>
        <v>115.81586753120997</v>
      </c>
      <c r="K254" s="56">
        <f>IF(A254=1,VEHICLE!$S$5,IF(A254=2,VEHICLE!$Q$5,IF(A254=3,VEHICLE!$R$5,IF(A254=4,VEHICLE!$P$5,1))))</f>
        <v>72.351594900000009</v>
      </c>
      <c r="L254" s="56">
        <v>0</v>
      </c>
      <c r="M254" s="56">
        <f t="shared" si="52"/>
        <v>0</v>
      </c>
      <c r="N254" s="56">
        <f t="shared" si="45"/>
        <v>0</v>
      </c>
      <c r="O254" s="56">
        <f t="shared" si="46"/>
        <v>0</v>
      </c>
      <c r="P254" s="56">
        <f t="shared" si="47"/>
        <v>188.16746243120997</v>
      </c>
      <c r="Q254" s="56">
        <f>IF(H254=1,I254*VEHICLE!$C$69,IF(H254=2,VEHICLE!$C$70*I254,IF(H254=3,VEHICLE!$C$71*I254,0)))</f>
        <v>0.58350000000000002</v>
      </c>
      <c r="R254" s="56">
        <f>(J254+K254+O254+Q254)</f>
        <v>188.75096243120996</v>
      </c>
      <c r="S254" s="56">
        <f t="shared" si="48"/>
        <v>188.75096243120996</v>
      </c>
      <c r="T254" s="56">
        <f>ABS((R254)/((2*PI()*G254)/60))</f>
        <v>0.31346763844465764</v>
      </c>
      <c r="U254" s="56">
        <f t="shared" si="49"/>
        <v>1</v>
      </c>
      <c r="V254" s="56">
        <f>INDEX(BSFC!$D$4:$AD$26,MATCH(U254,BSFC!$B$4:$B$26,0),MATCH(G254,BSFC!$D$2:$AD$2,0))</f>
        <v>963.78871919999995</v>
      </c>
      <c r="W254" s="56">
        <f t="shared" si="53"/>
        <v>5.0532235647039764E-2</v>
      </c>
      <c r="X254" s="56">
        <f t="shared" si="50"/>
        <v>5.0532235647039764E-2</v>
      </c>
      <c r="Y254" s="56">
        <f t="shared" si="51"/>
        <v>0.15614460814935285</v>
      </c>
      <c r="Z254" s="79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x14ac:dyDescent="0.3">
      <c r="A255" s="55">
        <v>1</v>
      </c>
      <c r="B255" s="56" t="s">
        <v>104</v>
      </c>
      <c r="C255" s="56">
        <f t="shared" si="58"/>
        <v>252</v>
      </c>
      <c r="D255" s="56">
        <f t="shared" si="44"/>
        <v>27.76117</v>
      </c>
      <c r="E255" s="94">
        <f>E254+1</f>
        <v>12.41</v>
      </c>
      <c r="F255" s="94">
        <f>($C$4/E255)+F254</f>
        <v>29.523701740248264</v>
      </c>
      <c r="G255" s="56">
        <f t="shared" si="60"/>
        <v>6000</v>
      </c>
      <c r="H255" s="56">
        <v>3</v>
      </c>
      <c r="I255" s="94">
        <f>E255-E254</f>
        <v>1</v>
      </c>
      <c r="J255" s="56">
        <f>(0.5*VEHICLE!$C$71*VEHICLE!$C$28*VEHICLE!$C$27*'Drive Cycle'!E255^2)</f>
        <v>137.00623719320998</v>
      </c>
      <c r="K255" s="56">
        <f>IF(A255=1,VEHICLE!$S$5,IF(A255=2,VEHICLE!$Q$5,IF(A255=3,VEHICLE!$R$5,IF(A255=4,VEHICLE!$P$5,1))))</f>
        <v>72.351594900000009</v>
      </c>
      <c r="L255" s="56">
        <v>0</v>
      </c>
      <c r="M255" s="56">
        <f t="shared" si="52"/>
        <v>0</v>
      </c>
      <c r="N255" s="56">
        <f t="shared" si="45"/>
        <v>0</v>
      </c>
      <c r="O255" s="56">
        <f t="shared" si="46"/>
        <v>0</v>
      </c>
      <c r="P255" s="56">
        <f t="shared" si="47"/>
        <v>209.35783209320999</v>
      </c>
      <c r="Q255" s="56">
        <f>IF(H255=1,I255*VEHICLE!$C$69,IF(H255=2,VEHICLE!$C$70*I255,IF(H255=3,VEHICLE!$C$71*I255,0)))</f>
        <v>1.167</v>
      </c>
      <c r="R255" s="56">
        <f>(J255+K255+O255+Q255)</f>
        <v>210.52483209320999</v>
      </c>
      <c r="S255" s="56">
        <f t="shared" si="48"/>
        <v>210.52483209320999</v>
      </c>
      <c r="T255" s="56">
        <f>ABS((R255)/((2*PI()*G255)/60))</f>
        <v>0.33506067671225659</v>
      </c>
      <c r="U255" s="56">
        <f t="shared" si="49"/>
        <v>1</v>
      </c>
      <c r="V255" s="56">
        <f>INDEX(BSFC!$D$4:$AD$26,MATCH(U255,BSFC!$B$4:$B$26,0),MATCH(G255,BSFC!$D$2:$AD$2,0))</f>
        <v>933.91499472000044</v>
      </c>
      <c r="W255" s="56">
        <f t="shared" si="53"/>
        <v>5.4614527070210889E-2</v>
      </c>
      <c r="X255" s="56">
        <f t="shared" si="50"/>
        <v>5.4614527070210889E-2</v>
      </c>
      <c r="Y255" s="56">
        <f t="shared" si="51"/>
        <v>0.16875888864695163</v>
      </c>
      <c r="Z255" s="79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x14ac:dyDescent="0.3">
      <c r="A256" s="55">
        <v>1</v>
      </c>
      <c r="B256" s="56" t="s">
        <v>104</v>
      </c>
      <c r="C256" s="56">
        <f t="shared" si="58"/>
        <v>253</v>
      </c>
      <c r="D256" s="56">
        <f t="shared" si="44"/>
        <v>29.998170000000002</v>
      </c>
      <c r="E256" s="94">
        <f>E255+1</f>
        <v>13.41</v>
      </c>
      <c r="F256" s="94">
        <f>($C$4/E256)+F255</f>
        <v>29.598272955759075</v>
      </c>
      <c r="G256" s="56">
        <v>7000</v>
      </c>
      <c r="H256" s="56">
        <v>3</v>
      </c>
      <c r="I256" s="94">
        <f>E256-E255</f>
        <v>1</v>
      </c>
      <c r="J256" s="56">
        <f>(0.5*VEHICLE!$C$71*VEHICLE!$C$28*VEHICLE!$C$27*'Drive Cycle'!E256^2)</f>
        <v>159.97581505520998</v>
      </c>
      <c r="K256" s="56">
        <f>IF(A256=1,VEHICLE!$S$5,IF(A256=2,VEHICLE!$Q$5,IF(A256=3,VEHICLE!$R$5,IF(A256=4,VEHICLE!$P$5,1))))</f>
        <v>72.351594900000009</v>
      </c>
      <c r="L256" s="56">
        <v>0</v>
      </c>
      <c r="M256" s="56">
        <f t="shared" si="52"/>
        <v>0</v>
      </c>
      <c r="N256" s="56">
        <f t="shared" si="45"/>
        <v>0</v>
      </c>
      <c r="O256" s="56">
        <f t="shared" si="46"/>
        <v>0</v>
      </c>
      <c r="P256" s="56">
        <f t="shared" si="47"/>
        <v>232.32740995520999</v>
      </c>
      <c r="Q256" s="56">
        <f>IF(H256=1,I256*VEHICLE!$C$69,IF(H256=2,VEHICLE!$C$70*I256,IF(H256=3,VEHICLE!$C$71*I256,0)))</f>
        <v>1.167</v>
      </c>
      <c r="R256" s="56">
        <f>(J256+K256+O256+Q256)</f>
        <v>233.49440995520999</v>
      </c>
      <c r="S256" s="56">
        <f t="shared" si="48"/>
        <v>233.49440995520999</v>
      </c>
      <c r="T256" s="56">
        <f>ABS((R256)/((2*PI()*G256)/60))</f>
        <v>0.3185296245316897</v>
      </c>
      <c r="U256" s="56">
        <f t="shared" si="49"/>
        <v>1</v>
      </c>
      <c r="V256" s="56">
        <f>INDEX(BSFC!$D$4:$AD$26,MATCH(U256,BSFC!$B$4:$B$26,0),MATCH(G256,BSFC!$D$2:$AD$2,0))</f>
        <v>920.25590927999997</v>
      </c>
      <c r="W256" s="56">
        <f t="shared" si="53"/>
        <v>5.9687391818091351E-2</v>
      </c>
      <c r="X256" s="56">
        <f t="shared" si="50"/>
        <v>5.9687391818091351E-2</v>
      </c>
      <c r="Y256" s="56">
        <f t="shared" si="51"/>
        <v>0.18443404071790226</v>
      </c>
      <c r="Z256" s="79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x14ac:dyDescent="0.3">
      <c r="A257" s="55">
        <v>1</v>
      </c>
      <c r="B257" s="56" t="s">
        <v>104</v>
      </c>
      <c r="C257" s="56">
        <f t="shared" si="58"/>
        <v>254</v>
      </c>
      <c r="D257" s="56">
        <f t="shared" si="44"/>
        <v>29.998170000000002</v>
      </c>
      <c r="E257" s="94">
        <f>E256</f>
        <v>13.41</v>
      </c>
      <c r="F257" s="94">
        <f>($C$4/E257)+F256</f>
        <v>29.672844171269887</v>
      </c>
      <c r="G257" s="56">
        <f>G256</f>
        <v>7000</v>
      </c>
      <c r="H257" s="56">
        <v>3</v>
      </c>
      <c r="I257" s="94">
        <f>E257-E256</f>
        <v>0</v>
      </c>
      <c r="J257" s="56">
        <f>(0.5*VEHICLE!$C$71*VEHICLE!$C$28*VEHICLE!$C$27*'Drive Cycle'!E257^2)</f>
        <v>159.97581505520998</v>
      </c>
      <c r="K257" s="56">
        <f>IF(A257=1,VEHICLE!$S$5,IF(A257=2,VEHICLE!$Q$5,IF(A257=3,VEHICLE!$R$5,IF(A257=4,VEHICLE!$P$5,1))))</f>
        <v>72.351594900000009</v>
      </c>
      <c r="L257" s="56">
        <v>0</v>
      </c>
      <c r="M257" s="56">
        <f t="shared" si="52"/>
        <v>0</v>
      </c>
      <c r="N257" s="56">
        <f t="shared" si="45"/>
        <v>0</v>
      </c>
      <c r="O257" s="56">
        <f t="shared" si="46"/>
        <v>0</v>
      </c>
      <c r="P257" s="56">
        <f t="shared" si="47"/>
        <v>232.32740995520999</v>
      </c>
      <c r="Q257" s="56">
        <f>IF(H257=1,I257*VEHICLE!$C$69,IF(H257=2,VEHICLE!$C$70*I257,IF(H257=3,VEHICLE!$C$71*I257,0)))</f>
        <v>0</v>
      </c>
      <c r="R257" s="56">
        <f>(J257+K257+O257+Q257)</f>
        <v>232.32740995520999</v>
      </c>
      <c r="S257" s="56">
        <f t="shared" si="48"/>
        <v>232.32740995520999</v>
      </c>
      <c r="T257" s="56">
        <f>ABS((R257)/((2*PI()*G257)/60))</f>
        <v>0.31693762037236189</v>
      </c>
      <c r="U257" s="56">
        <f t="shared" si="49"/>
        <v>1</v>
      </c>
      <c r="V257" s="56">
        <f>INDEX(BSFC!$D$4:$AD$26,MATCH(U257,BSFC!$B$4:$B$26,0),MATCH(G257,BSFC!$D$2:$AD$2,0))</f>
        <v>920.25590927999997</v>
      </c>
      <c r="W257" s="56">
        <f t="shared" si="53"/>
        <v>5.9389075527499745E-2</v>
      </c>
      <c r="X257" s="56">
        <f t="shared" si="50"/>
        <v>5.9389075527499745E-2</v>
      </c>
      <c r="Y257" s="56">
        <f t="shared" si="51"/>
        <v>0.18351224337997421</v>
      </c>
      <c r="Z257" s="79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x14ac:dyDescent="0.3">
      <c r="A258" s="55">
        <v>1</v>
      </c>
      <c r="B258" s="56" t="s">
        <v>104</v>
      </c>
      <c r="C258" s="56">
        <f t="shared" si="58"/>
        <v>255</v>
      </c>
      <c r="D258" s="56">
        <f t="shared" si="44"/>
        <v>29.998170000000002</v>
      </c>
      <c r="E258" s="94">
        <f t="shared" ref="E258:E298" si="61">E257</f>
        <v>13.41</v>
      </c>
      <c r="F258" s="94">
        <f>($C$4/E258)+F257</f>
        <v>29.747415386780698</v>
      </c>
      <c r="G258" s="56">
        <f t="shared" ref="G258:G269" si="62">G257</f>
        <v>7000</v>
      </c>
      <c r="H258" s="56">
        <v>3</v>
      </c>
      <c r="I258" s="94">
        <f>E258-E257</f>
        <v>0</v>
      </c>
      <c r="J258" s="56">
        <f>(0.5*VEHICLE!$C$71*VEHICLE!$C$28*VEHICLE!$C$27*'Drive Cycle'!E258^2)</f>
        <v>159.97581505520998</v>
      </c>
      <c r="K258" s="56">
        <f>IF(A258=1,VEHICLE!$S$5,IF(A258=2,VEHICLE!$Q$5,IF(A258=3,VEHICLE!$R$5,IF(A258=4,VEHICLE!$P$5,1))))</f>
        <v>72.351594900000009</v>
      </c>
      <c r="L258" s="56">
        <v>0</v>
      </c>
      <c r="M258" s="56">
        <f t="shared" si="52"/>
        <v>0</v>
      </c>
      <c r="N258" s="56">
        <f t="shared" si="45"/>
        <v>0</v>
      </c>
      <c r="O258" s="56">
        <f t="shared" si="46"/>
        <v>0</v>
      </c>
      <c r="P258" s="56">
        <f t="shared" si="47"/>
        <v>232.32740995520999</v>
      </c>
      <c r="Q258" s="56">
        <f>IF(H258=1,I258*VEHICLE!$C$69,IF(H258=2,VEHICLE!$C$70*I258,IF(H258=3,VEHICLE!$C$71*I258,0)))</f>
        <v>0</v>
      </c>
      <c r="R258" s="56">
        <f>(J258+K258+O258+Q258)</f>
        <v>232.32740995520999</v>
      </c>
      <c r="S258" s="56">
        <f t="shared" si="48"/>
        <v>232.32740995520999</v>
      </c>
      <c r="T258" s="56">
        <f>ABS((R258)/((2*PI()*G258)/60))</f>
        <v>0.31693762037236189</v>
      </c>
      <c r="U258" s="56">
        <f t="shared" si="49"/>
        <v>1</v>
      </c>
      <c r="V258" s="56">
        <f>INDEX(BSFC!$D$4:$AD$26,MATCH(U258,BSFC!$B$4:$B$26,0),MATCH(G258,BSFC!$D$2:$AD$2,0))</f>
        <v>920.25590927999997</v>
      </c>
      <c r="W258" s="56">
        <f t="shared" si="53"/>
        <v>5.9389075527499745E-2</v>
      </c>
      <c r="X258" s="56">
        <f t="shared" si="50"/>
        <v>5.9389075527499745E-2</v>
      </c>
      <c r="Y258" s="56">
        <f t="shared" si="51"/>
        <v>0.18351224337997421</v>
      </c>
      <c r="Z258" s="79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x14ac:dyDescent="0.3">
      <c r="A259" s="55">
        <v>1</v>
      </c>
      <c r="B259" s="56" t="s">
        <v>104</v>
      </c>
      <c r="C259" s="56">
        <f t="shared" si="58"/>
        <v>256</v>
      </c>
      <c r="D259" s="56">
        <f t="shared" si="44"/>
        <v>29.998170000000002</v>
      </c>
      <c r="E259" s="94">
        <f t="shared" si="61"/>
        <v>13.41</v>
      </c>
      <c r="F259" s="94">
        <f>($C$4/E259)+F258</f>
        <v>29.82198660229151</v>
      </c>
      <c r="G259" s="56">
        <f t="shared" si="62"/>
        <v>7000</v>
      </c>
      <c r="H259" s="56">
        <v>3</v>
      </c>
      <c r="I259" s="94">
        <f>E259-E258</f>
        <v>0</v>
      </c>
      <c r="J259" s="56">
        <f>(0.5*VEHICLE!$C$71*VEHICLE!$C$28*VEHICLE!$C$27*'Drive Cycle'!E259^2)</f>
        <v>159.97581505520998</v>
      </c>
      <c r="K259" s="56">
        <f>IF(A259=1,VEHICLE!$S$5,IF(A259=2,VEHICLE!$Q$5,IF(A259=3,VEHICLE!$R$5,IF(A259=4,VEHICLE!$P$5,1))))</f>
        <v>72.351594900000009</v>
      </c>
      <c r="L259" s="56">
        <v>0</v>
      </c>
      <c r="M259" s="56">
        <f t="shared" si="52"/>
        <v>0</v>
      </c>
      <c r="N259" s="56">
        <f t="shared" si="45"/>
        <v>0</v>
      </c>
      <c r="O259" s="56">
        <f t="shared" si="46"/>
        <v>0</v>
      </c>
      <c r="P259" s="56">
        <f t="shared" si="47"/>
        <v>232.32740995520999</v>
      </c>
      <c r="Q259" s="56">
        <f>IF(H259=1,I259*VEHICLE!$C$69,IF(H259=2,VEHICLE!$C$70*I259,IF(H259=3,VEHICLE!$C$71*I259,0)))</f>
        <v>0</v>
      </c>
      <c r="R259" s="56">
        <f>(J259+K259+O259+Q259)</f>
        <v>232.32740995520999</v>
      </c>
      <c r="S259" s="56">
        <f t="shared" si="48"/>
        <v>232.32740995520999</v>
      </c>
      <c r="T259" s="56">
        <f>ABS((R259)/((2*PI()*G259)/60))</f>
        <v>0.31693762037236189</v>
      </c>
      <c r="U259" s="56">
        <f t="shared" si="49"/>
        <v>1</v>
      </c>
      <c r="V259" s="56">
        <f>INDEX(BSFC!$D$4:$AD$26,MATCH(U259,BSFC!$B$4:$B$26,0),MATCH(G259,BSFC!$D$2:$AD$2,0))</f>
        <v>920.25590927999997</v>
      </c>
      <c r="W259" s="56">
        <f t="shared" si="53"/>
        <v>5.9389075527499745E-2</v>
      </c>
      <c r="X259" s="56">
        <f t="shared" si="50"/>
        <v>5.9389075527499745E-2</v>
      </c>
      <c r="Y259" s="56">
        <f t="shared" si="51"/>
        <v>0.18351224337997421</v>
      </c>
      <c r="Z259" s="79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x14ac:dyDescent="0.3">
      <c r="A260" s="55">
        <v>1</v>
      </c>
      <c r="B260" s="56" t="s">
        <v>104</v>
      </c>
      <c r="C260" s="56">
        <f t="shared" si="58"/>
        <v>257</v>
      </c>
      <c r="D260" s="56">
        <f t="shared" ref="D260:D323" si="63">E260*2.237</f>
        <v>29.998170000000002</v>
      </c>
      <c r="E260" s="94">
        <f t="shared" si="61"/>
        <v>13.41</v>
      </c>
      <c r="F260" s="94">
        <f>($C$4/E260)+F259</f>
        <v>29.896557817802321</v>
      </c>
      <c r="G260" s="56">
        <f t="shared" si="62"/>
        <v>7000</v>
      </c>
      <c r="H260" s="56">
        <v>3</v>
      </c>
      <c r="I260" s="94">
        <f>E260-E259</f>
        <v>0</v>
      </c>
      <c r="J260" s="56">
        <f>(0.5*VEHICLE!$C$71*VEHICLE!$C$28*VEHICLE!$C$27*'Drive Cycle'!E260^2)</f>
        <v>159.97581505520998</v>
      </c>
      <c r="K260" s="56">
        <f>IF(A260=1,VEHICLE!$S$5,IF(A260=2,VEHICLE!$Q$5,IF(A260=3,VEHICLE!$R$5,IF(A260=4,VEHICLE!$P$5,1))))</f>
        <v>72.351594900000009</v>
      </c>
      <c r="L260" s="56">
        <v>0</v>
      </c>
      <c r="M260" s="56">
        <f t="shared" si="52"/>
        <v>0</v>
      </c>
      <c r="N260" s="56">
        <f t="shared" ref="N260:N323" si="64">DEGREES(ATAN(M260/$C$4))</f>
        <v>0</v>
      </c>
      <c r="O260" s="56">
        <f t="shared" ref="O260:O323" si="65">9.81*SIN(RADIANS(N260))*($C$47)</f>
        <v>0</v>
      </c>
      <c r="P260" s="56">
        <f t="shared" ref="P260:P323" si="66">J260+K260+O260</f>
        <v>232.32740995520999</v>
      </c>
      <c r="Q260" s="56">
        <f>IF(H260=1,I260*VEHICLE!$C$69,IF(H260=2,VEHICLE!$C$70*I260,IF(H260=3,VEHICLE!$C$71*I260,0)))</f>
        <v>0</v>
      </c>
      <c r="R260" s="56">
        <f>(J260+K260+O260+Q260)</f>
        <v>232.32740995520999</v>
      </c>
      <c r="S260" s="56">
        <f t="shared" ref="S260:S323" si="67">ABS(R260)</f>
        <v>232.32740995520999</v>
      </c>
      <c r="T260" s="56">
        <f>ABS((R260)/((2*PI()*G260)/60))</f>
        <v>0.31693762037236189</v>
      </c>
      <c r="U260" s="56">
        <f t="shared" ref="U260:U323" si="68">ROUNDUP(T260,0)</f>
        <v>1</v>
      </c>
      <c r="V260" s="56">
        <f>INDEX(BSFC!$D$4:$AD$26,MATCH(U260,BSFC!$B$4:$B$26,0),MATCH(G260,BSFC!$D$2:$AD$2,0))</f>
        <v>920.25590927999997</v>
      </c>
      <c r="W260" s="56">
        <f t="shared" si="53"/>
        <v>5.9389075527499745E-2</v>
      </c>
      <c r="X260" s="56">
        <f t="shared" ref="X260:X323" si="69">ABS(W260)</f>
        <v>5.9389075527499745E-2</v>
      </c>
      <c r="Y260" s="56">
        <f t="shared" ref="Y260:Y323" si="70">W260*3.09</f>
        <v>0.18351224337997421</v>
      </c>
      <c r="Z260" s="79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x14ac:dyDescent="0.3">
      <c r="A261" s="55">
        <v>1</v>
      </c>
      <c r="B261" s="56" t="s">
        <v>104</v>
      </c>
      <c r="C261" s="56">
        <f t="shared" si="58"/>
        <v>258</v>
      </c>
      <c r="D261" s="56">
        <f t="shared" si="63"/>
        <v>29.998170000000002</v>
      </c>
      <c r="E261" s="94">
        <f t="shared" si="61"/>
        <v>13.41</v>
      </c>
      <c r="F261" s="94">
        <f>($C$4/E261)+F260</f>
        <v>29.971129033313133</v>
      </c>
      <c r="G261" s="56">
        <f t="shared" si="62"/>
        <v>7000</v>
      </c>
      <c r="H261" s="56">
        <v>3</v>
      </c>
      <c r="I261" s="94">
        <f>E261-E260</f>
        <v>0</v>
      </c>
      <c r="J261" s="56">
        <f>(0.5*VEHICLE!$C$71*VEHICLE!$C$28*VEHICLE!$C$27*'Drive Cycle'!E261^2)</f>
        <v>159.97581505520998</v>
      </c>
      <c r="K261" s="56">
        <f>IF(A261=1,VEHICLE!$S$5,IF(A261=2,VEHICLE!$Q$5,IF(A261=3,VEHICLE!$R$5,IF(A261=4,VEHICLE!$P$5,1))))</f>
        <v>72.351594900000009</v>
      </c>
      <c r="L261" s="56">
        <v>0</v>
      </c>
      <c r="M261" s="56">
        <f t="shared" ref="M261:M324" si="71">L261-L260</f>
        <v>0</v>
      </c>
      <c r="N261" s="56">
        <f t="shared" si="64"/>
        <v>0</v>
      </c>
      <c r="O261" s="56">
        <f t="shared" si="65"/>
        <v>0</v>
      </c>
      <c r="P261" s="56">
        <f t="shared" si="66"/>
        <v>232.32740995520999</v>
      </c>
      <c r="Q261" s="56">
        <f>IF(H261=1,I261*VEHICLE!$C$69,IF(H261=2,VEHICLE!$C$70*I261,IF(H261=3,VEHICLE!$C$71*I261,0)))</f>
        <v>0</v>
      </c>
      <c r="R261" s="56">
        <f>(J261+K261+O261+Q261)</f>
        <v>232.32740995520999</v>
      </c>
      <c r="S261" s="56">
        <f t="shared" si="67"/>
        <v>232.32740995520999</v>
      </c>
      <c r="T261" s="56">
        <f>ABS((R261)/((2*PI()*G261)/60))</f>
        <v>0.31693762037236189</v>
      </c>
      <c r="U261" s="56">
        <f t="shared" si="68"/>
        <v>1</v>
      </c>
      <c r="V261" s="56">
        <f>INDEX(BSFC!$D$4:$AD$26,MATCH(U261,BSFC!$B$4:$B$26,0),MATCH(G261,BSFC!$D$2:$AD$2,0))</f>
        <v>920.25590927999997</v>
      </c>
      <c r="W261" s="56">
        <f t="shared" ref="W261:W324" si="72">(R261*V261/3600)/1000</f>
        <v>5.9389075527499745E-2</v>
      </c>
      <c r="X261" s="56">
        <f t="shared" si="69"/>
        <v>5.9389075527499745E-2</v>
      </c>
      <c r="Y261" s="56">
        <f t="shared" si="70"/>
        <v>0.18351224337997421</v>
      </c>
      <c r="Z261" s="79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x14ac:dyDescent="0.3">
      <c r="A262" s="55">
        <v>1</v>
      </c>
      <c r="B262" s="56" t="s">
        <v>104</v>
      </c>
      <c r="C262" s="56">
        <f t="shared" si="58"/>
        <v>259</v>
      </c>
      <c r="D262" s="56">
        <f t="shared" si="63"/>
        <v>29.998170000000002</v>
      </c>
      <c r="E262" s="94">
        <f t="shared" si="61"/>
        <v>13.41</v>
      </c>
      <c r="F262" s="94">
        <f>($C$4/E262)+F261</f>
        <v>30.045700248823945</v>
      </c>
      <c r="G262" s="56">
        <f t="shared" si="62"/>
        <v>7000</v>
      </c>
      <c r="H262" s="56">
        <v>3</v>
      </c>
      <c r="I262" s="94">
        <f>E262-E261</f>
        <v>0</v>
      </c>
      <c r="J262" s="56">
        <f>(0.5*VEHICLE!$C$71*VEHICLE!$C$28*VEHICLE!$C$27*'Drive Cycle'!E262^2)</f>
        <v>159.97581505520998</v>
      </c>
      <c r="K262" s="56">
        <f>IF(A262=1,VEHICLE!$S$5,IF(A262=2,VEHICLE!$Q$5,IF(A262=3,VEHICLE!$R$5,IF(A262=4,VEHICLE!$P$5,1))))</f>
        <v>72.351594900000009</v>
      </c>
      <c r="L262" s="56">
        <v>0</v>
      </c>
      <c r="M262" s="56">
        <f t="shared" si="71"/>
        <v>0</v>
      </c>
      <c r="N262" s="56">
        <f t="shared" si="64"/>
        <v>0</v>
      </c>
      <c r="O262" s="56">
        <f t="shared" si="65"/>
        <v>0</v>
      </c>
      <c r="P262" s="56">
        <f t="shared" si="66"/>
        <v>232.32740995520999</v>
      </c>
      <c r="Q262" s="56">
        <f>IF(H262=1,I262*VEHICLE!$C$69,IF(H262=2,VEHICLE!$C$70*I262,IF(H262=3,VEHICLE!$C$71*I262,0)))</f>
        <v>0</v>
      </c>
      <c r="R262" s="56">
        <f>(J262+K262+O262+Q262)</f>
        <v>232.32740995520999</v>
      </c>
      <c r="S262" s="56">
        <f t="shared" si="67"/>
        <v>232.32740995520999</v>
      </c>
      <c r="T262" s="56">
        <f>ABS((R262)/((2*PI()*G262)/60))</f>
        <v>0.31693762037236189</v>
      </c>
      <c r="U262" s="56">
        <f t="shared" si="68"/>
        <v>1</v>
      </c>
      <c r="V262" s="56">
        <f>INDEX(BSFC!$D$4:$AD$26,MATCH(U262,BSFC!$B$4:$B$26,0),MATCH(G262,BSFC!$D$2:$AD$2,0))</f>
        <v>920.25590927999997</v>
      </c>
      <c r="W262" s="56">
        <f t="shared" si="72"/>
        <v>5.9389075527499745E-2</v>
      </c>
      <c r="X262" s="56">
        <f t="shared" si="69"/>
        <v>5.9389075527499745E-2</v>
      </c>
      <c r="Y262" s="56">
        <f t="shared" si="70"/>
        <v>0.18351224337997421</v>
      </c>
      <c r="Z262" s="79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x14ac:dyDescent="0.3">
      <c r="A263" s="55">
        <v>1</v>
      </c>
      <c r="B263" s="56" t="s">
        <v>104</v>
      </c>
      <c r="C263" s="56">
        <f t="shared" si="58"/>
        <v>260</v>
      </c>
      <c r="D263" s="56">
        <f t="shared" si="63"/>
        <v>29.998170000000002</v>
      </c>
      <c r="E263" s="94">
        <f t="shared" si="61"/>
        <v>13.41</v>
      </c>
      <c r="F263" s="94">
        <f>($C$4/E263)+F262</f>
        <v>30.120271464334756</v>
      </c>
      <c r="G263" s="56">
        <f t="shared" si="62"/>
        <v>7000</v>
      </c>
      <c r="H263" s="56">
        <v>3</v>
      </c>
      <c r="I263" s="94">
        <f>E263-E262</f>
        <v>0</v>
      </c>
      <c r="J263" s="56">
        <f>(0.5*VEHICLE!$C$71*VEHICLE!$C$28*VEHICLE!$C$27*'Drive Cycle'!E263^2)</f>
        <v>159.97581505520998</v>
      </c>
      <c r="K263" s="56">
        <f>IF(A263=1,VEHICLE!$S$5,IF(A263=2,VEHICLE!$Q$5,IF(A263=3,VEHICLE!$R$5,IF(A263=4,VEHICLE!$P$5,1))))</f>
        <v>72.351594900000009</v>
      </c>
      <c r="L263" s="56">
        <v>0</v>
      </c>
      <c r="M263" s="56">
        <f t="shared" si="71"/>
        <v>0</v>
      </c>
      <c r="N263" s="56">
        <f t="shared" si="64"/>
        <v>0</v>
      </c>
      <c r="O263" s="56">
        <f t="shared" si="65"/>
        <v>0</v>
      </c>
      <c r="P263" s="56">
        <f t="shared" si="66"/>
        <v>232.32740995520999</v>
      </c>
      <c r="Q263" s="56">
        <f>IF(H263=1,I263*VEHICLE!$C$69,IF(H263=2,VEHICLE!$C$70*I263,IF(H263=3,VEHICLE!$C$71*I263,0)))</f>
        <v>0</v>
      </c>
      <c r="R263" s="56">
        <f>(J263+K263+O263+Q263)</f>
        <v>232.32740995520999</v>
      </c>
      <c r="S263" s="56">
        <f t="shared" si="67"/>
        <v>232.32740995520999</v>
      </c>
      <c r="T263" s="56">
        <f>ABS((R263)/((2*PI()*G263)/60))</f>
        <v>0.31693762037236189</v>
      </c>
      <c r="U263" s="56">
        <f t="shared" si="68"/>
        <v>1</v>
      </c>
      <c r="V263" s="56">
        <f>INDEX(BSFC!$D$4:$AD$26,MATCH(U263,BSFC!$B$4:$B$26,0),MATCH(G263,BSFC!$D$2:$AD$2,0))</f>
        <v>920.25590927999997</v>
      </c>
      <c r="W263" s="56">
        <f t="shared" si="72"/>
        <v>5.9389075527499745E-2</v>
      </c>
      <c r="X263" s="56">
        <f t="shared" si="69"/>
        <v>5.9389075527499745E-2</v>
      </c>
      <c r="Y263" s="56">
        <f t="shared" si="70"/>
        <v>0.18351224337997421</v>
      </c>
      <c r="Z263" s="79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x14ac:dyDescent="0.3">
      <c r="A264" s="55">
        <v>1</v>
      </c>
      <c r="B264" s="56" t="s">
        <v>104</v>
      </c>
      <c r="C264" s="56">
        <f t="shared" si="58"/>
        <v>261</v>
      </c>
      <c r="D264" s="56">
        <f t="shared" si="63"/>
        <v>29.998170000000002</v>
      </c>
      <c r="E264" s="94">
        <f t="shared" si="61"/>
        <v>13.41</v>
      </c>
      <c r="F264" s="94">
        <f>($C$4/E264)+F263</f>
        <v>30.194842679845568</v>
      </c>
      <c r="G264" s="56">
        <f t="shared" si="62"/>
        <v>7000</v>
      </c>
      <c r="H264" s="56">
        <v>3</v>
      </c>
      <c r="I264" s="94">
        <f>E264-E263</f>
        <v>0</v>
      </c>
      <c r="J264" s="56">
        <f>(0.5*VEHICLE!$C$71*VEHICLE!$C$28*VEHICLE!$C$27*'Drive Cycle'!E264^2)</f>
        <v>159.97581505520998</v>
      </c>
      <c r="K264" s="56">
        <f>IF(A264=1,VEHICLE!$S$5,IF(A264=2,VEHICLE!$Q$5,IF(A264=3,VEHICLE!$R$5,IF(A264=4,VEHICLE!$P$5,1))))</f>
        <v>72.351594900000009</v>
      </c>
      <c r="L264" s="56">
        <v>0</v>
      </c>
      <c r="M264" s="56">
        <f t="shared" si="71"/>
        <v>0</v>
      </c>
      <c r="N264" s="56">
        <f t="shared" si="64"/>
        <v>0</v>
      </c>
      <c r="O264" s="56">
        <f t="shared" si="65"/>
        <v>0</v>
      </c>
      <c r="P264" s="56">
        <f t="shared" si="66"/>
        <v>232.32740995520999</v>
      </c>
      <c r="Q264" s="56">
        <f>IF(H264=1,I264*VEHICLE!$C$69,IF(H264=2,VEHICLE!$C$70*I264,IF(H264=3,VEHICLE!$C$71*I264,0)))</f>
        <v>0</v>
      </c>
      <c r="R264" s="56">
        <f>(J264+K264+O264+Q264)</f>
        <v>232.32740995520999</v>
      </c>
      <c r="S264" s="56">
        <f t="shared" si="67"/>
        <v>232.32740995520999</v>
      </c>
      <c r="T264" s="56">
        <f>ABS((R264)/((2*PI()*G264)/60))</f>
        <v>0.31693762037236189</v>
      </c>
      <c r="U264" s="56">
        <f t="shared" si="68"/>
        <v>1</v>
      </c>
      <c r="V264" s="56">
        <f>INDEX(BSFC!$D$4:$AD$26,MATCH(U264,BSFC!$B$4:$B$26,0),MATCH(G264,BSFC!$D$2:$AD$2,0))</f>
        <v>920.25590927999997</v>
      </c>
      <c r="W264" s="56">
        <f t="shared" si="72"/>
        <v>5.9389075527499745E-2</v>
      </c>
      <c r="X264" s="56">
        <f t="shared" si="69"/>
        <v>5.9389075527499745E-2</v>
      </c>
      <c r="Y264" s="56">
        <f t="shared" si="70"/>
        <v>0.18351224337997421</v>
      </c>
      <c r="Z264" s="79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x14ac:dyDescent="0.3">
      <c r="A265" s="55">
        <v>1</v>
      </c>
      <c r="B265" s="56" t="s">
        <v>104</v>
      </c>
      <c r="C265" s="56">
        <f t="shared" si="58"/>
        <v>262</v>
      </c>
      <c r="D265" s="56">
        <f t="shared" si="63"/>
        <v>29.998170000000002</v>
      </c>
      <c r="E265" s="94">
        <f t="shared" si="61"/>
        <v>13.41</v>
      </c>
      <c r="F265" s="94">
        <f>($C$4/E265)+F264</f>
        <v>30.269413895356379</v>
      </c>
      <c r="G265" s="56">
        <f t="shared" si="62"/>
        <v>7000</v>
      </c>
      <c r="H265" s="56">
        <v>3</v>
      </c>
      <c r="I265" s="94">
        <f>E265-E264</f>
        <v>0</v>
      </c>
      <c r="J265" s="56">
        <f>(0.5*VEHICLE!$C$71*VEHICLE!$C$28*VEHICLE!$C$27*'Drive Cycle'!E265^2)</f>
        <v>159.97581505520998</v>
      </c>
      <c r="K265" s="56">
        <f>IF(A265=1,VEHICLE!$S$5,IF(A265=2,VEHICLE!$Q$5,IF(A265=3,VEHICLE!$R$5,IF(A265=4,VEHICLE!$P$5,1))))</f>
        <v>72.351594900000009</v>
      </c>
      <c r="L265" s="56">
        <v>0</v>
      </c>
      <c r="M265" s="56">
        <f t="shared" si="71"/>
        <v>0</v>
      </c>
      <c r="N265" s="56">
        <f t="shared" si="64"/>
        <v>0</v>
      </c>
      <c r="O265" s="56">
        <f t="shared" si="65"/>
        <v>0</v>
      </c>
      <c r="P265" s="56">
        <f t="shared" si="66"/>
        <v>232.32740995520999</v>
      </c>
      <c r="Q265" s="56">
        <f>IF(H265=1,I265*VEHICLE!$C$69,IF(H265=2,VEHICLE!$C$70*I265,IF(H265=3,VEHICLE!$C$71*I265,0)))</f>
        <v>0</v>
      </c>
      <c r="R265" s="56">
        <f>(J265+K265+O265+Q265)</f>
        <v>232.32740995520999</v>
      </c>
      <c r="S265" s="56">
        <f t="shared" si="67"/>
        <v>232.32740995520999</v>
      </c>
      <c r="T265" s="56">
        <f>ABS((R265)/((2*PI()*G265)/60))</f>
        <v>0.31693762037236189</v>
      </c>
      <c r="U265" s="56">
        <f t="shared" si="68"/>
        <v>1</v>
      </c>
      <c r="V265" s="56">
        <f>INDEX(BSFC!$D$4:$AD$26,MATCH(U265,BSFC!$B$4:$B$26,0),MATCH(G265,BSFC!$D$2:$AD$2,0))</f>
        <v>920.25590927999997</v>
      </c>
      <c r="W265" s="56">
        <f t="shared" si="72"/>
        <v>5.9389075527499745E-2</v>
      </c>
      <c r="X265" s="56">
        <f t="shared" si="69"/>
        <v>5.9389075527499745E-2</v>
      </c>
      <c r="Y265" s="56">
        <f t="shared" si="70"/>
        <v>0.18351224337997421</v>
      </c>
      <c r="Z265" s="79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x14ac:dyDescent="0.3">
      <c r="A266" s="55">
        <v>1</v>
      </c>
      <c r="B266" s="56" t="s">
        <v>104</v>
      </c>
      <c r="C266" s="56">
        <f t="shared" si="58"/>
        <v>263</v>
      </c>
      <c r="D266" s="56">
        <f t="shared" si="63"/>
        <v>29.998170000000002</v>
      </c>
      <c r="E266" s="94">
        <f t="shared" si="61"/>
        <v>13.41</v>
      </c>
      <c r="F266" s="94">
        <f>($C$4/E266)+F265</f>
        <v>30.343985110867191</v>
      </c>
      <c r="G266" s="56">
        <f t="shared" si="62"/>
        <v>7000</v>
      </c>
      <c r="H266" s="56">
        <v>3</v>
      </c>
      <c r="I266" s="94">
        <f>E266-E265</f>
        <v>0</v>
      </c>
      <c r="J266" s="56">
        <f>(0.5*VEHICLE!$C$71*VEHICLE!$C$28*VEHICLE!$C$27*'Drive Cycle'!E266^2)</f>
        <v>159.97581505520998</v>
      </c>
      <c r="K266" s="56">
        <f>IF(A266=1,VEHICLE!$S$5,IF(A266=2,VEHICLE!$Q$5,IF(A266=3,VEHICLE!$R$5,IF(A266=4,VEHICLE!$P$5,1))))</f>
        <v>72.351594900000009</v>
      </c>
      <c r="L266" s="56">
        <v>0</v>
      </c>
      <c r="M266" s="56">
        <f t="shared" si="71"/>
        <v>0</v>
      </c>
      <c r="N266" s="56">
        <f t="shared" si="64"/>
        <v>0</v>
      </c>
      <c r="O266" s="56">
        <f t="shared" si="65"/>
        <v>0</v>
      </c>
      <c r="P266" s="56">
        <f t="shared" si="66"/>
        <v>232.32740995520999</v>
      </c>
      <c r="Q266" s="56">
        <f>IF(H266=1,I266*VEHICLE!$C$69,IF(H266=2,VEHICLE!$C$70*I266,IF(H266=3,VEHICLE!$C$71*I266,0)))</f>
        <v>0</v>
      </c>
      <c r="R266" s="56">
        <f>(J266+K266+O266+Q266)</f>
        <v>232.32740995520999</v>
      </c>
      <c r="S266" s="56">
        <f t="shared" si="67"/>
        <v>232.32740995520999</v>
      </c>
      <c r="T266" s="56">
        <f>ABS((R266)/((2*PI()*G266)/60))</f>
        <v>0.31693762037236189</v>
      </c>
      <c r="U266" s="56">
        <f t="shared" si="68"/>
        <v>1</v>
      </c>
      <c r="V266" s="56">
        <f>INDEX(BSFC!$D$4:$AD$26,MATCH(U266,BSFC!$B$4:$B$26,0),MATCH(G266,BSFC!$D$2:$AD$2,0))</f>
        <v>920.25590927999997</v>
      </c>
      <c r="W266" s="56">
        <f t="shared" si="72"/>
        <v>5.9389075527499745E-2</v>
      </c>
      <c r="X266" s="56">
        <f t="shared" si="69"/>
        <v>5.9389075527499745E-2</v>
      </c>
      <c r="Y266" s="56">
        <f t="shared" si="70"/>
        <v>0.18351224337997421</v>
      </c>
      <c r="Z266" s="79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x14ac:dyDescent="0.3">
      <c r="A267" s="55">
        <v>1</v>
      </c>
      <c r="B267" s="56" t="s">
        <v>104</v>
      </c>
      <c r="C267" s="56">
        <f t="shared" si="58"/>
        <v>264</v>
      </c>
      <c r="D267" s="56">
        <f t="shared" si="63"/>
        <v>29.998170000000002</v>
      </c>
      <c r="E267" s="94">
        <f t="shared" si="61"/>
        <v>13.41</v>
      </c>
      <c r="F267" s="94">
        <f>($C$4/E267)+F266</f>
        <v>30.418556326378003</v>
      </c>
      <c r="G267" s="56">
        <f t="shared" si="62"/>
        <v>7000</v>
      </c>
      <c r="H267" s="56">
        <v>3</v>
      </c>
      <c r="I267" s="94">
        <f>E267-E266</f>
        <v>0</v>
      </c>
      <c r="J267" s="56">
        <f>(0.5*VEHICLE!$C$71*VEHICLE!$C$28*VEHICLE!$C$27*'Drive Cycle'!E267^2)</f>
        <v>159.97581505520998</v>
      </c>
      <c r="K267" s="56">
        <f>IF(A267=1,VEHICLE!$S$5,IF(A267=2,VEHICLE!$Q$5,IF(A267=3,VEHICLE!$R$5,IF(A267=4,VEHICLE!$P$5,1))))</f>
        <v>72.351594900000009</v>
      </c>
      <c r="L267" s="56">
        <v>0</v>
      </c>
      <c r="M267" s="56">
        <f t="shared" si="71"/>
        <v>0</v>
      </c>
      <c r="N267" s="56">
        <f t="shared" si="64"/>
        <v>0</v>
      </c>
      <c r="O267" s="56">
        <f t="shared" si="65"/>
        <v>0</v>
      </c>
      <c r="P267" s="56">
        <f t="shared" si="66"/>
        <v>232.32740995520999</v>
      </c>
      <c r="Q267" s="56">
        <f>IF(H267=1,I267*VEHICLE!$C$69,IF(H267=2,VEHICLE!$C$70*I267,IF(H267=3,VEHICLE!$C$71*I267,0)))</f>
        <v>0</v>
      </c>
      <c r="R267" s="56">
        <f>(J267+K267+O267+Q267)</f>
        <v>232.32740995520999</v>
      </c>
      <c r="S267" s="56">
        <f t="shared" si="67"/>
        <v>232.32740995520999</v>
      </c>
      <c r="T267" s="56">
        <f>ABS((R267)/((2*PI()*G267)/60))</f>
        <v>0.31693762037236189</v>
      </c>
      <c r="U267" s="56">
        <f t="shared" si="68"/>
        <v>1</v>
      </c>
      <c r="V267" s="56">
        <f>INDEX(BSFC!$D$4:$AD$26,MATCH(U267,BSFC!$B$4:$B$26,0),MATCH(G267,BSFC!$D$2:$AD$2,0))</f>
        <v>920.25590927999997</v>
      </c>
      <c r="W267" s="56">
        <f t="shared" si="72"/>
        <v>5.9389075527499745E-2</v>
      </c>
      <c r="X267" s="56">
        <f t="shared" si="69"/>
        <v>5.9389075527499745E-2</v>
      </c>
      <c r="Y267" s="56">
        <f t="shared" si="70"/>
        <v>0.18351224337997421</v>
      </c>
      <c r="Z267" s="79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x14ac:dyDescent="0.3">
      <c r="A268" s="55">
        <v>1</v>
      </c>
      <c r="B268" s="56" t="s">
        <v>104</v>
      </c>
      <c r="C268" s="56">
        <f t="shared" si="58"/>
        <v>265</v>
      </c>
      <c r="D268" s="56">
        <f t="shared" si="63"/>
        <v>29.998170000000002</v>
      </c>
      <c r="E268" s="94">
        <f t="shared" si="61"/>
        <v>13.41</v>
      </c>
      <c r="F268" s="94">
        <f>($C$4/E268)+F267</f>
        <v>30.493127541888814</v>
      </c>
      <c r="G268" s="56">
        <f t="shared" ref="G268:G269" si="73">G267-250</f>
        <v>6750</v>
      </c>
      <c r="H268" s="56">
        <v>2</v>
      </c>
      <c r="I268" s="94">
        <f>E268-E267</f>
        <v>0</v>
      </c>
      <c r="J268" s="56">
        <f>(0.5*VEHICLE!$C$71*VEHICLE!$C$28*VEHICLE!$C$27*'Drive Cycle'!E268^2)</f>
        <v>159.97581505520998</v>
      </c>
      <c r="K268" s="56">
        <f>IF(A268=1,VEHICLE!$S$5,IF(A268=2,VEHICLE!$Q$5,IF(A268=3,VEHICLE!$R$5,IF(A268=4,VEHICLE!$P$5,1))))</f>
        <v>72.351594900000009</v>
      </c>
      <c r="L268" s="56">
        <v>0</v>
      </c>
      <c r="M268" s="56">
        <f t="shared" si="71"/>
        <v>0</v>
      </c>
      <c r="N268" s="56">
        <f t="shared" si="64"/>
        <v>0</v>
      </c>
      <c r="O268" s="56">
        <f t="shared" si="65"/>
        <v>0</v>
      </c>
      <c r="P268" s="56">
        <f t="shared" si="66"/>
        <v>232.32740995520999</v>
      </c>
      <c r="Q268" s="56">
        <f>IF(H268=1,I268*VEHICLE!$C$69,IF(H268=2,VEHICLE!$C$70*I268,IF(H268=3,VEHICLE!$C$71*I268,0)))</f>
        <v>0</v>
      </c>
      <c r="R268" s="56">
        <f>(J268+K268+O268+Q268)</f>
        <v>232.32740995520999</v>
      </c>
      <c r="S268" s="56">
        <f t="shared" si="67"/>
        <v>232.32740995520999</v>
      </c>
      <c r="T268" s="56">
        <f>ABS((R268)/((2*PI()*G268)/60))</f>
        <v>0.32867605075652345</v>
      </c>
      <c r="U268" s="56">
        <f t="shared" si="68"/>
        <v>1</v>
      </c>
      <c r="V268" s="56">
        <f>INDEX(BSFC!$D$4:$AD$26,MATCH(U268,BSFC!$B$4:$B$26,0),MATCH(G268,BSFC!$D$2:$AD$2,0))</f>
        <v>945.22735288000013</v>
      </c>
      <c r="W268" s="56">
        <f t="shared" si="72"/>
        <v>6.1000617420397141E-2</v>
      </c>
      <c r="X268" s="56">
        <f t="shared" si="69"/>
        <v>6.1000617420397141E-2</v>
      </c>
      <c r="Y268" s="56">
        <f t="shared" si="70"/>
        <v>0.18849190782902717</v>
      </c>
      <c r="Z268" s="79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x14ac:dyDescent="0.3">
      <c r="A269" s="55">
        <v>1</v>
      </c>
      <c r="B269" s="56" t="s">
        <v>104</v>
      </c>
      <c r="C269" s="56">
        <f t="shared" si="58"/>
        <v>266</v>
      </c>
      <c r="D269" s="56">
        <f t="shared" si="63"/>
        <v>29.998170000000002</v>
      </c>
      <c r="E269" s="94">
        <f t="shared" si="61"/>
        <v>13.41</v>
      </c>
      <c r="F269" s="94">
        <f>($C$4/E269)+F268</f>
        <v>30.567698757399626</v>
      </c>
      <c r="G269" s="56">
        <f t="shared" si="73"/>
        <v>6500</v>
      </c>
      <c r="H269" s="56">
        <v>2</v>
      </c>
      <c r="I269" s="94">
        <f>E269-E268</f>
        <v>0</v>
      </c>
      <c r="J269" s="56">
        <f>(0.5*VEHICLE!$C$71*VEHICLE!$C$28*VEHICLE!$C$27*'Drive Cycle'!E269^2)</f>
        <v>159.97581505520998</v>
      </c>
      <c r="K269" s="56">
        <f>IF(A269=1,VEHICLE!$S$5,IF(A269=2,VEHICLE!$Q$5,IF(A269=3,VEHICLE!$R$5,IF(A269=4,VEHICLE!$P$5,1))))</f>
        <v>72.351594900000009</v>
      </c>
      <c r="L269" s="56">
        <v>0</v>
      </c>
      <c r="M269" s="56">
        <f t="shared" si="71"/>
        <v>0</v>
      </c>
      <c r="N269" s="56">
        <f t="shared" si="64"/>
        <v>0</v>
      </c>
      <c r="O269" s="56">
        <f t="shared" si="65"/>
        <v>0</v>
      </c>
      <c r="P269" s="56">
        <f t="shared" si="66"/>
        <v>232.32740995520999</v>
      </c>
      <c r="Q269" s="56">
        <f>IF(H269=1,I269*VEHICLE!$C$69,IF(H269=2,VEHICLE!$C$70*I269,IF(H269=3,VEHICLE!$C$71*I269,0)))</f>
        <v>0</v>
      </c>
      <c r="R269" s="56">
        <f>(J269+K269+O269+Q269)</f>
        <v>232.32740995520999</v>
      </c>
      <c r="S269" s="56">
        <f t="shared" si="67"/>
        <v>232.32740995520999</v>
      </c>
      <c r="T269" s="56">
        <f>ABS((R269)/((2*PI()*G269)/60))</f>
        <v>0.34131743732408198</v>
      </c>
      <c r="U269" s="56">
        <f t="shared" si="68"/>
        <v>1</v>
      </c>
      <c r="V269" s="56">
        <f>INDEX(BSFC!$D$4:$AD$26,MATCH(U269,BSFC!$B$4:$B$26,0),MATCH(G269,BSFC!$D$2:$AD$2,0))</f>
        <v>925.65735288000019</v>
      </c>
      <c r="W269" s="56">
        <f t="shared" si="72"/>
        <v>5.9737659805723972E-2</v>
      </c>
      <c r="X269" s="56">
        <f t="shared" si="69"/>
        <v>5.9737659805723972E-2</v>
      </c>
      <c r="Y269" s="56">
        <f t="shared" si="70"/>
        <v>0.18458936879968707</v>
      </c>
      <c r="Z269" s="79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x14ac:dyDescent="0.3">
      <c r="A270" s="55">
        <v>1</v>
      </c>
      <c r="B270" s="56" t="s">
        <v>104</v>
      </c>
      <c r="C270" s="56">
        <f t="shared" si="58"/>
        <v>267</v>
      </c>
      <c r="D270" s="56">
        <f t="shared" si="63"/>
        <v>27.962500000000002</v>
      </c>
      <c r="E270" s="94">
        <v>12.5</v>
      </c>
      <c r="F270" s="94">
        <f>($C$4/E270)+F269</f>
        <v>30.647698757399624</v>
      </c>
      <c r="G270" s="56">
        <f>G269-250</f>
        <v>6250</v>
      </c>
      <c r="H270" s="56">
        <v>2</v>
      </c>
      <c r="I270" s="94">
        <f>E270-E269</f>
        <v>-0.91000000000000014</v>
      </c>
      <c r="J270" s="56">
        <f>(0.5*VEHICLE!$C$71*VEHICLE!$C$28*VEHICLE!$C$27*'Drive Cycle'!E270^2)</f>
        <v>139.00064062499999</v>
      </c>
      <c r="K270" s="56">
        <f>IF(A270=1,VEHICLE!$S$5,IF(A270=2,VEHICLE!$Q$5,IF(A270=3,VEHICLE!$R$5,IF(A270=4,VEHICLE!$P$5,1))))</f>
        <v>72.351594900000009</v>
      </c>
      <c r="L270" s="56">
        <f>L269+0.35</f>
        <v>0.35</v>
      </c>
      <c r="M270" s="56">
        <f t="shared" si="71"/>
        <v>0.35</v>
      </c>
      <c r="N270" s="56">
        <f t="shared" si="64"/>
        <v>19.290046219188735</v>
      </c>
      <c r="O270" s="56">
        <f t="shared" si="65"/>
        <v>142.59245732963973</v>
      </c>
      <c r="P270" s="56">
        <f t="shared" si="66"/>
        <v>353.9446928546397</v>
      </c>
      <c r="Q270" s="56">
        <f>IF(H270=1,I270*VEHICLE!$C$69,IF(H270=2,VEHICLE!$C$70*I270,IF(H270=3,VEHICLE!$C$71*I270,0)))</f>
        <v>-532.48512274240682</v>
      </c>
      <c r="R270" s="56">
        <f>(J270+K270+O270+Q270)</f>
        <v>-178.54042988776712</v>
      </c>
      <c r="S270" s="56">
        <f t="shared" si="67"/>
        <v>178.54042988776712</v>
      </c>
      <c r="T270" s="56">
        <f>ABS((R270)/((2*PI()*G270)/60))</f>
        <v>0.27278968280054505</v>
      </c>
      <c r="U270" s="56">
        <f t="shared" si="68"/>
        <v>1</v>
      </c>
      <c r="V270" s="56">
        <f>INDEX(BSFC!$D$4:$AD$26,MATCH(U270,BSFC!$B$4:$B$26,0),MATCH(G270,BSFC!$D$2:$AD$2,0))</f>
        <v>964.16094472000054</v>
      </c>
      <c r="W270" s="56">
        <f t="shared" si="72"/>
        <v>-4.7817141542029047E-2</v>
      </c>
      <c r="X270" s="56">
        <f t="shared" si="69"/>
        <v>4.7817141542029047E-2</v>
      </c>
      <c r="Y270" s="56">
        <f t="shared" si="70"/>
        <v>-0.14775496736486976</v>
      </c>
      <c r="Z270" s="79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x14ac:dyDescent="0.3">
      <c r="A271" s="55">
        <v>1</v>
      </c>
      <c r="B271" s="56" t="s">
        <v>104</v>
      </c>
      <c r="C271" s="56">
        <f t="shared" si="58"/>
        <v>268</v>
      </c>
      <c r="D271" s="56">
        <f t="shared" si="63"/>
        <v>26.844000000000001</v>
      </c>
      <c r="E271" s="94">
        <v>12</v>
      </c>
      <c r="F271" s="94">
        <f>($C$4/E271)+F270</f>
        <v>30.731032090732956</v>
      </c>
      <c r="G271" s="56">
        <f t="shared" ref="G271:G273" si="74">G270-250</f>
        <v>6000</v>
      </c>
      <c r="H271" s="56">
        <v>2</v>
      </c>
      <c r="I271" s="94">
        <f>E271-E270</f>
        <v>-0.5</v>
      </c>
      <c r="J271" s="56">
        <f>(0.5*VEHICLE!$C$71*VEHICLE!$C$28*VEHICLE!$C$27*'Drive Cycle'!E271^2)</f>
        <v>128.10299039999998</v>
      </c>
      <c r="K271" s="56">
        <f>IF(A271=1,VEHICLE!$S$5,IF(A271=2,VEHICLE!$Q$5,IF(A271=3,VEHICLE!$R$5,IF(A271=4,VEHICLE!$P$5,1))))</f>
        <v>72.351594900000009</v>
      </c>
      <c r="L271" s="56">
        <f t="shared" ref="L271:L287" si="75">L270+0.35</f>
        <v>0.7</v>
      </c>
      <c r="M271" s="56">
        <f t="shared" si="71"/>
        <v>0.35</v>
      </c>
      <c r="N271" s="56">
        <f t="shared" si="64"/>
        <v>19.290046219188735</v>
      </c>
      <c r="O271" s="56">
        <f t="shared" si="65"/>
        <v>142.59245732963973</v>
      </c>
      <c r="P271" s="56">
        <f t="shared" si="66"/>
        <v>343.04704262963969</v>
      </c>
      <c r="Q271" s="56">
        <f>IF(H271=1,I271*VEHICLE!$C$69,IF(H271=2,VEHICLE!$C$70*I271,IF(H271=3,VEHICLE!$C$71*I271,0)))</f>
        <v>-292.57424326505867</v>
      </c>
      <c r="R271" s="56">
        <f>(J271+K271+O271+Q271)</f>
        <v>50.472799364581022</v>
      </c>
      <c r="S271" s="56">
        <f t="shared" si="67"/>
        <v>50.472799364581022</v>
      </c>
      <c r="T271" s="56">
        <f>ABS((R271)/((2*PI()*G271)/60))</f>
        <v>8.0329955105585438E-2</v>
      </c>
      <c r="U271" s="56">
        <f t="shared" si="68"/>
        <v>1</v>
      </c>
      <c r="V271" s="56">
        <f>INDEX(BSFC!$D$4:$AD$26,MATCH(U271,BSFC!$B$4:$B$26,0),MATCH(G271,BSFC!$D$2:$AD$2,0))</f>
        <v>933.91499472000044</v>
      </c>
      <c r="W271" s="56">
        <f t="shared" si="72"/>
        <v>1.3093695597798981E-2</v>
      </c>
      <c r="X271" s="56">
        <f t="shared" si="69"/>
        <v>1.3093695597798981E-2</v>
      </c>
      <c r="Y271" s="56">
        <f t="shared" si="70"/>
        <v>4.045951939719885E-2</v>
      </c>
      <c r="Z271" s="79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x14ac:dyDescent="0.3">
      <c r="A272" s="55">
        <v>1</v>
      </c>
      <c r="B272" s="56" t="s">
        <v>104</v>
      </c>
      <c r="C272" s="56">
        <f t="shared" si="58"/>
        <v>269</v>
      </c>
      <c r="D272" s="56">
        <f t="shared" si="63"/>
        <v>25.7255</v>
      </c>
      <c r="E272" s="94">
        <v>11.5</v>
      </c>
      <c r="F272" s="94">
        <f>($C$4/E272)+F271</f>
        <v>30.817988612472085</v>
      </c>
      <c r="G272" s="56">
        <f t="shared" si="74"/>
        <v>5750</v>
      </c>
      <c r="H272" s="56">
        <v>2</v>
      </c>
      <c r="I272" s="94">
        <f>E272-E271</f>
        <v>-0.5</v>
      </c>
      <c r="J272" s="56">
        <f>(0.5*VEHICLE!$C$71*VEHICLE!$C$28*VEHICLE!$C$27*'Drive Cycle'!E272^2)</f>
        <v>117.65014222499998</v>
      </c>
      <c r="K272" s="56">
        <f>IF(A272=1,VEHICLE!$S$5,IF(A272=2,VEHICLE!$Q$5,IF(A272=3,VEHICLE!$R$5,IF(A272=4,VEHICLE!$P$5,1))))</f>
        <v>72.351594900000009</v>
      </c>
      <c r="L272" s="56">
        <f t="shared" si="75"/>
        <v>1.0499999999999998</v>
      </c>
      <c r="M272" s="56">
        <f t="shared" si="71"/>
        <v>0.34999999999999987</v>
      </c>
      <c r="N272" s="56">
        <f t="shared" si="64"/>
        <v>19.290046219188728</v>
      </c>
      <c r="O272" s="56">
        <f t="shared" si="65"/>
        <v>142.59245732963967</v>
      </c>
      <c r="P272" s="56">
        <f t="shared" si="66"/>
        <v>332.59419445463965</v>
      </c>
      <c r="Q272" s="56">
        <f>IF(H272=1,I272*VEHICLE!$C$69,IF(H272=2,VEHICLE!$C$70*I272,IF(H272=3,VEHICLE!$C$71*I272,0)))</f>
        <v>-292.57424326505867</v>
      </c>
      <c r="R272" s="56">
        <f>(J272+K272+O272+Q272)</f>
        <v>40.019951189580979</v>
      </c>
      <c r="S272" s="56">
        <f t="shared" si="67"/>
        <v>40.019951189580979</v>
      </c>
      <c r="T272" s="56">
        <f>ABS((R272)/((2*PI()*G272)/60))</f>
        <v>6.6463023173407187E-2</v>
      </c>
      <c r="U272" s="56">
        <f t="shared" si="68"/>
        <v>1</v>
      </c>
      <c r="V272" s="56">
        <f>INDEX(BSFC!$D$4:$AD$26,MATCH(U272,BSFC!$B$4:$B$26,0),MATCH(G272,BSFC!$D$2:$AD$2,0))</f>
        <v>963.78871919999995</v>
      </c>
      <c r="W272" s="56">
        <f t="shared" si="72"/>
        <v>1.0714104860959101E-2</v>
      </c>
      <c r="X272" s="56">
        <f t="shared" si="69"/>
        <v>1.0714104860959101E-2</v>
      </c>
      <c r="Y272" s="56">
        <f t="shared" si="70"/>
        <v>3.3106584020363622E-2</v>
      </c>
      <c r="Z272" s="79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x14ac:dyDescent="0.3">
      <c r="A273" s="55">
        <v>1</v>
      </c>
      <c r="B273" s="56" t="s">
        <v>104</v>
      </c>
      <c r="C273" s="56">
        <f t="shared" si="58"/>
        <v>270</v>
      </c>
      <c r="D273" s="56">
        <f t="shared" si="63"/>
        <v>24.606999999999999</v>
      </c>
      <c r="E273" s="94">
        <v>11</v>
      </c>
      <c r="F273" s="94">
        <f>($C$4/E273)+F272</f>
        <v>30.908897703381175</v>
      </c>
      <c r="G273" s="56">
        <f t="shared" si="74"/>
        <v>5500</v>
      </c>
      <c r="H273" s="56">
        <v>2</v>
      </c>
      <c r="I273" s="94">
        <f>E273-E272</f>
        <v>-0.5</v>
      </c>
      <c r="J273" s="56">
        <f>(0.5*VEHICLE!$C$71*VEHICLE!$C$28*VEHICLE!$C$27*'Drive Cycle'!E273^2)</f>
        <v>107.64209609999999</v>
      </c>
      <c r="K273" s="56">
        <f>IF(A273=1,VEHICLE!$S$5,IF(A273=2,VEHICLE!$Q$5,IF(A273=3,VEHICLE!$R$5,IF(A273=4,VEHICLE!$P$5,1))))</f>
        <v>72.351594900000009</v>
      </c>
      <c r="L273" s="56">
        <f t="shared" si="75"/>
        <v>1.4</v>
      </c>
      <c r="M273" s="56">
        <f t="shared" si="71"/>
        <v>0.35000000000000009</v>
      </c>
      <c r="N273" s="56">
        <f t="shared" si="64"/>
        <v>19.290046219188739</v>
      </c>
      <c r="O273" s="56">
        <f t="shared" si="65"/>
        <v>142.59245732963976</v>
      </c>
      <c r="P273" s="56">
        <f t="shared" si="66"/>
        <v>322.58614832963974</v>
      </c>
      <c r="Q273" s="56">
        <f>IF(H273=1,I273*VEHICLE!$C$69,IF(H273=2,VEHICLE!$C$70*I273,IF(H273=3,VEHICLE!$C$71*I273,0)))</f>
        <v>-292.57424326505867</v>
      </c>
      <c r="R273" s="56">
        <f>(J273+K273+O273+Q273)</f>
        <v>30.011905064581072</v>
      </c>
      <c r="S273" s="56">
        <f t="shared" si="67"/>
        <v>30.011905064581072</v>
      </c>
      <c r="T273" s="56">
        <f>ABS((R273)/((2*PI()*G273)/60))</f>
        <v>5.2107742283266548E-2</v>
      </c>
      <c r="U273" s="56">
        <f t="shared" si="68"/>
        <v>1</v>
      </c>
      <c r="V273" s="56">
        <f>INDEX(BSFC!$D$4:$AD$26,MATCH(U273,BSFC!$B$4:$B$26,0),MATCH(G273,BSFC!$D$2:$AD$2,0))</f>
        <v>937.88833920000002</v>
      </c>
      <c r="W273" s="56">
        <f t="shared" si="72"/>
        <v>7.818837721457781E-3</v>
      </c>
      <c r="X273" s="56">
        <f t="shared" si="69"/>
        <v>7.818837721457781E-3</v>
      </c>
      <c r="Y273" s="56">
        <f t="shared" si="70"/>
        <v>2.4160208559304543E-2</v>
      </c>
      <c r="Z273" s="79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x14ac:dyDescent="0.3">
      <c r="A274" s="55">
        <v>1</v>
      </c>
      <c r="B274" s="56" t="s">
        <v>104</v>
      </c>
      <c r="C274" s="56">
        <f t="shared" si="58"/>
        <v>271</v>
      </c>
      <c r="D274" s="56">
        <f t="shared" si="63"/>
        <v>24.606999999999999</v>
      </c>
      <c r="E274" s="94">
        <f t="shared" si="61"/>
        <v>11</v>
      </c>
      <c r="F274" s="94">
        <f>($C$4/E274)+F273</f>
        <v>30.999806794290265</v>
      </c>
      <c r="G274" s="56">
        <f>G273</f>
        <v>5500</v>
      </c>
      <c r="H274" s="56">
        <v>2</v>
      </c>
      <c r="I274" s="94">
        <f>E274-E273</f>
        <v>0</v>
      </c>
      <c r="J274" s="56">
        <f>(0.5*VEHICLE!$C$71*VEHICLE!$C$28*VEHICLE!$C$27*'Drive Cycle'!E274^2)</f>
        <v>107.64209609999999</v>
      </c>
      <c r="K274" s="56">
        <f>IF(A274=1,VEHICLE!$S$5,IF(A274=2,VEHICLE!$Q$5,IF(A274=3,VEHICLE!$R$5,IF(A274=4,VEHICLE!$P$5,1))))</f>
        <v>72.351594900000009</v>
      </c>
      <c r="L274" s="56">
        <f t="shared" si="75"/>
        <v>1.75</v>
      </c>
      <c r="M274" s="56">
        <f t="shared" si="71"/>
        <v>0.35000000000000009</v>
      </c>
      <c r="N274" s="56">
        <f t="shared" si="64"/>
        <v>19.290046219188739</v>
      </c>
      <c r="O274" s="56">
        <f t="shared" si="65"/>
        <v>142.59245732963976</v>
      </c>
      <c r="P274" s="56">
        <f t="shared" si="66"/>
        <v>322.58614832963974</v>
      </c>
      <c r="Q274" s="56">
        <f>IF(H274=1,I274*VEHICLE!$C$69,IF(H274=2,VEHICLE!$C$70*I274,IF(H274=3,VEHICLE!$C$71*I274,0)))</f>
        <v>0</v>
      </c>
      <c r="R274" s="56">
        <f>(J274+K274+O274+Q274)</f>
        <v>322.58614832963974</v>
      </c>
      <c r="S274" s="56">
        <f t="shared" si="67"/>
        <v>322.58614832963974</v>
      </c>
      <c r="T274" s="56">
        <f>ABS((R274)/((2*PI()*G274)/60))</f>
        <v>0.56008560086877301</v>
      </c>
      <c r="U274" s="56">
        <f t="shared" si="68"/>
        <v>1</v>
      </c>
      <c r="V274" s="56">
        <f>INDEX(BSFC!$D$4:$AD$26,MATCH(U274,BSFC!$B$4:$B$26,0),MATCH(G274,BSFC!$D$2:$AD$2,0))</f>
        <v>937.88833920000002</v>
      </c>
      <c r="W274" s="56">
        <f t="shared" si="72"/>
        <v>8.4041607473836308E-2</v>
      </c>
      <c r="X274" s="56">
        <f t="shared" si="69"/>
        <v>8.4041607473836308E-2</v>
      </c>
      <c r="Y274" s="56">
        <f t="shared" si="70"/>
        <v>0.25968856709415417</v>
      </c>
      <c r="Z274" s="79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x14ac:dyDescent="0.3">
      <c r="A275" s="55">
        <v>1</v>
      </c>
      <c r="B275" s="56" t="s">
        <v>104</v>
      </c>
      <c r="C275" s="56">
        <f t="shared" si="58"/>
        <v>272</v>
      </c>
      <c r="D275" s="56">
        <f t="shared" si="63"/>
        <v>24.606999999999999</v>
      </c>
      <c r="E275" s="94">
        <f t="shared" si="61"/>
        <v>11</v>
      </c>
      <c r="F275" s="94">
        <f>($C$4/E275)+F274</f>
        <v>31.090715885199355</v>
      </c>
      <c r="G275" s="56">
        <f t="shared" ref="G275:G287" si="76">G274</f>
        <v>5500</v>
      </c>
      <c r="H275" s="56">
        <v>2</v>
      </c>
      <c r="I275" s="94">
        <f>E275-E274</f>
        <v>0</v>
      </c>
      <c r="J275" s="56">
        <f>(0.5*VEHICLE!$C$71*VEHICLE!$C$28*VEHICLE!$C$27*'Drive Cycle'!E275^2)</f>
        <v>107.64209609999999</v>
      </c>
      <c r="K275" s="56">
        <f>IF(A275=1,VEHICLE!$S$5,IF(A275=2,VEHICLE!$Q$5,IF(A275=3,VEHICLE!$R$5,IF(A275=4,VEHICLE!$P$5,1))))</f>
        <v>72.351594900000009</v>
      </c>
      <c r="L275" s="56">
        <f t="shared" si="75"/>
        <v>2.1</v>
      </c>
      <c r="M275" s="56">
        <f t="shared" si="71"/>
        <v>0.35000000000000009</v>
      </c>
      <c r="N275" s="56">
        <f t="shared" si="64"/>
        <v>19.290046219188739</v>
      </c>
      <c r="O275" s="56">
        <f t="shared" si="65"/>
        <v>142.59245732963976</v>
      </c>
      <c r="P275" s="56">
        <f t="shared" si="66"/>
        <v>322.58614832963974</v>
      </c>
      <c r="Q275" s="56">
        <f>IF(H275=1,I275*VEHICLE!$C$69,IF(H275=2,VEHICLE!$C$70*I275,IF(H275=3,VEHICLE!$C$71*I275,0)))</f>
        <v>0</v>
      </c>
      <c r="R275" s="56">
        <f>(J275+K275+O275+Q275)</f>
        <v>322.58614832963974</v>
      </c>
      <c r="S275" s="56">
        <f t="shared" si="67"/>
        <v>322.58614832963974</v>
      </c>
      <c r="T275" s="56">
        <f>ABS((R275)/((2*PI()*G275)/60))</f>
        <v>0.56008560086877301</v>
      </c>
      <c r="U275" s="56">
        <f t="shared" si="68"/>
        <v>1</v>
      </c>
      <c r="V275" s="56">
        <f>INDEX(BSFC!$D$4:$AD$26,MATCH(U275,BSFC!$B$4:$B$26,0),MATCH(G275,BSFC!$D$2:$AD$2,0))</f>
        <v>937.88833920000002</v>
      </c>
      <c r="W275" s="56">
        <f t="shared" si="72"/>
        <v>8.4041607473836308E-2</v>
      </c>
      <c r="X275" s="56">
        <f t="shared" si="69"/>
        <v>8.4041607473836308E-2</v>
      </c>
      <c r="Y275" s="56">
        <f t="shared" si="70"/>
        <v>0.25968856709415417</v>
      </c>
      <c r="Z275" s="79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x14ac:dyDescent="0.3">
      <c r="A276" s="55">
        <v>1</v>
      </c>
      <c r="B276" s="56" t="s">
        <v>104</v>
      </c>
      <c r="C276" s="56">
        <f t="shared" si="58"/>
        <v>273</v>
      </c>
      <c r="D276" s="56">
        <f t="shared" si="63"/>
        <v>24.606999999999999</v>
      </c>
      <c r="E276" s="94">
        <f t="shared" si="61"/>
        <v>11</v>
      </c>
      <c r="F276" s="94">
        <f>($C$4/E276)+F275</f>
        <v>31.181624976108445</v>
      </c>
      <c r="G276" s="56">
        <f t="shared" si="76"/>
        <v>5500</v>
      </c>
      <c r="H276" s="56">
        <v>2</v>
      </c>
      <c r="I276" s="94">
        <f>E276-E275</f>
        <v>0</v>
      </c>
      <c r="J276" s="56">
        <f>(0.5*VEHICLE!$C$71*VEHICLE!$C$28*VEHICLE!$C$27*'Drive Cycle'!E276^2)</f>
        <v>107.64209609999999</v>
      </c>
      <c r="K276" s="56">
        <f>IF(A276=1,VEHICLE!$S$5,IF(A276=2,VEHICLE!$Q$5,IF(A276=3,VEHICLE!$R$5,IF(A276=4,VEHICLE!$P$5,1))))</f>
        <v>72.351594900000009</v>
      </c>
      <c r="L276" s="56">
        <f t="shared" si="75"/>
        <v>2.4500000000000002</v>
      </c>
      <c r="M276" s="56">
        <f t="shared" si="71"/>
        <v>0.35000000000000009</v>
      </c>
      <c r="N276" s="56">
        <f t="shared" si="64"/>
        <v>19.290046219188739</v>
      </c>
      <c r="O276" s="56">
        <f t="shared" si="65"/>
        <v>142.59245732963976</v>
      </c>
      <c r="P276" s="56">
        <f t="shared" si="66"/>
        <v>322.58614832963974</v>
      </c>
      <c r="Q276" s="56">
        <f>IF(H276=1,I276*VEHICLE!$C$69,IF(H276=2,VEHICLE!$C$70*I276,IF(H276=3,VEHICLE!$C$71*I276,0)))</f>
        <v>0</v>
      </c>
      <c r="R276" s="56">
        <f>(J276+K276+O276+Q276)</f>
        <v>322.58614832963974</v>
      </c>
      <c r="S276" s="56">
        <f t="shared" si="67"/>
        <v>322.58614832963974</v>
      </c>
      <c r="T276" s="56">
        <f>ABS((R276)/((2*PI()*G276)/60))</f>
        <v>0.56008560086877301</v>
      </c>
      <c r="U276" s="56">
        <f t="shared" si="68"/>
        <v>1</v>
      </c>
      <c r="V276" s="56">
        <f>INDEX(BSFC!$D$4:$AD$26,MATCH(U276,BSFC!$B$4:$B$26,0),MATCH(G276,BSFC!$D$2:$AD$2,0))</f>
        <v>937.88833920000002</v>
      </c>
      <c r="W276" s="56">
        <f t="shared" si="72"/>
        <v>8.4041607473836308E-2</v>
      </c>
      <c r="X276" s="56">
        <f t="shared" si="69"/>
        <v>8.4041607473836308E-2</v>
      </c>
      <c r="Y276" s="56">
        <f t="shared" si="70"/>
        <v>0.25968856709415417</v>
      </c>
      <c r="Z276" s="79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x14ac:dyDescent="0.3">
      <c r="A277" s="55">
        <v>1</v>
      </c>
      <c r="B277" s="56" t="s">
        <v>104</v>
      </c>
      <c r="C277" s="56">
        <f t="shared" si="58"/>
        <v>274</v>
      </c>
      <c r="D277" s="56">
        <f t="shared" si="63"/>
        <v>24.606999999999999</v>
      </c>
      <c r="E277" s="94">
        <f t="shared" si="61"/>
        <v>11</v>
      </c>
      <c r="F277" s="94">
        <f>($C$4/E277)+F276</f>
        <v>31.272534067017535</v>
      </c>
      <c r="G277" s="56">
        <f t="shared" si="76"/>
        <v>5500</v>
      </c>
      <c r="H277" s="56">
        <v>2</v>
      </c>
      <c r="I277" s="94">
        <f>E277-E276</f>
        <v>0</v>
      </c>
      <c r="J277" s="56">
        <f>(0.5*VEHICLE!$C$71*VEHICLE!$C$28*VEHICLE!$C$27*'Drive Cycle'!E277^2)</f>
        <v>107.64209609999999</v>
      </c>
      <c r="K277" s="56">
        <f>IF(A277=1,VEHICLE!$S$5,IF(A277=2,VEHICLE!$Q$5,IF(A277=3,VEHICLE!$R$5,IF(A277=4,VEHICLE!$P$5,1))))</f>
        <v>72.351594900000009</v>
      </c>
      <c r="L277" s="56">
        <f t="shared" si="75"/>
        <v>2.8000000000000003</v>
      </c>
      <c r="M277" s="56">
        <f t="shared" si="71"/>
        <v>0.35000000000000009</v>
      </c>
      <c r="N277" s="56">
        <f t="shared" si="64"/>
        <v>19.290046219188739</v>
      </c>
      <c r="O277" s="56">
        <f t="shared" si="65"/>
        <v>142.59245732963976</v>
      </c>
      <c r="P277" s="56">
        <f t="shared" si="66"/>
        <v>322.58614832963974</v>
      </c>
      <c r="Q277" s="56">
        <f>IF(H277=1,I277*VEHICLE!$C$69,IF(H277=2,VEHICLE!$C$70*I277,IF(H277=3,VEHICLE!$C$71*I277,0)))</f>
        <v>0</v>
      </c>
      <c r="R277" s="56">
        <f>(J277+K277+O277+Q277)</f>
        <v>322.58614832963974</v>
      </c>
      <c r="S277" s="56">
        <f t="shared" si="67"/>
        <v>322.58614832963974</v>
      </c>
      <c r="T277" s="56">
        <f>ABS((R277)/((2*PI()*G277)/60))</f>
        <v>0.56008560086877301</v>
      </c>
      <c r="U277" s="56">
        <f t="shared" si="68"/>
        <v>1</v>
      </c>
      <c r="V277" s="56">
        <f>INDEX(BSFC!$D$4:$AD$26,MATCH(U277,BSFC!$B$4:$B$26,0),MATCH(G277,BSFC!$D$2:$AD$2,0))</f>
        <v>937.88833920000002</v>
      </c>
      <c r="W277" s="56">
        <f t="shared" si="72"/>
        <v>8.4041607473836308E-2</v>
      </c>
      <c r="X277" s="56">
        <f t="shared" si="69"/>
        <v>8.4041607473836308E-2</v>
      </c>
      <c r="Y277" s="56">
        <f t="shared" si="70"/>
        <v>0.25968856709415417</v>
      </c>
      <c r="Z277" s="79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x14ac:dyDescent="0.3">
      <c r="A278" s="55">
        <v>1</v>
      </c>
      <c r="B278" s="56" t="s">
        <v>104</v>
      </c>
      <c r="C278" s="56">
        <f t="shared" si="58"/>
        <v>275</v>
      </c>
      <c r="D278" s="56">
        <f t="shared" si="63"/>
        <v>24.606999999999999</v>
      </c>
      <c r="E278" s="94">
        <f t="shared" si="61"/>
        <v>11</v>
      </c>
      <c r="F278" s="94">
        <f>($C$4/E278)+F277</f>
        <v>31.363443157926625</v>
      </c>
      <c r="G278" s="56">
        <f t="shared" si="76"/>
        <v>5500</v>
      </c>
      <c r="H278" s="56">
        <v>2</v>
      </c>
      <c r="I278" s="94">
        <f>E278-E277</f>
        <v>0</v>
      </c>
      <c r="J278" s="56">
        <f>(0.5*VEHICLE!$C$71*VEHICLE!$C$28*VEHICLE!$C$27*'Drive Cycle'!E278^2)</f>
        <v>107.64209609999999</v>
      </c>
      <c r="K278" s="56">
        <f>IF(A278=1,VEHICLE!$S$5,IF(A278=2,VEHICLE!$Q$5,IF(A278=3,VEHICLE!$R$5,IF(A278=4,VEHICLE!$P$5,1))))</f>
        <v>72.351594900000009</v>
      </c>
      <c r="L278" s="56">
        <f t="shared" si="75"/>
        <v>3.1500000000000004</v>
      </c>
      <c r="M278" s="56">
        <f t="shared" si="71"/>
        <v>0.35000000000000009</v>
      </c>
      <c r="N278" s="56">
        <f t="shared" si="64"/>
        <v>19.290046219188739</v>
      </c>
      <c r="O278" s="56">
        <f t="shared" si="65"/>
        <v>142.59245732963976</v>
      </c>
      <c r="P278" s="56">
        <f t="shared" si="66"/>
        <v>322.58614832963974</v>
      </c>
      <c r="Q278" s="56">
        <f>IF(H278=1,I278*VEHICLE!$C$69,IF(H278=2,VEHICLE!$C$70*I278,IF(H278=3,VEHICLE!$C$71*I278,0)))</f>
        <v>0</v>
      </c>
      <c r="R278" s="56">
        <f>(J278+K278+O278+Q278)</f>
        <v>322.58614832963974</v>
      </c>
      <c r="S278" s="56">
        <f t="shared" si="67"/>
        <v>322.58614832963974</v>
      </c>
      <c r="T278" s="56">
        <f>ABS((R278)/((2*PI()*G278)/60))</f>
        <v>0.56008560086877301</v>
      </c>
      <c r="U278" s="56">
        <f t="shared" si="68"/>
        <v>1</v>
      </c>
      <c r="V278" s="56">
        <f>INDEX(BSFC!$D$4:$AD$26,MATCH(U278,BSFC!$B$4:$B$26,0),MATCH(G278,BSFC!$D$2:$AD$2,0))</f>
        <v>937.88833920000002</v>
      </c>
      <c r="W278" s="56">
        <f t="shared" si="72"/>
        <v>8.4041607473836308E-2</v>
      </c>
      <c r="X278" s="56">
        <f t="shared" si="69"/>
        <v>8.4041607473836308E-2</v>
      </c>
      <c r="Y278" s="56">
        <f t="shared" si="70"/>
        <v>0.25968856709415417</v>
      </c>
      <c r="Z278" s="79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x14ac:dyDescent="0.3">
      <c r="A279" s="55">
        <v>1</v>
      </c>
      <c r="B279" s="56" t="s">
        <v>104</v>
      </c>
      <c r="C279" s="56">
        <f t="shared" si="58"/>
        <v>276</v>
      </c>
      <c r="D279" s="56">
        <f t="shared" si="63"/>
        <v>24.606999999999999</v>
      </c>
      <c r="E279" s="94">
        <f t="shared" si="61"/>
        <v>11</v>
      </c>
      <c r="F279" s="94">
        <f>($C$4/E279)+F278</f>
        <v>31.454352248835715</v>
      </c>
      <c r="G279" s="56">
        <f t="shared" si="76"/>
        <v>5500</v>
      </c>
      <c r="H279" s="56">
        <v>2</v>
      </c>
      <c r="I279" s="94">
        <f>E279-E278</f>
        <v>0</v>
      </c>
      <c r="J279" s="56">
        <f>(0.5*VEHICLE!$C$71*VEHICLE!$C$28*VEHICLE!$C$27*'Drive Cycle'!E279^2)</f>
        <v>107.64209609999999</v>
      </c>
      <c r="K279" s="56">
        <f>IF(A279=1,VEHICLE!$S$5,IF(A279=2,VEHICLE!$Q$5,IF(A279=3,VEHICLE!$R$5,IF(A279=4,VEHICLE!$P$5,1))))</f>
        <v>72.351594900000009</v>
      </c>
      <c r="L279" s="56">
        <f t="shared" si="75"/>
        <v>3.5000000000000004</v>
      </c>
      <c r="M279" s="56">
        <f t="shared" si="71"/>
        <v>0.35000000000000009</v>
      </c>
      <c r="N279" s="56">
        <f t="shared" si="64"/>
        <v>19.290046219188739</v>
      </c>
      <c r="O279" s="56">
        <f t="shared" si="65"/>
        <v>142.59245732963976</v>
      </c>
      <c r="P279" s="56">
        <f t="shared" si="66"/>
        <v>322.58614832963974</v>
      </c>
      <c r="Q279" s="56">
        <f>IF(H279=1,I279*VEHICLE!$C$69,IF(H279=2,VEHICLE!$C$70*I279,IF(H279=3,VEHICLE!$C$71*I279,0)))</f>
        <v>0</v>
      </c>
      <c r="R279" s="56">
        <f>(J279+K279+O279+Q279)</f>
        <v>322.58614832963974</v>
      </c>
      <c r="S279" s="56">
        <f t="shared" si="67"/>
        <v>322.58614832963974</v>
      </c>
      <c r="T279" s="56">
        <f>ABS((R279)/((2*PI()*G279)/60))</f>
        <v>0.56008560086877301</v>
      </c>
      <c r="U279" s="56">
        <f t="shared" si="68"/>
        <v>1</v>
      </c>
      <c r="V279" s="56">
        <f>INDEX(BSFC!$D$4:$AD$26,MATCH(U279,BSFC!$B$4:$B$26,0),MATCH(G279,BSFC!$D$2:$AD$2,0))</f>
        <v>937.88833920000002</v>
      </c>
      <c r="W279" s="56">
        <f t="shared" si="72"/>
        <v>8.4041607473836308E-2</v>
      </c>
      <c r="X279" s="56">
        <f t="shared" si="69"/>
        <v>8.4041607473836308E-2</v>
      </c>
      <c r="Y279" s="56">
        <f t="shared" si="70"/>
        <v>0.25968856709415417</v>
      </c>
      <c r="Z279" s="79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x14ac:dyDescent="0.3">
      <c r="A280" s="55">
        <v>1</v>
      </c>
      <c r="B280" s="56" t="s">
        <v>104</v>
      </c>
      <c r="C280" s="56">
        <f t="shared" si="58"/>
        <v>277</v>
      </c>
      <c r="D280" s="56">
        <f t="shared" si="63"/>
        <v>24.606999999999999</v>
      </c>
      <c r="E280" s="94">
        <f t="shared" si="61"/>
        <v>11</v>
      </c>
      <c r="F280" s="94">
        <f>($C$4/E280)+F279</f>
        <v>31.545261339744805</v>
      </c>
      <c r="G280" s="56">
        <f t="shared" si="76"/>
        <v>5500</v>
      </c>
      <c r="H280" s="56">
        <v>2</v>
      </c>
      <c r="I280" s="94">
        <f>E280-E279</f>
        <v>0</v>
      </c>
      <c r="J280" s="56">
        <f>(0.5*VEHICLE!$C$71*VEHICLE!$C$28*VEHICLE!$C$27*'Drive Cycle'!E280^2)</f>
        <v>107.64209609999999</v>
      </c>
      <c r="K280" s="56">
        <f>IF(A280=1,VEHICLE!$S$5,IF(A280=2,VEHICLE!$Q$5,IF(A280=3,VEHICLE!$R$5,IF(A280=4,VEHICLE!$P$5,1))))</f>
        <v>72.351594900000009</v>
      </c>
      <c r="L280" s="56">
        <f t="shared" si="75"/>
        <v>3.8500000000000005</v>
      </c>
      <c r="M280" s="56">
        <f t="shared" si="71"/>
        <v>0.35000000000000009</v>
      </c>
      <c r="N280" s="56">
        <f t="shared" si="64"/>
        <v>19.290046219188739</v>
      </c>
      <c r="O280" s="56">
        <f t="shared" si="65"/>
        <v>142.59245732963976</v>
      </c>
      <c r="P280" s="56">
        <f t="shared" si="66"/>
        <v>322.58614832963974</v>
      </c>
      <c r="Q280" s="56">
        <f>IF(H280=1,I280*VEHICLE!$C$69,IF(H280=2,VEHICLE!$C$70*I280,IF(H280=3,VEHICLE!$C$71*I280,0)))</f>
        <v>0</v>
      </c>
      <c r="R280" s="56">
        <f>(J280+K280+O280+Q280)</f>
        <v>322.58614832963974</v>
      </c>
      <c r="S280" s="56">
        <f t="shared" si="67"/>
        <v>322.58614832963974</v>
      </c>
      <c r="T280" s="56">
        <f>ABS((R280)/((2*PI()*G280)/60))</f>
        <v>0.56008560086877301</v>
      </c>
      <c r="U280" s="56">
        <f t="shared" si="68"/>
        <v>1</v>
      </c>
      <c r="V280" s="56">
        <f>INDEX(BSFC!$D$4:$AD$26,MATCH(U280,BSFC!$B$4:$B$26,0),MATCH(G280,BSFC!$D$2:$AD$2,0))</f>
        <v>937.88833920000002</v>
      </c>
      <c r="W280" s="56">
        <f t="shared" si="72"/>
        <v>8.4041607473836308E-2</v>
      </c>
      <c r="X280" s="56">
        <f t="shared" si="69"/>
        <v>8.4041607473836308E-2</v>
      </c>
      <c r="Y280" s="56">
        <f t="shared" si="70"/>
        <v>0.25968856709415417</v>
      </c>
      <c r="Z280" s="79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x14ac:dyDescent="0.3">
      <c r="A281" s="55">
        <v>1</v>
      </c>
      <c r="B281" s="56" t="s">
        <v>104</v>
      </c>
      <c r="C281" s="56">
        <f t="shared" si="58"/>
        <v>278</v>
      </c>
      <c r="D281" s="56">
        <f t="shared" si="63"/>
        <v>24.606999999999999</v>
      </c>
      <c r="E281" s="94">
        <f t="shared" si="61"/>
        <v>11</v>
      </c>
      <c r="F281" s="94">
        <f>($C$4/E281)+F280</f>
        <v>31.636170430653895</v>
      </c>
      <c r="G281" s="56">
        <f t="shared" si="76"/>
        <v>5500</v>
      </c>
      <c r="H281" s="56">
        <v>2</v>
      </c>
      <c r="I281" s="94">
        <f>E281-E280</f>
        <v>0</v>
      </c>
      <c r="J281" s="56">
        <f>(0.5*VEHICLE!$C$71*VEHICLE!$C$28*VEHICLE!$C$27*'Drive Cycle'!E281^2)</f>
        <v>107.64209609999999</v>
      </c>
      <c r="K281" s="56">
        <f>IF(A281=1,VEHICLE!$S$5,IF(A281=2,VEHICLE!$Q$5,IF(A281=3,VEHICLE!$R$5,IF(A281=4,VEHICLE!$P$5,1))))</f>
        <v>72.351594900000009</v>
      </c>
      <c r="L281" s="56">
        <f t="shared" si="75"/>
        <v>4.2</v>
      </c>
      <c r="M281" s="56">
        <f t="shared" si="71"/>
        <v>0.34999999999999964</v>
      </c>
      <c r="N281" s="56">
        <f t="shared" si="64"/>
        <v>19.290046219188717</v>
      </c>
      <c r="O281" s="56">
        <f t="shared" si="65"/>
        <v>142.59245732963961</v>
      </c>
      <c r="P281" s="56">
        <f t="shared" si="66"/>
        <v>322.58614832963963</v>
      </c>
      <c r="Q281" s="56">
        <f>IF(H281=1,I281*VEHICLE!$C$69,IF(H281=2,VEHICLE!$C$70*I281,IF(H281=3,VEHICLE!$C$71*I281,0)))</f>
        <v>0</v>
      </c>
      <c r="R281" s="56">
        <f>(J281+K281+O281+Q281)</f>
        <v>322.58614832963963</v>
      </c>
      <c r="S281" s="56">
        <f t="shared" si="67"/>
        <v>322.58614832963963</v>
      </c>
      <c r="T281" s="56">
        <f>ABS((R281)/((2*PI()*G281)/60))</f>
        <v>0.5600856008687729</v>
      </c>
      <c r="U281" s="56">
        <f t="shared" si="68"/>
        <v>1</v>
      </c>
      <c r="V281" s="56">
        <f>INDEX(BSFC!$D$4:$AD$26,MATCH(U281,BSFC!$B$4:$B$26,0),MATCH(G281,BSFC!$D$2:$AD$2,0))</f>
        <v>937.88833920000002</v>
      </c>
      <c r="W281" s="56">
        <f t="shared" si="72"/>
        <v>8.404160747383628E-2</v>
      </c>
      <c r="X281" s="56">
        <f t="shared" si="69"/>
        <v>8.404160747383628E-2</v>
      </c>
      <c r="Y281" s="56">
        <f t="shared" si="70"/>
        <v>0.25968856709415411</v>
      </c>
      <c r="Z281" s="79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x14ac:dyDescent="0.3">
      <c r="A282" s="55">
        <v>1</v>
      </c>
      <c r="B282" s="56" t="s">
        <v>104</v>
      </c>
      <c r="C282" s="56">
        <f t="shared" si="58"/>
        <v>279</v>
      </c>
      <c r="D282" s="56">
        <f t="shared" si="63"/>
        <v>24.606999999999999</v>
      </c>
      <c r="E282" s="94">
        <f t="shared" si="61"/>
        <v>11</v>
      </c>
      <c r="F282" s="94">
        <f>($C$4/E282)+F281</f>
        <v>31.727079521562985</v>
      </c>
      <c r="G282" s="56">
        <f t="shared" si="76"/>
        <v>5500</v>
      </c>
      <c r="H282" s="56">
        <v>2</v>
      </c>
      <c r="I282" s="94">
        <f>E282-E281</f>
        <v>0</v>
      </c>
      <c r="J282" s="56">
        <f>(0.5*VEHICLE!$C$71*VEHICLE!$C$28*VEHICLE!$C$27*'Drive Cycle'!E282^2)</f>
        <v>107.64209609999999</v>
      </c>
      <c r="K282" s="56">
        <f>IF(A282=1,VEHICLE!$S$5,IF(A282=2,VEHICLE!$Q$5,IF(A282=3,VEHICLE!$R$5,IF(A282=4,VEHICLE!$P$5,1))))</f>
        <v>72.351594900000009</v>
      </c>
      <c r="L282" s="56">
        <f t="shared" si="75"/>
        <v>4.55</v>
      </c>
      <c r="M282" s="56">
        <f t="shared" si="71"/>
        <v>0.34999999999999964</v>
      </c>
      <c r="N282" s="56">
        <f t="shared" si="64"/>
        <v>19.290046219188717</v>
      </c>
      <c r="O282" s="56">
        <f t="shared" si="65"/>
        <v>142.59245732963961</v>
      </c>
      <c r="P282" s="56">
        <f t="shared" si="66"/>
        <v>322.58614832963963</v>
      </c>
      <c r="Q282" s="56">
        <f>IF(H282=1,I282*VEHICLE!$C$69,IF(H282=2,VEHICLE!$C$70*I282,IF(H282=3,VEHICLE!$C$71*I282,0)))</f>
        <v>0</v>
      </c>
      <c r="R282" s="56">
        <f>(J282+K282+O282+Q282)</f>
        <v>322.58614832963963</v>
      </c>
      <c r="S282" s="56">
        <f t="shared" si="67"/>
        <v>322.58614832963963</v>
      </c>
      <c r="T282" s="56">
        <f>ABS((R282)/((2*PI()*G282)/60))</f>
        <v>0.5600856008687729</v>
      </c>
      <c r="U282" s="56">
        <f t="shared" si="68"/>
        <v>1</v>
      </c>
      <c r="V282" s="56">
        <f>INDEX(BSFC!$D$4:$AD$26,MATCH(U282,BSFC!$B$4:$B$26,0),MATCH(G282,BSFC!$D$2:$AD$2,0))</f>
        <v>937.88833920000002</v>
      </c>
      <c r="W282" s="56">
        <f t="shared" si="72"/>
        <v>8.404160747383628E-2</v>
      </c>
      <c r="X282" s="56">
        <f t="shared" si="69"/>
        <v>8.404160747383628E-2</v>
      </c>
      <c r="Y282" s="56">
        <f t="shared" si="70"/>
        <v>0.25968856709415411</v>
      </c>
      <c r="Z282" s="79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x14ac:dyDescent="0.3">
      <c r="A283" s="55">
        <v>1</v>
      </c>
      <c r="B283" s="56" t="s">
        <v>104</v>
      </c>
      <c r="C283" s="56">
        <f t="shared" si="58"/>
        <v>280</v>
      </c>
      <c r="D283" s="56">
        <f t="shared" si="63"/>
        <v>24.606999999999999</v>
      </c>
      <c r="E283" s="94">
        <f t="shared" si="61"/>
        <v>11</v>
      </c>
      <c r="F283" s="94">
        <f>($C$4/E283)+F282</f>
        <v>31.817988612472075</v>
      </c>
      <c r="G283" s="56">
        <f t="shared" si="76"/>
        <v>5500</v>
      </c>
      <c r="H283" s="56">
        <v>2</v>
      </c>
      <c r="I283" s="94">
        <f>E283-E282</f>
        <v>0</v>
      </c>
      <c r="J283" s="56">
        <f>(0.5*VEHICLE!$C$71*VEHICLE!$C$28*VEHICLE!$C$27*'Drive Cycle'!E283^2)</f>
        <v>107.64209609999999</v>
      </c>
      <c r="K283" s="56">
        <f>IF(A283=1,VEHICLE!$S$5,IF(A283=2,VEHICLE!$Q$5,IF(A283=3,VEHICLE!$R$5,IF(A283=4,VEHICLE!$P$5,1))))</f>
        <v>72.351594900000009</v>
      </c>
      <c r="L283" s="56">
        <f t="shared" si="75"/>
        <v>4.8999999999999995</v>
      </c>
      <c r="M283" s="56">
        <f t="shared" si="71"/>
        <v>0.34999999999999964</v>
      </c>
      <c r="N283" s="56">
        <f t="shared" si="64"/>
        <v>19.290046219188717</v>
      </c>
      <c r="O283" s="56">
        <f t="shared" si="65"/>
        <v>142.59245732963961</v>
      </c>
      <c r="P283" s="56">
        <f t="shared" si="66"/>
        <v>322.58614832963963</v>
      </c>
      <c r="Q283" s="56">
        <f>IF(H283=1,I283*VEHICLE!$C$69,IF(H283=2,VEHICLE!$C$70*I283,IF(H283=3,VEHICLE!$C$71*I283,0)))</f>
        <v>0</v>
      </c>
      <c r="R283" s="56">
        <f>(J283+K283+O283+Q283)</f>
        <v>322.58614832963963</v>
      </c>
      <c r="S283" s="56">
        <f t="shared" si="67"/>
        <v>322.58614832963963</v>
      </c>
      <c r="T283" s="56">
        <f>ABS((R283)/((2*PI()*G283)/60))</f>
        <v>0.5600856008687729</v>
      </c>
      <c r="U283" s="56">
        <f t="shared" si="68"/>
        <v>1</v>
      </c>
      <c r="V283" s="56">
        <f>INDEX(BSFC!$D$4:$AD$26,MATCH(U283,BSFC!$B$4:$B$26,0),MATCH(G283,BSFC!$D$2:$AD$2,0))</f>
        <v>937.88833920000002</v>
      </c>
      <c r="W283" s="56">
        <f t="shared" si="72"/>
        <v>8.404160747383628E-2</v>
      </c>
      <c r="X283" s="56">
        <f t="shared" si="69"/>
        <v>8.404160747383628E-2</v>
      </c>
      <c r="Y283" s="56">
        <f t="shared" si="70"/>
        <v>0.25968856709415411</v>
      </c>
      <c r="Z283" s="79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x14ac:dyDescent="0.3">
      <c r="A284" s="55">
        <v>1</v>
      </c>
      <c r="B284" s="56" t="s">
        <v>104</v>
      </c>
      <c r="C284" s="56">
        <f t="shared" si="58"/>
        <v>281</v>
      </c>
      <c r="D284" s="56">
        <f t="shared" si="63"/>
        <v>24.606999999999999</v>
      </c>
      <c r="E284" s="94">
        <f t="shared" si="61"/>
        <v>11</v>
      </c>
      <c r="F284" s="94">
        <f>($C$4/E284)+F283</f>
        <v>31.908897703381164</v>
      </c>
      <c r="G284" s="56">
        <f t="shared" si="76"/>
        <v>5500</v>
      </c>
      <c r="H284" s="56">
        <v>2</v>
      </c>
      <c r="I284" s="94">
        <f>E284-E283</f>
        <v>0</v>
      </c>
      <c r="J284" s="56">
        <f>(0.5*VEHICLE!$C$71*VEHICLE!$C$28*VEHICLE!$C$27*'Drive Cycle'!E284^2)</f>
        <v>107.64209609999999</v>
      </c>
      <c r="K284" s="56">
        <f>IF(A284=1,VEHICLE!$S$5,IF(A284=2,VEHICLE!$Q$5,IF(A284=3,VEHICLE!$R$5,IF(A284=4,VEHICLE!$P$5,1))))</f>
        <v>72.351594900000009</v>
      </c>
      <c r="L284" s="56">
        <f t="shared" si="75"/>
        <v>5.2499999999999991</v>
      </c>
      <c r="M284" s="56">
        <f t="shared" si="71"/>
        <v>0.34999999999999964</v>
      </c>
      <c r="N284" s="56">
        <f t="shared" si="64"/>
        <v>19.290046219188717</v>
      </c>
      <c r="O284" s="56">
        <f t="shared" si="65"/>
        <v>142.59245732963961</v>
      </c>
      <c r="P284" s="56">
        <f t="shared" si="66"/>
        <v>322.58614832963963</v>
      </c>
      <c r="Q284" s="56">
        <f>IF(H284=1,I284*VEHICLE!$C$69,IF(H284=2,VEHICLE!$C$70*I284,IF(H284=3,VEHICLE!$C$71*I284,0)))</f>
        <v>0</v>
      </c>
      <c r="R284" s="56">
        <f>(J284+K284+O284+Q284)</f>
        <v>322.58614832963963</v>
      </c>
      <c r="S284" s="56">
        <f t="shared" si="67"/>
        <v>322.58614832963963</v>
      </c>
      <c r="T284" s="56">
        <f>ABS((R284)/((2*PI()*G284)/60))</f>
        <v>0.5600856008687729</v>
      </c>
      <c r="U284" s="56">
        <f t="shared" si="68"/>
        <v>1</v>
      </c>
      <c r="V284" s="56">
        <f>INDEX(BSFC!$D$4:$AD$26,MATCH(U284,BSFC!$B$4:$B$26,0),MATCH(G284,BSFC!$D$2:$AD$2,0))</f>
        <v>937.88833920000002</v>
      </c>
      <c r="W284" s="56">
        <f t="shared" si="72"/>
        <v>8.404160747383628E-2</v>
      </c>
      <c r="X284" s="56">
        <f t="shared" si="69"/>
        <v>8.404160747383628E-2</v>
      </c>
      <c r="Y284" s="56">
        <f t="shared" si="70"/>
        <v>0.25968856709415411</v>
      </c>
      <c r="Z284" s="79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x14ac:dyDescent="0.3">
      <c r="A285" s="55">
        <v>1</v>
      </c>
      <c r="B285" s="56" t="s">
        <v>104</v>
      </c>
      <c r="C285" s="56">
        <f t="shared" si="58"/>
        <v>282</v>
      </c>
      <c r="D285" s="56">
        <f t="shared" si="63"/>
        <v>24.606999999999999</v>
      </c>
      <c r="E285" s="94">
        <f t="shared" si="61"/>
        <v>11</v>
      </c>
      <c r="F285" s="94">
        <f>($C$4/E285)+F284</f>
        <v>31.999806794290254</v>
      </c>
      <c r="G285" s="56">
        <f t="shared" si="76"/>
        <v>5500</v>
      </c>
      <c r="H285" s="56">
        <v>2</v>
      </c>
      <c r="I285" s="94">
        <f>E285-E284</f>
        <v>0</v>
      </c>
      <c r="J285" s="56">
        <f>(0.5*VEHICLE!$C$71*VEHICLE!$C$28*VEHICLE!$C$27*'Drive Cycle'!E285^2)</f>
        <v>107.64209609999999</v>
      </c>
      <c r="K285" s="56">
        <f>IF(A285=1,VEHICLE!$S$5,IF(A285=2,VEHICLE!$Q$5,IF(A285=3,VEHICLE!$R$5,IF(A285=4,VEHICLE!$P$5,1))))</f>
        <v>72.351594900000009</v>
      </c>
      <c r="L285" s="56">
        <f>L284+0.35</f>
        <v>5.5999999999999988</v>
      </c>
      <c r="M285" s="56">
        <f t="shared" si="71"/>
        <v>0.34999999999999964</v>
      </c>
      <c r="N285" s="56">
        <f t="shared" si="64"/>
        <v>19.290046219188717</v>
      </c>
      <c r="O285" s="56">
        <f t="shared" si="65"/>
        <v>142.59245732963961</v>
      </c>
      <c r="P285" s="56">
        <f t="shared" si="66"/>
        <v>322.58614832963963</v>
      </c>
      <c r="Q285" s="56">
        <f>IF(H285=1,I285*VEHICLE!$C$69,IF(H285=2,VEHICLE!$C$70*I285,IF(H285=3,VEHICLE!$C$71*I285,0)))</f>
        <v>0</v>
      </c>
      <c r="R285" s="56">
        <f>(J285+K285+O285+Q285)</f>
        <v>322.58614832963963</v>
      </c>
      <c r="S285" s="56">
        <f t="shared" si="67"/>
        <v>322.58614832963963</v>
      </c>
      <c r="T285" s="56">
        <f>ABS((R285)/((2*PI()*G285)/60))</f>
        <v>0.5600856008687729</v>
      </c>
      <c r="U285" s="56">
        <f t="shared" si="68"/>
        <v>1</v>
      </c>
      <c r="V285" s="56">
        <f>INDEX(BSFC!$D$4:$AD$26,MATCH(U285,BSFC!$B$4:$B$26,0),MATCH(G285,BSFC!$D$2:$AD$2,0))</f>
        <v>937.88833920000002</v>
      </c>
      <c r="W285" s="56">
        <f t="shared" si="72"/>
        <v>8.404160747383628E-2</v>
      </c>
      <c r="X285" s="56">
        <f t="shared" si="69"/>
        <v>8.404160747383628E-2</v>
      </c>
      <c r="Y285" s="56">
        <f t="shared" si="70"/>
        <v>0.25968856709415411</v>
      </c>
      <c r="Z285" s="79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x14ac:dyDescent="0.3">
      <c r="A286" s="55">
        <v>1</v>
      </c>
      <c r="B286" s="56" t="s">
        <v>104</v>
      </c>
      <c r="C286" s="56">
        <f t="shared" si="58"/>
        <v>283</v>
      </c>
      <c r="D286" s="56">
        <f t="shared" si="63"/>
        <v>24.606999999999999</v>
      </c>
      <c r="E286" s="94">
        <f t="shared" si="61"/>
        <v>11</v>
      </c>
      <c r="F286" s="94">
        <f>($C$4/E286)+F285</f>
        <v>32.090715885199344</v>
      </c>
      <c r="G286" s="56">
        <f t="shared" si="76"/>
        <v>5500</v>
      </c>
      <c r="H286" s="56">
        <v>2</v>
      </c>
      <c r="I286" s="94">
        <f>E286-E285</f>
        <v>0</v>
      </c>
      <c r="J286" s="56">
        <f>(0.5*VEHICLE!$C$71*VEHICLE!$C$28*VEHICLE!$C$27*'Drive Cycle'!E286^2)</f>
        <v>107.64209609999999</v>
      </c>
      <c r="K286" s="56">
        <f>IF(A286=1,VEHICLE!$S$5,IF(A286=2,VEHICLE!$Q$5,IF(A286=3,VEHICLE!$R$5,IF(A286=4,VEHICLE!$P$5,1))))</f>
        <v>72.351594900000009</v>
      </c>
      <c r="L286" s="56">
        <f t="shared" si="75"/>
        <v>5.9499999999999984</v>
      </c>
      <c r="M286" s="56">
        <f t="shared" si="71"/>
        <v>0.34999999999999964</v>
      </c>
      <c r="N286" s="56">
        <f t="shared" si="64"/>
        <v>19.290046219188717</v>
      </c>
      <c r="O286" s="56">
        <f t="shared" si="65"/>
        <v>142.59245732963961</v>
      </c>
      <c r="P286" s="56">
        <f t="shared" si="66"/>
        <v>322.58614832963963</v>
      </c>
      <c r="Q286" s="56">
        <f>IF(H286=1,I286*VEHICLE!$C$69,IF(H286=2,VEHICLE!$C$70*I286,IF(H286=3,VEHICLE!$C$71*I286,0)))</f>
        <v>0</v>
      </c>
      <c r="R286" s="56">
        <f>(J286+K286+O286+Q286)</f>
        <v>322.58614832963963</v>
      </c>
      <c r="S286" s="56">
        <f t="shared" si="67"/>
        <v>322.58614832963963</v>
      </c>
      <c r="T286" s="56">
        <f>ABS((R286)/((2*PI()*G286)/60))</f>
        <v>0.5600856008687729</v>
      </c>
      <c r="U286" s="56">
        <f t="shared" si="68"/>
        <v>1</v>
      </c>
      <c r="V286" s="56">
        <f>INDEX(BSFC!$D$4:$AD$26,MATCH(U286,BSFC!$B$4:$B$26,0),MATCH(G286,BSFC!$D$2:$AD$2,0))</f>
        <v>937.88833920000002</v>
      </c>
      <c r="W286" s="56">
        <f t="shared" si="72"/>
        <v>8.404160747383628E-2</v>
      </c>
      <c r="X286" s="56">
        <f t="shared" si="69"/>
        <v>8.404160747383628E-2</v>
      </c>
      <c r="Y286" s="56">
        <f t="shared" si="70"/>
        <v>0.25968856709415411</v>
      </c>
      <c r="Z286" s="79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x14ac:dyDescent="0.3">
      <c r="A287" s="55">
        <v>1</v>
      </c>
      <c r="B287" s="56" t="s">
        <v>104</v>
      </c>
      <c r="C287" s="56">
        <f t="shared" si="58"/>
        <v>284</v>
      </c>
      <c r="D287" s="56">
        <f t="shared" si="63"/>
        <v>24.606999999999999</v>
      </c>
      <c r="E287" s="94">
        <f t="shared" si="61"/>
        <v>11</v>
      </c>
      <c r="F287" s="94">
        <f>($C$4/E287)+F286</f>
        <v>32.181624976108438</v>
      </c>
      <c r="G287" s="56">
        <f t="shared" si="76"/>
        <v>5500</v>
      </c>
      <c r="H287" s="56">
        <v>2</v>
      </c>
      <c r="I287" s="94">
        <f>E287-E286</f>
        <v>0</v>
      </c>
      <c r="J287" s="56">
        <f>(0.5*VEHICLE!$C$71*VEHICLE!$C$28*VEHICLE!$C$27*'Drive Cycle'!E287^2)</f>
        <v>107.64209609999999</v>
      </c>
      <c r="K287" s="56">
        <f>IF(A287=1,VEHICLE!$S$5,IF(A287=2,VEHICLE!$Q$5,IF(A287=3,VEHICLE!$R$5,IF(A287=4,VEHICLE!$P$5,1))))</f>
        <v>72.351594900000009</v>
      </c>
      <c r="L287" s="56">
        <f t="shared" si="75"/>
        <v>6.299999999999998</v>
      </c>
      <c r="M287" s="56">
        <f t="shared" si="71"/>
        <v>0.34999999999999964</v>
      </c>
      <c r="N287" s="56">
        <f t="shared" si="64"/>
        <v>19.290046219188717</v>
      </c>
      <c r="O287" s="56">
        <f t="shared" si="65"/>
        <v>142.59245732963961</v>
      </c>
      <c r="P287" s="56">
        <f t="shared" si="66"/>
        <v>322.58614832963963</v>
      </c>
      <c r="Q287" s="56">
        <f>IF(H287=1,I287*VEHICLE!$C$69,IF(H287=2,VEHICLE!$C$70*I287,IF(H287=3,VEHICLE!$C$71*I287,0)))</f>
        <v>0</v>
      </c>
      <c r="R287" s="56">
        <f>(J287+K287+O287+Q287)</f>
        <v>322.58614832963963</v>
      </c>
      <c r="S287" s="56">
        <f t="shared" si="67"/>
        <v>322.58614832963963</v>
      </c>
      <c r="T287" s="56">
        <f>ABS((R287)/((2*PI()*G287)/60))</f>
        <v>0.5600856008687729</v>
      </c>
      <c r="U287" s="56">
        <f t="shared" si="68"/>
        <v>1</v>
      </c>
      <c r="V287" s="56">
        <f>INDEX(BSFC!$D$4:$AD$26,MATCH(U287,BSFC!$B$4:$B$26,0),MATCH(G287,BSFC!$D$2:$AD$2,0))</f>
        <v>937.88833920000002</v>
      </c>
      <c r="W287" s="56">
        <f t="shared" si="72"/>
        <v>8.404160747383628E-2</v>
      </c>
      <c r="X287" s="56">
        <f t="shared" si="69"/>
        <v>8.404160747383628E-2</v>
      </c>
      <c r="Y287" s="56">
        <f t="shared" si="70"/>
        <v>0.25968856709415411</v>
      </c>
      <c r="Z287" s="79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x14ac:dyDescent="0.3">
      <c r="A288" s="55">
        <v>1</v>
      </c>
      <c r="B288" s="56" t="s">
        <v>104</v>
      </c>
      <c r="C288" s="56">
        <f t="shared" si="58"/>
        <v>285</v>
      </c>
      <c r="D288" s="56">
        <f t="shared" si="63"/>
        <v>26.844000000000001</v>
      </c>
      <c r="E288" s="94">
        <v>12</v>
      </c>
      <c r="F288" s="94">
        <f>($C$4/E288)+F287</f>
        <v>32.264958309441774</v>
      </c>
      <c r="G288" s="56">
        <v>5750</v>
      </c>
      <c r="H288" s="56">
        <v>2</v>
      </c>
      <c r="I288" s="94">
        <f>E288-E287</f>
        <v>1</v>
      </c>
      <c r="J288" s="56">
        <f>(0.5*VEHICLE!$C$71*VEHICLE!$C$28*VEHICLE!$C$27*'Drive Cycle'!E288^2)</f>
        <v>128.10299039999998</v>
      </c>
      <c r="K288" s="56">
        <f>IF(A288=1,VEHICLE!$S$5,IF(A288=2,VEHICLE!$Q$5,IF(A288=3,VEHICLE!$R$5,IF(A288=4,VEHICLE!$P$5,1))))</f>
        <v>72.351594900000009</v>
      </c>
      <c r="L288" s="56">
        <v>6.5</v>
      </c>
      <c r="M288" s="56">
        <f t="shared" si="71"/>
        <v>0.20000000000000195</v>
      </c>
      <c r="N288" s="56">
        <f t="shared" si="64"/>
        <v>11.309932474020322</v>
      </c>
      <c r="O288" s="56">
        <f t="shared" si="65"/>
        <v>84.651568571046568</v>
      </c>
      <c r="P288" s="56">
        <f t="shared" si="66"/>
        <v>285.10615387104656</v>
      </c>
      <c r="Q288" s="56">
        <f>IF(H288=1,I288*VEHICLE!$C$69,IF(H288=2,VEHICLE!$C$70*I288,IF(H288=3,VEHICLE!$C$71*I288,0)))</f>
        <v>585.14848653011734</v>
      </c>
      <c r="R288" s="56">
        <f>(J288+K288+O288+Q288)</f>
        <v>870.2546404011639</v>
      </c>
      <c r="S288" s="56">
        <f t="shared" si="67"/>
        <v>870.2546404011639</v>
      </c>
      <c r="T288" s="56">
        <f>ABS((R288)/((2*PI()*G288)/60))</f>
        <v>1.4452729854104875</v>
      </c>
      <c r="U288" s="56">
        <f t="shared" si="68"/>
        <v>2</v>
      </c>
      <c r="V288" s="56">
        <f>INDEX(BSFC!$D$4:$AD$26,MATCH(U288,BSFC!$B$4:$B$26,0),MATCH(G288,BSFC!$D$2:$AD$2,0))</f>
        <v>888.25052976000006</v>
      </c>
      <c r="W288" s="56">
        <f t="shared" si="72"/>
        <v>0.21472337371178674</v>
      </c>
      <c r="X288" s="56">
        <f t="shared" si="69"/>
        <v>0.21472337371178674</v>
      </c>
      <c r="Y288" s="56">
        <f t="shared" si="70"/>
        <v>0.66349522476942102</v>
      </c>
      <c r="Z288" s="79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x14ac:dyDescent="0.3">
      <c r="A289" s="55">
        <v>1</v>
      </c>
      <c r="B289" s="56" t="s">
        <v>104</v>
      </c>
      <c r="C289" s="56">
        <f t="shared" si="58"/>
        <v>286</v>
      </c>
      <c r="D289" s="56">
        <f t="shared" si="63"/>
        <v>27.962500000000002</v>
      </c>
      <c r="E289" s="94">
        <v>12.5</v>
      </c>
      <c r="F289" s="94">
        <f>($C$4/E289)+F288</f>
        <v>32.344958309441772</v>
      </c>
      <c r="G289" s="56">
        <v>6000</v>
      </c>
      <c r="H289" s="56">
        <v>3</v>
      </c>
      <c r="I289" s="94">
        <f>E289-E288</f>
        <v>0.5</v>
      </c>
      <c r="J289" s="56">
        <f>(0.5*VEHICLE!$C$71*VEHICLE!$C$28*VEHICLE!$C$27*'Drive Cycle'!E289^2)</f>
        <v>139.00064062499999</v>
      </c>
      <c r="K289" s="56">
        <f>IF(A289=1,VEHICLE!$S$5,IF(A289=2,VEHICLE!$Q$5,IF(A289=3,VEHICLE!$R$5,IF(A289=4,VEHICLE!$P$5,1))))</f>
        <v>72.351594900000009</v>
      </c>
      <c r="L289" s="56">
        <f>L288</f>
        <v>6.5</v>
      </c>
      <c r="M289" s="56">
        <f t="shared" si="71"/>
        <v>0</v>
      </c>
      <c r="N289" s="56">
        <f t="shared" si="64"/>
        <v>0</v>
      </c>
      <c r="O289" s="56">
        <f t="shared" si="65"/>
        <v>0</v>
      </c>
      <c r="P289" s="56">
        <f t="shared" si="66"/>
        <v>211.352235525</v>
      </c>
      <c r="Q289" s="56">
        <f>IF(H289=1,I289*VEHICLE!$C$69,IF(H289=2,VEHICLE!$C$70*I289,IF(H289=3,VEHICLE!$C$71*I289,0)))</f>
        <v>0.58350000000000002</v>
      </c>
      <c r="R289" s="56">
        <f>(J289+K289+O289+Q289)</f>
        <v>211.93573552499998</v>
      </c>
      <c r="S289" s="56">
        <f t="shared" si="67"/>
        <v>211.93573552499998</v>
      </c>
      <c r="T289" s="56">
        <f>ABS((R289)/((2*PI()*G289)/60))</f>
        <v>0.33730619926620353</v>
      </c>
      <c r="U289" s="56">
        <f t="shared" si="68"/>
        <v>1</v>
      </c>
      <c r="V289" s="56">
        <f>INDEX(BSFC!$D$4:$AD$26,MATCH(U289,BSFC!$B$4:$B$26,0),MATCH(G289,BSFC!$D$2:$AD$2,0))</f>
        <v>933.91499472000044</v>
      </c>
      <c r="W289" s="56">
        <f t="shared" si="72"/>
        <v>5.4980544812169387E-2</v>
      </c>
      <c r="X289" s="56">
        <f t="shared" si="69"/>
        <v>5.4980544812169387E-2</v>
      </c>
      <c r="Y289" s="56">
        <f t="shared" si="70"/>
        <v>0.1698898834696034</v>
      </c>
      <c r="Z289" s="79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x14ac:dyDescent="0.3">
      <c r="A290" s="55">
        <v>1</v>
      </c>
      <c r="B290" s="56" t="s">
        <v>104</v>
      </c>
      <c r="C290" s="56">
        <f t="shared" si="58"/>
        <v>287</v>
      </c>
      <c r="D290" s="56">
        <f t="shared" si="63"/>
        <v>29.081000000000003</v>
      </c>
      <c r="E290" s="94">
        <v>13</v>
      </c>
      <c r="F290" s="94">
        <f>($C$4/E290)+F289</f>
        <v>32.421881386364852</v>
      </c>
      <c r="G290" s="56">
        <v>6500</v>
      </c>
      <c r="H290" s="56">
        <v>3</v>
      </c>
      <c r="I290" s="94">
        <f>E290-E289</f>
        <v>0.5</v>
      </c>
      <c r="J290" s="56">
        <f>(0.5*VEHICLE!$C$71*VEHICLE!$C$28*VEHICLE!$C$27*'Drive Cycle'!E290^2)</f>
        <v>150.34309289999999</v>
      </c>
      <c r="K290" s="56">
        <f>IF(A290=1,VEHICLE!$S$5,IF(A290=2,VEHICLE!$Q$5,IF(A290=3,VEHICLE!$R$5,IF(A290=4,VEHICLE!$P$5,1))))</f>
        <v>72.351594900000009</v>
      </c>
      <c r="L290" s="56">
        <f t="shared" ref="L290:L326" si="77">L289</f>
        <v>6.5</v>
      </c>
      <c r="M290" s="56">
        <f t="shared" si="71"/>
        <v>0</v>
      </c>
      <c r="N290" s="56">
        <f t="shared" si="64"/>
        <v>0</v>
      </c>
      <c r="O290" s="56">
        <f t="shared" si="65"/>
        <v>0</v>
      </c>
      <c r="P290" s="56">
        <f t="shared" si="66"/>
        <v>222.6946878</v>
      </c>
      <c r="Q290" s="56">
        <f>IF(H290=1,I290*VEHICLE!$C$69,IF(H290=2,VEHICLE!$C$70*I290,IF(H290=3,VEHICLE!$C$71*I290,0)))</f>
        <v>0.58350000000000002</v>
      </c>
      <c r="R290" s="56">
        <f>(J290+K290+O290+Q290)</f>
        <v>223.27818779999998</v>
      </c>
      <c r="S290" s="56">
        <f t="shared" si="67"/>
        <v>223.27818779999998</v>
      </c>
      <c r="T290" s="56">
        <f>ABS((R290)/((2*PI()*G290)/60))</f>
        <v>0.32802302098126629</v>
      </c>
      <c r="U290" s="56">
        <f t="shared" si="68"/>
        <v>1</v>
      </c>
      <c r="V290" s="56">
        <f>INDEX(BSFC!$D$4:$AD$26,MATCH(U290,BSFC!$B$4:$B$26,0),MATCH(G290,BSFC!$D$2:$AD$2,0))</f>
        <v>925.65735288000019</v>
      </c>
      <c r="W290" s="56">
        <f t="shared" si="72"/>
        <v>5.7410860076330984E-2</v>
      </c>
      <c r="X290" s="56">
        <f t="shared" si="69"/>
        <v>5.7410860076330984E-2</v>
      </c>
      <c r="Y290" s="56">
        <f t="shared" si="70"/>
        <v>0.17739955763586274</v>
      </c>
      <c r="Z290" s="79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x14ac:dyDescent="0.3">
      <c r="A291" s="55">
        <v>1</v>
      </c>
      <c r="B291" s="56" t="s">
        <v>104</v>
      </c>
      <c r="C291" s="56">
        <f t="shared" si="58"/>
        <v>288</v>
      </c>
      <c r="D291" s="56">
        <f t="shared" si="63"/>
        <v>29.998170000000002</v>
      </c>
      <c r="E291" s="94">
        <v>13.41</v>
      </c>
      <c r="F291" s="94">
        <f>($C$4/E291)+F290</f>
        <v>32.496452601875667</v>
      </c>
      <c r="G291" s="56">
        <v>7000</v>
      </c>
      <c r="H291" s="56">
        <v>3</v>
      </c>
      <c r="I291" s="94">
        <f>E291-E290</f>
        <v>0.41000000000000014</v>
      </c>
      <c r="J291" s="56">
        <f>(0.5*VEHICLE!$C$71*VEHICLE!$C$28*VEHICLE!$C$27*'Drive Cycle'!E291^2)</f>
        <v>159.97581505520998</v>
      </c>
      <c r="K291" s="56">
        <f>IF(A291=1,VEHICLE!$S$5,IF(A291=2,VEHICLE!$Q$5,IF(A291=3,VEHICLE!$R$5,IF(A291=4,VEHICLE!$P$5,1))))</f>
        <v>72.351594900000009</v>
      </c>
      <c r="L291" s="56">
        <f t="shared" si="77"/>
        <v>6.5</v>
      </c>
      <c r="M291" s="56">
        <f t="shared" si="71"/>
        <v>0</v>
      </c>
      <c r="N291" s="56">
        <f t="shared" si="64"/>
        <v>0</v>
      </c>
      <c r="O291" s="56">
        <f t="shared" si="65"/>
        <v>0</v>
      </c>
      <c r="P291" s="56">
        <f t="shared" si="66"/>
        <v>232.32740995520999</v>
      </c>
      <c r="Q291" s="56">
        <f>IF(H291=1,I291*VEHICLE!$C$69,IF(H291=2,VEHICLE!$C$70*I291,IF(H291=3,VEHICLE!$C$71*I291,0)))</f>
        <v>0.47847000000000017</v>
      </c>
      <c r="R291" s="56">
        <f>(J291+K291+O291+Q291)</f>
        <v>232.80587995520997</v>
      </c>
      <c r="S291" s="56">
        <f t="shared" si="67"/>
        <v>232.80587995520997</v>
      </c>
      <c r="T291" s="56">
        <f>ABS((R291)/((2*PI()*G291)/60))</f>
        <v>0.31759034207768627</v>
      </c>
      <c r="U291" s="56">
        <f t="shared" si="68"/>
        <v>1</v>
      </c>
      <c r="V291" s="56">
        <f>INDEX(BSFC!$D$4:$AD$26,MATCH(U291,BSFC!$B$4:$B$26,0),MATCH(G291,BSFC!$D$2:$AD$2,0))</f>
        <v>920.25590927999997</v>
      </c>
      <c r="W291" s="56">
        <f t="shared" si="72"/>
        <v>5.95113852066423E-2</v>
      </c>
      <c r="X291" s="56">
        <f t="shared" si="69"/>
        <v>5.95113852066423E-2</v>
      </c>
      <c r="Y291" s="56">
        <f t="shared" si="70"/>
        <v>0.18389018028852469</v>
      </c>
      <c r="Z291" s="79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x14ac:dyDescent="0.3">
      <c r="A292" s="55">
        <v>1</v>
      </c>
      <c r="B292" s="56" t="s">
        <v>104</v>
      </c>
      <c r="C292" s="56">
        <f t="shared" si="58"/>
        <v>289</v>
      </c>
      <c r="D292" s="56">
        <f t="shared" si="63"/>
        <v>29.998170000000002</v>
      </c>
      <c r="E292" s="94">
        <f t="shared" si="61"/>
        <v>13.41</v>
      </c>
      <c r="F292" s="94">
        <f>($C$4/E292)+F291</f>
        <v>32.571023817386482</v>
      </c>
      <c r="G292" s="56">
        <v>7000</v>
      </c>
      <c r="H292" s="56">
        <v>3</v>
      </c>
      <c r="I292" s="94">
        <f>E292-E291</f>
        <v>0</v>
      </c>
      <c r="J292" s="56">
        <f>(0.5*VEHICLE!$C$71*VEHICLE!$C$28*VEHICLE!$C$27*'Drive Cycle'!E292^2)</f>
        <v>159.97581505520998</v>
      </c>
      <c r="K292" s="56">
        <f>IF(A292=1,VEHICLE!$S$5,IF(A292=2,VEHICLE!$Q$5,IF(A292=3,VEHICLE!$R$5,IF(A292=4,VEHICLE!$P$5,1))))</f>
        <v>72.351594900000009</v>
      </c>
      <c r="L292" s="56">
        <f t="shared" si="77"/>
        <v>6.5</v>
      </c>
      <c r="M292" s="56">
        <f t="shared" si="71"/>
        <v>0</v>
      </c>
      <c r="N292" s="56">
        <f t="shared" si="64"/>
        <v>0</v>
      </c>
      <c r="O292" s="56">
        <f t="shared" si="65"/>
        <v>0</v>
      </c>
      <c r="P292" s="56">
        <f t="shared" si="66"/>
        <v>232.32740995520999</v>
      </c>
      <c r="Q292" s="56">
        <f>IF(H292=1,I292*VEHICLE!$C$69,IF(H292=2,VEHICLE!$C$70*I292,IF(H292=3,VEHICLE!$C$71*I292,0)))</f>
        <v>0</v>
      </c>
      <c r="R292" s="56">
        <f>(J292+K292+O292+Q292)</f>
        <v>232.32740995520999</v>
      </c>
      <c r="S292" s="56">
        <f t="shared" si="67"/>
        <v>232.32740995520999</v>
      </c>
      <c r="T292" s="56">
        <f>ABS((R292)/((2*PI()*G292)/60))</f>
        <v>0.31693762037236189</v>
      </c>
      <c r="U292" s="56">
        <f t="shared" si="68"/>
        <v>1</v>
      </c>
      <c r="V292" s="56">
        <f>INDEX(BSFC!$D$4:$AD$26,MATCH(U292,BSFC!$B$4:$B$26,0),MATCH(G292,BSFC!$D$2:$AD$2,0))</f>
        <v>920.25590927999997</v>
      </c>
      <c r="W292" s="56">
        <f t="shared" si="72"/>
        <v>5.9389075527499745E-2</v>
      </c>
      <c r="X292" s="56">
        <f t="shared" si="69"/>
        <v>5.9389075527499745E-2</v>
      </c>
      <c r="Y292" s="56">
        <f t="shared" si="70"/>
        <v>0.18351224337997421</v>
      </c>
      <c r="Z292" s="79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x14ac:dyDescent="0.3">
      <c r="A293" s="55">
        <v>1</v>
      </c>
      <c r="B293" s="56" t="s">
        <v>104</v>
      </c>
      <c r="C293" s="56">
        <f t="shared" si="58"/>
        <v>290</v>
      </c>
      <c r="D293" s="56">
        <f t="shared" si="63"/>
        <v>29.998170000000002</v>
      </c>
      <c r="E293" s="94">
        <f t="shared" si="61"/>
        <v>13.41</v>
      </c>
      <c r="F293" s="94">
        <f>($C$4/E293)+F292</f>
        <v>32.645595032897297</v>
      </c>
      <c r="G293" s="56">
        <v>7000</v>
      </c>
      <c r="H293" s="56">
        <v>3</v>
      </c>
      <c r="I293" s="94">
        <f>E293-E292</f>
        <v>0</v>
      </c>
      <c r="J293" s="56">
        <f>(0.5*VEHICLE!$C$71*VEHICLE!$C$28*VEHICLE!$C$27*'Drive Cycle'!E293^2)</f>
        <v>159.97581505520998</v>
      </c>
      <c r="K293" s="56">
        <f>IF(A293=1,VEHICLE!$S$5,IF(A293=2,VEHICLE!$Q$5,IF(A293=3,VEHICLE!$R$5,IF(A293=4,VEHICLE!$P$5,1))))</f>
        <v>72.351594900000009</v>
      </c>
      <c r="L293" s="56">
        <f t="shared" si="77"/>
        <v>6.5</v>
      </c>
      <c r="M293" s="56">
        <f t="shared" si="71"/>
        <v>0</v>
      </c>
      <c r="N293" s="56">
        <f t="shared" si="64"/>
        <v>0</v>
      </c>
      <c r="O293" s="56">
        <f t="shared" si="65"/>
        <v>0</v>
      </c>
      <c r="P293" s="56">
        <f t="shared" si="66"/>
        <v>232.32740995520999</v>
      </c>
      <c r="Q293" s="56">
        <f>IF(H293=1,I293*VEHICLE!$C$69,IF(H293=2,VEHICLE!$C$70*I293,IF(H293=3,VEHICLE!$C$71*I293,0)))</f>
        <v>0</v>
      </c>
      <c r="R293" s="56">
        <f>(J293+K293+O293+Q293)</f>
        <v>232.32740995520999</v>
      </c>
      <c r="S293" s="56">
        <f t="shared" si="67"/>
        <v>232.32740995520999</v>
      </c>
      <c r="T293" s="56">
        <f>ABS((R293)/((2*PI()*G293)/60))</f>
        <v>0.31693762037236189</v>
      </c>
      <c r="U293" s="56">
        <f t="shared" si="68"/>
        <v>1</v>
      </c>
      <c r="V293" s="56">
        <f>INDEX(BSFC!$D$4:$AD$26,MATCH(U293,BSFC!$B$4:$B$26,0),MATCH(G293,BSFC!$D$2:$AD$2,0))</f>
        <v>920.25590927999997</v>
      </c>
      <c r="W293" s="56">
        <f t="shared" si="72"/>
        <v>5.9389075527499745E-2</v>
      </c>
      <c r="X293" s="56">
        <f t="shared" si="69"/>
        <v>5.9389075527499745E-2</v>
      </c>
      <c r="Y293" s="56">
        <f t="shared" si="70"/>
        <v>0.18351224337997421</v>
      </c>
      <c r="Z293" s="79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x14ac:dyDescent="0.3">
      <c r="A294" s="55">
        <v>1</v>
      </c>
      <c r="B294" s="56" t="s">
        <v>104</v>
      </c>
      <c r="C294" s="56">
        <f t="shared" si="58"/>
        <v>291</v>
      </c>
      <c r="D294" s="56">
        <f t="shared" si="63"/>
        <v>29.998170000000002</v>
      </c>
      <c r="E294" s="94">
        <f t="shared" si="61"/>
        <v>13.41</v>
      </c>
      <c r="F294" s="94">
        <f>($C$4/E294)+F293</f>
        <v>32.720166248408113</v>
      </c>
      <c r="G294" s="56">
        <v>7000</v>
      </c>
      <c r="H294" s="56">
        <v>3</v>
      </c>
      <c r="I294" s="94">
        <f>E294-E293</f>
        <v>0</v>
      </c>
      <c r="J294" s="56">
        <f>(0.5*VEHICLE!$C$71*VEHICLE!$C$28*VEHICLE!$C$27*'Drive Cycle'!E294^2)</f>
        <v>159.97581505520998</v>
      </c>
      <c r="K294" s="56">
        <f>IF(A294=1,VEHICLE!$S$5,IF(A294=2,VEHICLE!$Q$5,IF(A294=3,VEHICLE!$R$5,IF(A294=4,VEHICLE!$P$5,1))))</f>
        <v>72.351594900000009</v>
      </c>
      <c r="L294" s="56">
        <f t="shared" si="77"/>
        <v>6.5</v>
      </c>
      <c r="M294" s="56">
        <f t="shared" si="71"/>
        <v>0</v>
      </c>
      <c r="N294" s="56">
        <f t="shared" si="64"/>
        <v>0</v>
      </c>
      <c r="O294" s="56">
        <f t="shared" si="65"/>
        <v>0</v>
      </c>
      <c r="P294" s="56">
        <f t="shared" si="66"/>
        <v>232.32740995520999</v>
      </c>
      <c r="Q294" s="56">
        <f>IF(H294=1,I294*VEHICLE!$C$69,IF(H294=2,VEHICLE!$C$70*I294,IF(H294=3,VEHICLE!$C$71*I294,0)))</f>
        <v>0</v>
      </c>
      <c r="R294" s="56">
        <f>(J294+K294+O294+Q294)</f>
        <v>232.32740995520999</v>
      </c>
      <c r="S294" s="56">
        <f t="shared" si="67"/>
        <v>232.32740995520999</v>
      </c>
      <c r="T294" s="56">
        <f>ABS((R294)/((2*PI()*G294)/60))</f>
        <v>0.31693762037236189</v>
      </c>
      <c r="U294" s="56">
        <f t="shared" si="68"/>
        <v>1</v>
      </c>
      <c r="V294" s="56">
        <f>INDEX(BSFC!$D$4:$AD$26,MATCH(U294,BSFC!$B$4:$B$26,0),MATCH(G294,BSFC!$D$2:$AD$2,0))</f>
        <v>920.25590927999997</v>
      </c>
      <c r="W294" s="56">
        <f t="shared" si="72"/>
        <v>5.9389075527499745E-2</v>
      </c>
      <c r="X294" s="56">
        <f t="shared" si="69"/>
        <v>5.9389075527499745E-2</v>
      </c>
      <c r="Y294" s="56">
        <f t="shared" si="70"/>
        <v>0.18351224337997421</v>
      </c>
      <c r="Z294" s="79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x14ac:dyDescent="0.3">
      <c r="A295" s="55">
        <v>1</v>
      </c>
      <c r="B295" s="56" t="s">
        <v>104</v>
      </c>
      <c r="C295" s="56">
        <f t="shared" si="58"/>
        <v>292</v>
      </c>
      <c r="D295" s="56">
        <f t="shared" si="63"/>
        <v>29.998170000000002</v>
      </c>
      <c r="E295" s="94">
        <f t="shared" si="61"/>
        <v>13.41</v>
      </c>
      <c r="F295" s="94">
        <f>($C$4/E295)+F294</f>
        <v>32.794737463918928</v>
      </c>
      <c r="G295" s="56">
        <v>7000</v>
      </c>
      <c r="H295" s="56">
        <v>3</v>
      </c>
      <c r="I295" s="94">
        <f>E295-E294</f>
        <v>0</v>
      </c>
      <c r="J295" s="56">
        <f>(0.5*VEHICLE!$C$71*VEHICLE!$C$28*VEHICLE!$C$27*'Drive Cycle'!E295^2)</f>
        <v>159.97581505520998</v>
      </c>
      <c r="K295" s="56">
        <f>IF(A295=1,VEHICLE!$S$5,IF(A295=2,VEHICLE!$Q$5,IF(A295=3,VEHICLE!$R$5,IF(A295=4,VEHICLE!$P$5,1))))</f>
        <v>72.351594900000009</v>
      </c>
      <c r="L295" s="56">
        <f t="shared" si="77"/>
        <v>6.5</v>
      </c>
      <c r="M295" s="56">
        <f t="shared" si="71"/>
        <v>0</v>
      </c>
      <c r="N295" s="56">
        <f t="shared" si="64"/>
        <v>0</v>
      </c>
      <c r="O295" s="56">
        <f t="shared" si="65"/>
        <v>0</v>
      </c>
      <c r="P295" s="56">
        <f t="shared" si="66"/>
        <v>232.32740995520999</v>
      </c>
      <c r="Q295" s="56">
        <f>IF(H295=1,I295*VEHICLE!$C$69,IF(H295=2,VEHICLE!$C$70*I295,IF(H295=3,VEHICLE!$C$71*I295,0)))</f>
        <v>0</v>
      </c>
      <c r="R295" s="56">
        <f>(J295+K295+O295+Q295)</f>
        <v>232.32740995520999</v>
      </c>
      <c r="S295" s="56">
        <f t="shared" si="67"/>
        <v>232.32740995520999</v>
      </c>
      <c r="T295" s="56">
        <f>ABS((R295)/((2*PI()*G295)/60))</f>
        <v>0.31693762037236189</v>
      </c>
      <c r="U295" s="56">
        <f t="shared" si="68"/>
        <v>1</v>
      </c>
      <c r="V295" s="56">
        <f>INDEX(BSFC!$D$4:$AD$26,MATCH(U295,BSFC!$B$4:$B$26,0),MATCH(G295,BSFC!$D$2:$AD$2,0))</f>
        <v>920.25590927999997</v>
      </c>
      <c r="W295" s="56">
        <f t="shared" si="72"/>
        <v>5.9389075527499745E-2</v>
      </c>
      <c r="X295" s="56">
        <f t="shared" si="69"/>
        <v>5.9389075527499745E-2</v>
      </c>
      <c r="Y295" s="56">
        <f t="shared" si="70"/>
        <v>0.18351224337997421</v>
      </c>
      <c r="Z295" s="79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x14ac:dyDescent="0.3">
      <c r="A296" s="55">
        <v>1</v>
      </c>
      <c r="B296" s="56" t="s">
        <v>104</v>
      </c>
      <c r="C296" s="56">
        <f t="shared" ref="C296:C359" si="78">C295+1</f>
        <v>293</v>
      </c>
      <c r="D296" s="56">
        <f t="shared" si="63"/>
        <v>29.998170000000002</v>
      </c>
      <c r="E296" s="94">
        <f t="shared" si="61"/>
        <v>13.41</v>
      </c>
      <c r="F296" s="94">
        <f>($C$4/E296)+F295</f>
        <v>32.869308679429743</v>
      </c>
      <c r="G296" s="56">
        <v>7000</v>
      </c>
      <c r="H296" s="56">
        <v>3</v>
      </c>
      <c r="I296" s="94">
        <f>E296-E295</f>
        <v>0</v>
      </c>
      <c r="J296" s="56">
        <f>(0.5*VEHICLE!$C$71*VEHICLE!$C$28*VEHICLE!$C$27*'Drive Cycle'!E296^2)</f>
        <v>159.97581505520998</v>
      </c>
      <c r="K296" s="56">
        <f>IF(A296=1,VEHICLE!$S$5,IF(A296=2,VEHICLE!$Q$5,IF(A296=3,VEHICLE!$R$5,IF(A296=4,VEHICLE!$P$5,1))))</f>
        <v>72.351594900000009</v>
      </c>
      <c r="L296" s="56">
        <f t="shared" si="77"/>
        <v>6.5</v>
      </c>
      <c r="M296" s="56">
        <f t="shared" si="71"/>
        <v>0</v>
      </c>
      <c r="N296" s="56">
        <f t="shared" si="64"/>
        <v>0</v>
      </c>
      <c r="O296" s="56">
        <f t="shared" si="65"/>
        <v>0</v>
      </c>
      <c r="P296" s="56">
        <f t="shared" si="66"/>
        <v>232.32740995520999</v>
      </c>
      <c r="Q296" s="56">
        <f>IF(H296=1,I296*VEHICLE!$C$69,IF(H296=2,VEHICLE!$C$70*I296,IF(H296=3,VEHICLE!$C$71*I296,0)))</f>
        <v>0</v>
      </c>
      <c r="R296" s="56">
        <f>(J296+K296+O296+Q296)</f>
        <v>232.32740995520999</v>
      </c>
      <c r="S296" s="56">
        <f t="shared" si="67"/>
        <v>232.32740995520999</v>
      </c>
      <c r="T296" s="56">
        <f>ABS((R296)/((2*PI()*G296)/60))</f>
        <v>0.31693762037236189</v>
      </c>
      <c r="U296" s="56">
        <f t="shared" si="68"/>
        <v>1</v>
      </c>
      <c r="V296" s="56">
        <f>INDEX(BSFC!$D$4:$AD$26,MATCH(U296,BSFC!$B$4:$B$26,0),MATCH(G296,BSFC!$D$2:$AD$2,0))</f>
        <v>920.25590927999997</v>
      </c>
      <c r="W296" s="56">
        <f t="shared" si="72"/>
        <v>5.9389075527499745E-2</v>
      </c>
      <c r="X296" s="56">
        <f t="shared" si="69"/>
        <v>5.9389075527499745E-2</v>
      </c>
      <c r="Y296" s="56">
        <f t="shared" si="70"/>
        <v>0.18351224337997421</v>
      </c>
      <c r="Z296" s="79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x14ac:dyDescent="0.3">
      <c r="A297" s="55">
        <v>1</v>
      </c>
      <c r="B297" s="56" t="s">
        <v>104</v>
      </c>
      <c r="C297" s="56">
        <f t="shared" si="78"/>
        <v>294</v>
      </c>
      <c r="D297" s="56">
        <f t="shared" si="63"/>
        <v>29.998170000000002</v>
      </c>
      <c r="E297" s="94">
        <f t="shared" si="61"/>
        <v>13.41</v>
      </c>
      <c r="F297" s="94">
        <f>($C$4/E297)+F296</f>
        <v>32.943879894940558</v>
      </c>
      <c r="G297" s="56">
        <v>7000</v>
      </c>
      <c r="H297" s="56">
        <v>3</v>
      </c>
      <c r="I297" s="94">
        <f>E297-E296</f>
        <v>0</v>
      </c>
      <c r="J297" s="56">
        <f>(0.5*VEHICLE!$C$71*VEHICLE!$C$28*VEHICLE!$C$27*'Drive Cycle'!E297^2)</f>
        <v>159.97581505520998</v>
      </c>
      <c r="K297" s="56">
        <f>IF(A297=1,VEHICLE!$S$5,IF(A297=2,VEHICLE!$Q$5,IF(A297=3,VEHICLE!$R$5,IF(A297=4,VEHICLE!$P$5,1))))</f>
        <v>72.351594900000009</v>
      </c>
      <c r="L297" s="56">
        <f t="shared" si="77"/>
        <v>6.5</v>
      </c>
      <c r="M297" s="56">
        <f t="shared" si="71"/>
        <v>0</v>
      </c>
      <c r="N297" s="56">
        <f t="shared" si="64"/>
        <v>0</v>
      </c>
      <c r="O297" s="56">
        <f t="shared" si="65"/>
        <v>0</v>
      </c>
      <c r="P297" s="56">
        <f t="shared" si="66"/>
        <v>232.32740995520999</v>
      </c>
      <c r="Q297" s="56">
        <f>IF(H297=1,I297*VEHICLE!$C$69,IF(H297=2,VEHICLE!$C$70*I297,IF(H297=3,VEHICLE!$C$71*I297,0)))</f>
        <v>0</v>
      </c>
      <c r="R297" s="56">
        <f>(J297+K297+O297+Q297)</f>
        <v>232.32740995520999</v>
      </c>
      <c r="S297" s="56">
        <f t="shared" si="67"/>
        <v>232.32740995520999</v>
      </c>
      <c r="T297" s="56">
        <f>ABS((R297)/((2*PI()*G297)/60))</f>
        <v>0.31693762037236189</v>
      </c>
      <c r="U297" s="56">
        <f t="shared" si="68"/>
        <v>1</v>
      </c>
      <c r="V297" s="56">
        <f>INDEX(BSFC!$D$4:$AD$26,MATCH(U297,BSFC!$B$4:$B$26,0),MATCH(G297,BSFC!$D$2:$AD$2,0))</f>
        <v>920.25590927999997</v>
      </c>
      <c r="W297" s="56">
        <f t="shared" si="72"/>
        <v>5.9389075527499745E-2</v>
      </c>
      <c r="X297" s="56">
        <f t="shared" si="69"/>
        <v>5.9389075527499745E-2</v>
      </c>
      <c r="Y297" s="56">
        <f t="shared" si="70"/>
        <v>0.18351224337997421</v>
      </c>
      <c r="Z297" s="79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x14ac:dyDescent="0.3">
      <c r="A298" s="55">
        <v>1</v>
      </c>
      <c r="B298" s="56" t="s">
        <v>104</v>
      </c>
      <c r="C298" s="56">
        <f t="shared" si="78"/>
        <v>295</v>
      </c>
      <c r="D298" s="56">
        <f t="shared" si="63"/>
        <v>29.998170000000002</v>
      </c>
      <c r="E298" s="94">
        <f t="shared" si="61"/>
        <v>13.41</v>
      </c>
      <c r="F298" s="94">
        <f>($C$4/E298)+F297</f>
        <v>33.018451110451373</v>
      </c>
      <c r="G298" s="56">
        <v>7000</v>
      </c>
      <c r="H298" s="56">
        <v>3</v>
      </c>
      <c r="I298" s="94">
        <f>E298-E297</f>
        <v>0</v>
      </c>
      <c r="J298" s="56">
        <f>(0.5*VEHICLE!$C$71*VEHICLE!$C$28*VEHICLE!$C$27*'Drive Cycle'!E298^2)</f>
        <v>159.97581505520998</v>
      </c>
      <c r="K298" s="56">
        <f>IF(A298=1,VEHICLE!$S$5,IF(A298=2,VEHICLE!$Q$5,IF(A298=3,VEHICLE!$R$5,IF(A298=4,VEHICLE!$P$5,1))))</f>
        <v>72.351594900000009</v>
      </c>
      <c r="L298" s="56">
        <f t="shared" si="77"/>
        <v>6.5</v>
      </c>
      <c r="M298" s="56">
        <f t="shared" si="71"/>
        <v>0</v>
      </c>
      <c r="N298" s="56">
        <f t="shared" si="64"/>
        <v>0</v>
      </c>
      <c r="O298" s="56">
        <f t="shared" si="65"/>
        <v>0</v>
      </c>
      <c r="P298" s="56">
        <f t="shared" si="66"/>
        <v>232.32740995520999</v>
      </c>
      <c r="Q298" s="56">
        <f>IF(H298=1,I298*VEHICLE!$C$69,IF(H298=2,VEHICLE!$C$70*I298,IF(H298=3,VEHICLE!$C$71*I298,0)))</f>
        <v>0</v>
      </c>
      <c r="R298" s="56">
        <f>(J298+K298+O298+Q298)</f>
        <v>232.32740995520999</v>
      </c>
      <c r="S298" s="56">
        <f t="shared" si="67"/>
        <v>232.32740995520999</v>
      </c>
      <c r="T298" s="56">
        <f>ABS((R298)/((2*PI()*G298)/60))</f>
        <v>0.31693762037236189</v>
      </c>
      <c r="U298" s="56">
        <f t="shared" si="68"/>
        <v>1</v>
      </c>
      <c r="V298" s="56">
        <f>INDEX(BSFC!$D$4:$AD$26,MATCH(U298,BSFC!$B$4:$B$26,0),MATCH(G298,BSFC!$D$2:$AD$2,0))</f>
        <v>920.25590927999997</v>
      </c>
      <c r="W298" s="56">
        <f t="shared" si="72"/>
        <v>5.9389075527499745E-2</v>
      </c>
      <c r="X298" s="56">
        <f t="shared" si="69"/>
        <v>5.9389075527499745E-2</v>
      </c>
      <c r="Y298" s="56">
        <f t="shared" si="70"/>
        <v>0.18351224337997421</v>
      </c>
      <c r="Z298" s="79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x14ac:dyDescent="0.3">
      <c r="A299" s="55">
        <v>1</v>
      </c>
      <c r="B299" s="56" t="s">
        <v>104</v>
      </c>
      <c r="C299" s="56">
        <f t="shared" si="78"/>
        <v>296</v>
      </c>
      <c r="D299" s="56">
        <f t="shared" si="63"/>
        <v>27.76117</v>
      </c>
      <c r="E299" s="94">
        <f>E298-1</f>
        <v>12.41</v>
      </c>
      <c r="F299" s="94">
        <f>($C$4/E299)+F298</f>
        <v>33.099031287727762</v>
      </c>
      <c r="G299" s="56">
        <f>G298-500</f>
        <v>6500</v>
      </c>
      <c r="H299" s="56">
        <v>2</v>
      </c>
      <c r="I299" s="94">
        <f>E299-E298</f>
        <v>-1</v>
      </c>
      <c r="J299" s="56">
        <f>(0.5*VEHICLE!$C$71*VEHICLE!$C$28*VEHICLE!$C$27*'Drive Cycle'!E299^2)</f>
        <v>137.00623719320998</v>
      </c>
      <c r="K299" s="56">
        <f>IF(A299=1,VEHICLE!$S$5,IF(A299=2,VEHICLE!$Q$5,IF(A299=3,VEHICLE!$R$5,IF(A299=4,VEHICLE!$P$5,1))))</f>
        <v>72.351594900000009</v>
      </c>
      <c r="L299" s="56">
        <f t="shared" si="77"/>
        <v>6.5</v>
      </c>
      <c r="M299" s="56">
        <f t="shared" si="71"/>
        <v>0</v>
      </c>
      <c r="N299" s="56">
        <f t="shared" si="64"/>
        <v>0</v>
      </c>
      <c r="O299" s="56">
        <f t="shared" si="65"/>
        <v>0</v>
      </c>
      <c r="P299" s="56">
        <f t="shared" si="66"/>
        <v>209.35783209320999</v>
      </c>
      <c r="Q299" s="56">
        <f>IF(H299=1,I299*VEHICLE!$C$69,IF(H299=2,VEHICLE!$C$70*I299,IF(H299=3,VEHICLE!$C$71*I299,0)))</f>
        <v>-585.14848653011734</v>
      </c>
      <c r="R299" s="56">
        <f>(J299+K299+O299+Q299)</f>
        <v>-375.79065443690735</v>
      </c>
      <c r="S299" s="56">
        <f t="shared" si="67"/>
        <v>375.79065443690735</v>
      </c>
      <c r="T299" s="56">
        <f>ABS((R299)/((2*PI()*G299)/60))</f>
        <v>0.55208252512035783</v>
      </c>
      <c r="U299" s="56">
        <f t="shared" si="68"/>
        <v>1</v>
      </c>
      <c r="V299" s="56">
        <f>INDEX(BSFC!$D$4:$AD$26,MATCH(U299,BSFC!$B$4:$B$26,0),MATCH(G299,BSFC!$D$2:$AD$2,0))</f>
        <v>925.65735288000019</v>
      </c>
      <c r="W299" s="56">
        <f t="shared" si="72"/>
        <v>-9.6625939561975141E-2</v>
      </c>
      <c r="X299" s="56">
        <f t="shared" si="69"/>
        <v>9.6625939561975141E-2</v>
      </c>
      <c r="Y299" s="56">
        <f t="shared" si="70"/>
        <v>-0.29857415324650316</v>
      </c>
      <c r="Z299" s="79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x14ac:dyDescent="0.3">
      <c r="A300" s="55">
        <v>1</v>
      </c>
      <c r="B300" s="56" t="s">
        <v>104</v>
      </c>
      <c r="C300" s="56">
        <f t="shared" si="78"/>
        <v>297</v>
      </c>
      <c r="D300" s="56">
        <f t="shared" si="63"/>
        <v>25.524170000000002</v>
      </c>
      <c r="E300" s="94">
        <f t="shared" ref="E300:E303" si="79">E299-1</f>
        <v>11.41</v>
      </c>
      <c r="F300" s="94">
        <f>($C$4/E300)+F299</f>
        <v>33.186673706658524</v>
      </c>
      <c r="G300" s="56">
        <f>G299-500</f>
        <v>6000</v>
      </c>
      <c r="H300" s="56">
        <v>2</v>
      </c>
      <c r="I300" s="94">
        <f>E300-E299</f>
        <v>-1</v>
      </c>
      <c r="J300" s="56">
        <f>(0.5*VEHICLE!$C$71*VEHICLE!$C$28*VEHICLE!$C$27*'Drive Cycle'!E300^2)</f>
        <v>115.81586753120997</v>
      </c>
      <c r="K300" s="56">
        <f>IF(A300=1,VEHICLE!$S$5,IF(A300=2,VEHICLE!$Q$5,IF(A300=3,VEHICLE!$R$5,IF(A300=4,VEHICLE!$P$5,1))))</f>
        <v>72.351594900000009</v>
      </c>
      <c r="L300" s="56">
        <f t="shared" si="77"/>
        <v>6.5</v>
      </c>
      <c r="M300" s="56">
        <f t="shared" si="71"/>
        <v>0</v>
      </c>
      <c r="N300" s="56">
        <f t="shared" si="64"/>
        <v>0</v>
      </c>
      <c r="O300" s="56">
        <f t="shared" si="65"/>
        <v>0</v>
      </c>
      <c r="P300" s="56">
        <f t="shared" si="66"/>
        <v>188.16746243120997</v>
      </c>
      <c r="Q300" s="56">
        <f>IF(H300=1,I300*VEHICLE!$C$69,IF(H300=2,VEHICLE!$C$70*I300,IF(H300=3,VEHICLE!$C$71*I300,0)))</f>
        <v>-585.14848653011734</v>
      </c>
      <c r="R300" s="56">
        <f>(J300+K300+O300+Q300)</f>
        <v>-396.98102409890737</v>
      </c>
      <c r="S300" s="56">
        <f t="shared" si="67"/>
        <v>396.98102409890737</v>
      </c>
      <c r="T300" s="56">
        <f>ABS((R300)/((2*PI()*G300)/60))</f>
        <v>0.63181492299023934</v>
      </c>
      <c r="U300" s="56">
        <f t="shared" si="68"/>
        <v>1</v>
      </c>
      <c r="V300" s="56">
        <f>INDEX(BSFC!$D$4:$AD$26,MATCH(U300,BSFC!$B$4:$B$26,0),MATCH(G300,BSFC!$D$2:$AD$2,0))</f>
        <v>933.91499472000044</v>
      </c>
      <c r="W300" s="56">
        <f t="shared" si="72"/>
        <v>-0.10298514750701984</v>
      </c>
      <c r="X300" s="56">
        <f t="shared" si="69"/>
        <v>0.10298514750701984</v>
      </c>
      <c r="Y300" s="56">
        <f t="shared" si="70"/>
        <v>-0.3182241057966913</v>
      </c>
      <c r="Z300" s="79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x14ac:dyDescent="0.3">
      <c r="A301" s="55">
        <v>1</v>
      </c>
      <c r="B301" s="56" t="s">
        <v>104</v>
      </c>
      <c r="C301" s="56">
        <f t="shared" si="78"/>
        <v>298</v>
      </c>
      <c r="D301" s="56">
        <f t="shared" si="63"/>
        <v>23.28717</v>
      </c>
      <c r="E301" s="94">
        <f t="shared" si="79"/>
        <v>10.41</v>
      </c>
      <c r="F301" s="94">
        <f>($C$4/E301)+F300</f>
        <v>33.282735186005304</v>
      </c>
      <c r="G301" s="56">
        <f t="shared" ref="G301:G306" si="80">G300-500</f>
        <v>5500</v>
      </c>
      <c r="H301" s="56">
        <v>2</v>
      </c>
      <c r="I301" s="94">
        <f>E301-E300</f>
        <v>-1</v>
      </c>
      <c r="J301" s="56">
        <f>(0.5*VEHICLE!$C$71*VEHICLE!$C$28*VEHICLE!$C$27*'Drive Cycle'!E301^2)</f>
        <v>96.404706069209993</v>
      </c>
      <c r="K301" s="56">
        <f>IF(A301=1,VEHICLE!$S$5,IF(A301=2,VEHICLE!$Q$5,IF(A301=3,VEHICLE!$R$5,IF(A301=4,VEHICLE!$P$5,1))))</f>
        <v>72.351594900000009</v>
      </c>
      <c r="L301" s="56">
        <f t="shared" si="77"/>
        <v>6.5</v>
      </c>
      <c r="M301" s="56">
        <f t="shared" si="71"/>
        <v>0</v>
      </c>
      <c r="N301" s="56">
        <f t="shared" si="64"/>
        <v>0</v>
      </c>
      <c r="O301" s="56">
        <f t="shared" si="65"/>
        <v>0</v>
      </c>
      <c r="P301" s="56">
        <f t="shared" si="66"/>
        <v>168.75630096921</v>
      </c>
      <c r="Q301" s="56">
        <f>IF(H301=1,I301*VEHICLE!$C$69,IF(H301=2,VEHICLE!$C$70*I301,IF(H301=3,VEHICLE!$C$71*I301,0)))</f>
        <v>-585.14848653011734</v>
      </c>
      <c r="R301" s="56">
        <f>(J301+K301+O301+Q301)</f>
        <v>-416.39218556090736</v>
      </c>
      <c r="S301" s="56">
        <f t="shared" si="67"/>
        <v>416.39218556090736</v>
      </c>
      <c r="T301" s="56">
        <f>ABS((R301)/((2*PI()*G301)/60))</f>
        <v>0.72295499560206711</v>
      </c>
      <c r="U301" s="56">
        <f t="shared" si="68"/>
        <v>1</v>
      </c>
      <c r="V301" s="56">
        <f>INDEX(BSFC!$D$4:$AD$26,MATCH(U301,BSFC!$B$4:$B$26,0),MATCH(G301,BSFC!$D$2:$AD$2,0))</f>
        <v>937.88833920000002</v>
      </c>
      <c r="W301" s="56">
        <f t="shared" si="72"/>
        <v>-0.10848038204766046</v>
      </c>
      <c r="X301" s="56">
        <f t="shared" si="69"/>
        <v>0.10848038204766046</v>
      </c>
      <c r="Y301" s="56">
        <f t="shared" si="70"/>
        <v>-0.33520438052727081</v>
      </c>
      <c r="Z301" s="79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x14ac:dyDescent="0.3">
      <c r="A302" s="55">
        <v>1</v>
      </c>
      <c r="B302" s="56" t="s">
        <v>104</v>
      </c>
      <c r="C302" s="56">
        <f t="shared" si="78"/>
        <v>299</v>
      </c>
      <c r="D302" s="56">
        <f t="shared" si="63"/>
        <v>21.050170000000001</v>
      </c>
      <c r="E302" s="94">
        <f t="shared" si="79"/>
        <v>9.41</v>
      </c>
      <c r="F302" s="94">
        <f>($C$4/E302)+F301</f>
        <v>33.389005111616356</v>
      </c>
      <c r="G302" s="56">
        <f t="shared" si="80"/>
        <v>5000</v>
      </c>
      <c r="H302" s="56">
        <v>2</v>
      </c>
      <c r="I302" s="94">
        <f>E302-E301</f>
        <v>-1</v>
      </c>
      <c r="J302" s="56">
        <f>(0.5*VEHICLE!$C$71*VEHICLE!$C$28*VEHICLE!$C$27*'Drive Cycle'!E302^2)</f>
        <v>78.772752807209997</v>
      </c>
      <c r="K302" s="56">
        <f>IF(A302=1,VEHICLE!$S$5,IF(A302=2,VEHICLE!$Q$5,IF(A302=3,VEHICLE!$R$5,IF(A302=4,VEHICLE!$P$5,1))))</f>
        <v>72.351594900000009</v>
      </c>
      <c r="L302" s="56">
        <f t="shared" si="77"/>
        <v>6.5</v>
      </c>
      <c r="M302" s="56">
        <f t="shared" si="71"/>
        <v>0</v>
      </c>
      <c r="N302" s="56">
        <f t="shared" si="64"/>
        <v>0</v>
      </c>
      <c r="O302" s="56">
        <f t="shared" si="65"/>
        <v>0</v>
      </c>
      <c r="P302" s="56">
        <f t="shared" si="66"/>
        <v>151.12434770721001</v>
      </c>
      <c r="Q302" s="56">
        <f>IF(H302=1,I302*VEHICLE!$C$69,IF(H302=2,VEHICLE!$C$70*I302,IF(H302=3,VEHICLE!$C$71*I302,0)))</f>
        <v>-585.14848653011734</v>
      </c>
      <c r="R302" s="56">
        <f>(J302+K302+O302+Q302)</f>
        <v>-434.02413882290733</v>
      </c>
      <c r="S302" s="56">
        <f t="shared" si="67"/>
        <v>434.02413882290733</v>
      </c>
      <c r="T302" s="56">
        <f>ABS((R302)/((2*PI()*G302)/60))</f>
        <v>0.82892504537842437</v>
      </c>
      <c r="U302" s="56">
        <f t="shared" si="68"/>
        <v>1</v>
      </c>
      <c r="V302" s="56">
        <f>INDEX(BSFC!$D$4:$AD$26,MATCH(U302,BSFC!$B$4:$B$26,0),MATCH(G302,BSFC!$D$2:$AD$2,0))</f>
        <v>967.30583135999973</v>
      </c>
      <c r="W302" s="56">
        <f t="shared" si="72"/>
        <v>-0.11662057789844452</v>
      </c>
      <c r="X302" s="56">
        <f t="shared" si="69"/>
        <v>0.11662057789844452</v>
      </c>
      <c r="Y302" s="56">
        <f t="shared" si="70"/>
        <v>-0.36035758570619353</v>
      </c>
      <c r="Z302" s="79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x14ac:dyDescent="0.3">
      <c r="A303" s="55">
        <v>1</v>
      </c>
      <c r="B303" s="56" t="s">
        <v>104</v>
      </c>
      <c r="C303" s="56">
        <f t="shared" si="78"/>
        <v>300</v>
      </c>
      <c r="D303" s="56">
        <f t="shared" si="63"/>
        <v>18.81317</v>
      </c>
      <c r="E303" s="94">
        <f t="shared" si="79"/>
        <v>8.41</v>
      </c>
      <c r="F303" s="94">
        <f>($C$4/E303)+F302</f>
        <v>33.507911175825633</v>
      </c>
      <c r="G303" s="56">
        <f t="shared" si="80"/>
        <v>4500</v>
      </c>
      <c r="H303" s="56">
        <v>2</v>
      </c>
      <c r="I303" s="94">
        <f>E303-E302</f>
        <v>-1</v>
      </c>
      <c r="J303" s="56">
        <f>(0.5*VEHICLE!$C$71*VEHICLE!$C$28*VEHICLE!$C$27*'Drive Cycle'!E303^2)</f>
        <v>62.920007745209993</v>
      </c>
      <c r="K303" s="56">
        <f>IF(A303=1,VEHICLE!$S$5,IF(A303=2,VEHICLE!$Q$5,IF(A303=3,VEHICLE!$R$5,IF(A303=4,VEHICLE!$P$5,1))))</f>
        <v>72.351594900000009</v>
      </c>
      <c r="L303" s="56">
        <f t="shared" si="77"/>
        <v>6.5</v>
      </c>
      <c r="M303" s="56">
        <f t="shared" si="71"/>
        <v>0</v>
      </c>
      <c r="N303" s="56">
        <f t="shared" si="64"/>
        <v>0</v>
      </c>
      <c r="O303" s="56">
        <f t="shared" si="65"/>
        <v>0</v>
      </c>
      <c r="P303" s="56">
        <f t="shared" si="66"/>
        <v>135.27160264521001</v>
      </c>
      <c r="Q303" s="56">
        <f>IF(H303=1,I303*VEHICLE!$C$69,IF(H303=2,VEHICLE!$C$70*I303,IF(H303=3,VEHICLE!$C$71*I303,0)))</f>
        <v>-585.14848653011734</v>
      </c>
      <c r="R303" s="56">
        <f>(J303+K303+O303+Q303)</f>
        <v>-449.87688388490733</v>
      </c>
      <c r="S303" s="56">
        <f t="shared" si="67"/>
        <v>449.87688388490733</v>
      </c>
      <c r="T303" s="56">
        <f>ABS((R303)/((2*PI()*G303)/60))</f>
        <v>0.95466839804082171</v>
      </c>
      <c r="U303" s="56">
        <f t="shared" si="68"/>
        <v>1</v>
      </c>
      <c r="V303" s="56">
        <f>INDEX(BSFC!$D$4:$AD$26,MATCH(U303,BSFC!$B$4:$B$26,0),MATCH(G303,BSFC!$D$2:$AD$2,0))</f>
        <v>996.72332351999967</v>
      </c>
      <c r="W303" s="56">
        <f t="shared" si="72"/>
        <v>-0.12455632857794051</v>
      </c>
      <c r="X303" s="56">
        <f t="shared" si="69"/>
        <v>0.12455632857794051</v>
      </c>
      <c r="Y303" s="56">
        <f t="shared" si="70"/>
        <v>-0.38487905530583616</v>
      </c>
      <c r="Z303" s="79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x14ac:dyDescent="0.3">
      <c r="A304" s="55">
        <v>1</v>
      </c>
      <c r="B304" s="56" t="s">
        <v>104</v>
      </c>
      <c r="C304" s="56">
        <f t="shared" si="78"/>
        <v>301</v>
      </c>
      <c r="D304" s="56">
        <f t="shared" si="63"/>
        <v>16.576170000000001</v>
      </c>
      <c r="E304" s="94">
        <f>E303-1</f>
        <v>7.41</v>
      </c>
      <c r="F304" s="94">
        <f>($C$4/E304)+F303</f>
        <v>33.642863942357344</v>
      </c>
      <c r="G304" s="56">
        <f t="shared" si="80"/>
        <v>4000</v>
      </c>
      <c r="H304" s="56">
        <v>2</v>
      </c>
      <c r="I304" s="94">
        <f>E304-E303</f>
        <v>-1</v>
      </c>
      <c r="J304" s="56">
        <f>(0.5*VEHICLE!$C$71*VEHICLE!$C$28*VEHICLE!$C$27*'Drive Cycle'!E304^2)</f>
        <v>48.846470883209996</v>
      </c>
      <c r="K304" s="56">
        <f>IF(A304=1,VEHICLE!$S$5,IF(A304=2,VEHICLE!$Q$5,IF(A304=3,VEHICLE!$R$5,IF(A304=4,VEHICLE!$P$5,1))))</f>
        <v>72.351594900000009</v>
      </c>
      <c r="L304" s="56">
        <f t="shared" si="77"/>
        <v>6.5</v>
      </c>
      <c r="M304" s="56">
        <f t="shared" si="71"/>
        <v>0</v>
      </c>
      <c r="N304" s="56">
        <f t="shared" si="64"/>
        <v>0</v>
      </c>
      <c r="O304" s="56">
        <f t="shared" si="65"/>
        <v>0</v>
      </c>
      <c r="P304" s="56">
        <f t="shared" si="66"/>
        <v>121.19806578321001</v>
      </c>
      <c r="Q304" s="56">
        <f>IF(H304=1,I304*VEHICLE!$C$69,IF(H304=2,VEHICLE!$C$70*I304,IF(H304=3,VEHICLE!$C$71*I304,0)))</f>
        <v>-585.14848653011734</v>
      </c>
      <c r="R304" s="56">
        <f>(J304+K304+O304+Q304)</f>
        <v>-463.9504207469073</v>
      </c>
      <c r="S304" s="56">
        <f t="shared" si="67"/>
        <v>463.9504207469073</v>
      </c>
      <c r="T304" s="56">
        <f>ABS((R304)/((2*PI()*G304)/60))</f>
        <v>1.107600042171524</v>
      </c>
      <c r="U304" s="56">
        <f t="shared" si="68"/>
        <v>2</v>
      </c>
      <c r="V304" s="56">
        <f>INDEX(BSFC!$D$4:$AD$26,MATCH(U304,BSFC!$B$4:$B$26,0),MATCH(G304,BSFC!$D$2:$AD$2,0))</f>
        <v>918.89477663999969</v>
      </c>
      <c r="W304" s="56">
        <f t="shared" si="72"/>
        <v>-0.11842267173451758</v>
      </c>
      <c r="X304" s="56">
        <f t="shared" si="69"/>
        <v>0.11842267173451758</v>
      </c>
      <c r="Y304" s="56">
        <f t="shared" si="70"/>
        <v>-0.3659260556596593</v>
      </c>
      <c r="Z304" s="79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x14ac:dyDescent="0.3">
      <c r="A305" s="55">
        <v>1</v>
      </c>
      <c r="B305" s="56" t="s">
        <v>104</v>
      </c>
      <c r="C305" s="56">
        <f t="shared" si="78"/>
        <v>302</v>
      </c>
      <c r="D305" s="56">
        <f t="shared" si="63"/>
        <v>14.339170000000001</v>
      </c>
      <c r="E305" s="94">
        <f t="shared" ref="E305:E307" si="81">E304-1</f>
        <v>6.41</v>
      </c>
      <c r="F305" s="94">
        <f>($C$4/E305)+F304</f>
        <v>33.798870182606954</v>
      </c>
      <c r="G305" s="56">
        <f t="shared" si="80"/>
        <v>3500</v>
      </c>
      <c r="H305" s="56">
        <v>2</v>
      </c>
      <c r="I305" s="94">
        <f>E305-E304</f>
        <v>-1</v>
      </c>
      <c r="J305" s="56">
        <f>(0.5*VEHICLE!$C$71*VEHICLE!$C$28*VEHICLE!$C$27*'Drive Cycle'!E305^2)</f>
        <v>36.552142221209998</v>
      </c>
      <c r="K305" s="56">
        <f>IF(A305=1,VEHICLE!$S$5,IF(A305=2,VEHICLE!$Q$5,IF(A305=3,VEHICLE!$R$5,IF(A305=4,VEHICLE!$P$5,1))))</f>
        <v>72.351594900000009</v>
      </c>
      <c r="L305" s="56">
        <f t="shared" si="77"/>
        <v>6.5</v>
      </c>
      <c r="M305" s="56">
        <f t="shared" si="71"/>
        <v>0</v>
      </c>
      <c r="N305" s="56">
        <f t="shared" si="64"/>
        <v>0</v>
      </c>
      <c r="O305" s="56">
        <f t="shared" si="65"/>
        <v>0</v>
      </c>
      <c r="P305" s="56">
        <f t="shared" si="66"/>
        <v>108.90373712121001</v>
      </c>
      <c r="Q305" s="56">
        <f>IF(H305=1,I305*VEHICLE!$C$69,IF(H305=2,VEHICLE!$C$70*I305,IF(H305=3,VEHICLE!$C$71*I305,0)))</f>
        <v>-585.14848653011734</v>
      </c>
      <c r="R305" s="56">
        <f>(J305+K305+O305+Q305)</f>
        <v>-476.2447494089073</v>
      </c>
      <c r="S305" s="56">
        <f t="shared" si="67"/>
        <v>476.2447494089073</v>
      </c>
      <c r="T305" s="56">
        <f>ABS((R305)/((2*PI()*G305)/60))</f>
        <v>1.2993721026855189</v>
      </c>
      <c r="U305" s="56">
        <f t="shared" si="68"/>
        <v>2</v>
      </c>
      <c r="V305" s="56">
        <f>INDEX(BSFC!$D$4:$AD$26,MATCH(U305,BSFC!$B$4:$B$26,0),MATCH(G305,BSFC!$D$2:$AD$2,0))</f>
        <v>905.74442879999992</v>
      </c>
      <c r="W305" s="56">
        <f t="shared" si="72"/>
        <v>-0.11982111903399162</v>
      </c>
      <c r="X305" s="56">
        <f t="shared" si="69"/>
        <v>0.11982111903399162</v>
      </c>
      <c r="Y305" s="56">
        <f t="shared" si="70"/>
        <v>-0.37024725781503409</v>
      </c>
      <c r="Z305" s="79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x14ac:dyDescent="0.3">
      <c r="A306" s="55">
        <v>1</v>
      </c>
      <c r="B306" s="56" t="s">
        <v>104</v>
      </c>
      <c r="C306" s="56">
        <f t="shared" si="78"/>
        <v>303</v>
      </c>
      <c r="D306" s="56">
        <f t="shared" si="63"/>
        <v>12.102170000000001</v>
      </c>
      <c r="E306" s="94">
        <f t="shared" si="81"/>
        <v>5.41</v>
      </c>
      <c r="F306" s="94">
        <f>($C$4/E306)+F305</f>
        <v>33.983713066155936</v>
      </c>
      <c r="G306" s="56">
        <f t="shared" si="80"/>
        <v>3000</v>
      </c>
      <c r="H306" s="56">
        <v>1</v>
      </c>
      <c r="I306" s="94">
        <f>E306-E305</f>
        <v>-1</v>
      </c>
      <c r="J306" s="56">
        <f>(0.5*VEHICLE!$C$71*VEHICLE!$C$28*VEHICLE!$C$27*'Drive Cycle'!E306^2)</f>
        <v>26.037021759209999</v>
      </c>
      <c r="K306" s="56">
        <f>IF(A306=1,VEHICLE!$S$5,IF(A306=2,VEHICLE!$Q$5,IF(A306=3,VEHICLE!$R$5,IF(A306=4,VEHICLE!$P$5,1))))</f>
        <v>72.351594900000009</v>
      </c>
      <c r="L306" s="56">
        <f t="shared" si="77"/>
        <v>6.5</v>
      </c>
      <c r="M306" s="56">
        <f t="shared" si="71"/>
        <v>0</v>
      </c>
      <c r="N306" s="56">
        <f t="shared" si="64"/>
        <v>0</v>
      </c>
      <c r="O306" s="56">
        <f t="shared" si="65"/>
        <v>0</v>
      </c>
      <c r="P306" s="56">
        <f t="shared" si="66"/>
        <v>98.388616659210015</v>
      </c>
      <c r="Q306" s="56">
        <f>IF(H306=1,I306*VEHICLE!$C$69,IF(H306=2,VEHICLE!$C$70*I306,IF(H306=3,VEHICLE!$C$71*I306,0)))</f>
        <v>-587.32023542819468</v>
      </c>
      <c r="R306" s="56">
        <f>(J306+K306+O306+Q306)</f>
        <v>-488.93161876898466</v>
      </c>
      <c r="S306" s="56">
        <f t="shared" si="67"/>
        <v>488.93161876898466</v>
      </c>
      <c r="T306" s="56">
        <f>ABS((R306)/((2*PI()*G306)/60))</f>
        <v>1.5563176792201203</v>
      </c>
      <c r="U306" s="56">
        <f t="shared" si="68"/>
        <v>2</v>
      </c>
      <c r="V306" s="56">
        <f>INDEX(BSFC!$D$4:$AD$26,MATCH(U306,BSFC!$B$4:$B$26,0),MATCH(G306,BSFC!$D$2:$AD$2,0))</f>
        <v>929.28963552000016</v>
      </c>
      <c r="W306" s="56">
        <f t="shared" si="72"/>
        <v>-0.12621085716667596</v>
      </c>
      <c r="X306" s="56">
        <f t="shared" si="69"/>
        <v>0.12621085716667596</v>
      </c>
      <c r="Y306" s="56">
        <f t="shared" si="70"/>
        <v>-0.38999154864502872</v>
      </c>
      <c r="Z306" s="79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x14ac:dyDescent="0.3">
      <c r="A307" s="55">
        <v>1</v>
      </c>
      <c r="B307" s="57" t="s">
        <v>119</v>
      </c>
      <c r="C307" s="57">
        <f t="shared" si="78"/>
        <v>304</v>
      </c>
      <c r="D307" s="57">
        <f t="shared" si="63"/>
        <v>9.8651700000000009</v>
      </c>
      <c r="E307" s="86">
        <f t="shared" si="81"/>
        <v>4.41</v>
      </c>
      <c r="F307" s="86">
        <f>($C$4/E307)+F306</f>
        <v>34.210470435770446</v>
      </c>
      <c r="G307" s="57">
        <f>G306</f>
        <v>3000</v>
      </c>
      <c r="H307" s="57">
        <v>1</v>
      </c>
      <c r="I307" s="86">
        <f>E307-E306</f>
        <v>-1</v>
      </c>
      <c r="J307" s="57">
        <f>(0.5*VEHICLE!$C$71*VEHICLE!$C$28*VEHICLE!$C$27*'Drive Cycle'!E307^2)</f>
        <v>17.30110949721</v>
      </c>
      <c r="K307" s="57">
        <f>IF(A307=1,VEHICLE!$S$5,IF(A307=2,VEHICLE!$Q$5,IF(A307=3,VEHICLE!$R$5,IF(A307=4,VEHICLE!$P$5,1))))</f>
        <v>72.351594900000009</v>
      </c>
      <c r="L307" s="57">
        <f t="shared" si="77"/>
        <v>6.5</v>
      </c>
      <c r="M307" s="57">
        <f t="shared" si="71"/>
        <v>0</v>
      </c>
      <c r="N307" s="57">
        <f t="shared" si="64"/>
        <v>0</v>
      </c>
      <c r="O307" s="57">
        <f t="shared" si="65"/>
        <v>0</v>
      </c>
      <c r="P307" s="57">
        <f t="shared" si="66"/>
        <v>89.652704397210016</v>
      </c>
      <c r="Q307" s="57">
        <f>IF(H307=1,I307*VEHICLE!$C$69,IF(H307=2,VEHICLE!$C$70*I307,IF(H307=3,VEHICLE!$C$71*I307,0)))</f>
        <v>-587.32023542819468</v>
      </c>
      <c r="R307" s="57">
        <f>(J307+K307+O307+Q307)</f>
        <v>-497.66753103098466</v>
      </c>
      <c r="S307" s="57">
        <f t="shared" si="67"/>
        <v>497.66753103098466</v>
      </c>
      <c r="T307" s="57">
        <f>ABS((R307)/((2*PI()*G307)/60))</f>
        <v>1.5841249515984084</v>
      </c>
      <c r="U307" s="57">
        <f t="shared" si="68"/>
        <v>2</v>
      </c>
      <c r="V307" s="57">
        <f>INDEX(BSFC!$D$4:$AD$26,MATCH(U307,BSFC!$B$4:$B$26,0),MATCH(G307,BSFC!$D$2:$AD$2,0))</f>
        <v>929.28963552000016</v>
      </c>
      <c r="W307" s="57">
        <f t="shared" si="72"/>
        <v>-0.12846591070053393</v>
      </c>
      <c r="X307" s="57">
        <f t="shared" si="69"/>
        <v>0.12846591070053393</v>
      </c>
      <c r="Y307" s="57">
        <f t="shared" si="70"/>
        <v>-0.39695966406464983</v>
      </c>
      <c r="Z307" s="79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x14ac:dyDescent="0.3">
      <c r="A308" s="55">
        <v>1</v>
      </c>
      <c r="B308" s="57" t="s">
        <v>119</v>
      </c>
      <c r="C308" s="57">
        <f t="shared" si="78"/>
        <v>305</v>
      </c>
      <c r="D308" s="57">
        <f t="shared" si="63"/>
        <v>9.8651700000000009</v>
      </c>
      <c r="E308" s="86">
        <f>E307</f>
        <v>4.41</v>
      </c>
      <c r="F308" s="86">
        <f>($C$4/E308)+F307</f>
        <v>34.437227805384957</v>
      </c>
      <c r="G308" s="57">
        <f t="shared" ref="G308:G315" si="82">G307</f>
        <v>3000</v>
      </c>
      <c r="H308" s="57">
        <v>1</v>
      </c>
      <c r="I308" s="86">
        <f>E308-E307</f>
        <v>0</v>
      </c>
      <c r="J308" s="57">
        <f>(0.5*VEHICLE!$C$71*VEHICLE!$C$28*VEHICLE!$C$27*'Drive Cycle'!E308^2)</f>
        <v>17.30110949721</v>
      </c>
      <c r="K308" s="57">
        <f>IF(A308=1,VEHICLE!$S$5,IF(A308=2,VEHICLE!$Q$5,IF(A308=3,VEHICLE!$R$5,IF(A308=4,VEHICLE!$P$5,1))))</f>
        <v>72.351594900000009</v>
      </c>
      <c r="L308" s="57">
        <f t="shared" si="77"/>
        <v>6.5</v>
      </c>
      <c r="M308" s="57">
        <f t="shared" si="71"/>
        <v>0</v>
      </c>
      <c r="N308" s="57">
        <f t="shared" si="64"/>
        <v>0</v>
      </c>
      <c r="O308" s="57">
        <f t="shared" si="65"/>
        <v>0</v>
      </c>
      <c r="P308" s="57">
        <f t="shared" si="66"/>
        <v>89.652704397210016</v>
      </c>
      <c r="Q308" s="57">
        <f>IF(H308=1,I308*VEHICLE!$C$69,IF(H308=2,VEHICLE!$C$70*I308,IF(H308=3,VEHICLE!$C$71*I308,0)))</f>
        <v>0</v>
      </c>
      <c r="R308" s="57">
        <f>(J308+K308+O308+Q308)</f>
        <v>89.652704397210016</v>
      </c>
      <c r="S308" s="57">
        <f t="shared" si="67"/>
        <v>89.652704397210016</v>
      </c>
      <c r="T308" s="57">
        <f>ABS((R308)/((2*PI()*G308)/60))</f>
        <v>0.28537342132744947</v>
      </c>
      <c r="U308" s="57">
        <f t="shared" si="68"/>
        <v>1</v>
      </c>
      <c r="V308" s="57">
        <f>INDEX(BSFC!$D$4:$AD$26,MATCH(U308,BSFC!$B$4:$B$26,0),MATCH(G308,BSFC!$D$2:$AD$2,0))</f>
        <v>1049.8371440000003</v>
      </c>
      <c r="W308" s="57">
        <f t="shared" si="72"/>
        <v>2.6144649760067567E-2</v>
      </c>
      <c r="X308" s="57">
        <f t="shared" si="69"/>
        <v>2.6144649760067567E-2</v>
      </c>
      <c r="Y308" s="57">
        <f t="shared" si="70"/>
        <v>8.0786967758608774E-2</v>
      </c>
      <c r="Z308" s="79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x14ac:dyDescent="0.3">
      <c r="A309" s="55">
        <v>1</v>
      </c>
      <c r="B309" s="57" t="s">
        <v>119</v>
      </c>
      <c r="C309" s="57">
        <f t="shared" si="78"/>
        <v>306</v>
      </c>
      <c r="D309" s="57">
        <f t="shared" si="63"/>
        <v>9.8651700000000009</v>
      </c>
      <c r="E309" s="86">
        <f t="shared" ref="E309:E315" si="83">E308</f>
        <v>4.41</v>
      </c>
      <c r="F309" s="86">
        <f>($C$4/E309)+F308</f>
        <v>34.663985174999468</v>
      </c>
      <c r="G309" s="57">
        <f t="shared" si="82"/>
        <v>3000</v>
      </c>
      <c r="H309" s="57">
        <v>1</v>
      </c>
      <c r="I309" s="86">
        <f>E309-E308</f>
        <v>0</v>
      </c>
      <c r="J309" s="57">
        <f>(0.5*VEHICLE!$C$71*VEHICLE!$C$28*VEHICLE!$C$27*'Drive Cycle'!E309^2)</f>
        <v>17.30110949721</v>
      </c>
      <c r="K309" s="57">
        <f>IF(A309=1,VEHICLE!$S$5,IF(A309=2,VEHICLE!$Q$5,IF(A309=3,VEHICLE!$R$5,IF(A309=4,VEHICLE!$P$5,1))))</f>
        <v>72.351594900000009</v>
      </c>
      <c r="L309" s="57">
        <f t="shared" si="77"/>
        <v>6.5</v>
      </c>
      <c r="M309" s="57">
        <f t="shared" si="71"/>
        <v>0</v>
      </c>
      <c r="N309" s="57">
        <f t="shared" si="64"/>
        <v>0</v>
      </c>
      <c r="O309" s="57">
        <f t="shared" si="65"/>
        <v>0</v>
      </c>
      <c r="P309" s="57">
        <f t="shared" si="66"/>
        <v>89.652704397210016</v>
      </c>
      <c r="Q309" s="57">
        <f>IF(H309=1,I309*VEHICLE!$C$69,IF(H309=2,VEHICLE!$C$70*I309,IF(H309=3,VEHICLE!$C$71*I309,0)))</f>
        <v>0</v>
      </c>
      <c r="R309" s="57">
        <f>(J309+K309+O309+Q309)</f>
        <v>89.652704397210016</v>
      </c>
      <c r="S309" s="57">
        <f t="shared" si="67"/>
        <v>89.652704397210016</v>
      </c>
      <c r="T309" s="57">
        <f>ABS((R309)/((2*PI()*G309)/60))</f>
        <v>0.28537342132744947</v>
      </c>
      <c r="U309" s="57">
        <f t="shared" si="68"/>
        <v>1</v>
      </c>
      <c r="V309" s="57">
        <f>INDEX(BSFC!$D$4:$AD$26,MATCH(U309,BSFC!$B$4:$B$26,0),MATCH(G309,BSFC!$D$2:$AD$2,0))</f>
        <v>1049.8371440000003</v>
      </c>
      <c r="W309" s="57">
        <f t="shared" si="72"/>
        <v>2.6144649760067567E-2</v>
      </c>
      <c r="X309" s="57">
        <f t="shared" si="69"/>
        <v>2.6144649760067567E-2</v>
      </c>
      <c r="Y309" s="57">
        <f t="shared" si="70"/>
        <v>8.0786967758608774E-2</v>
      </c>
      <c r="Z309" s="79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x14ac:dyDescent="0.3">
      <c r="A310" s="55">
        <v>1</v>
      </c>
      <c r="B310" s="57" t="s">
        <v>119</v>
      </c>
      <c r="C310" s="57">
        <f t="shared" si="78"/>
        <v>307</v>
      </c>
      <c r="D310" s="57">
        <f t="shared" si="63"/>
        <v>9.8651700000000009</v>
      </c>
      <c r="E310" s="86">
        <f t="shared" si="83"/>
        <v>4.41</v>
      </c>
      <c r="F310" s="86">
        <f>($C$4/E310)+F309</f>
        <v>34.890742544613978</v>
      </c>
      <c r="G310" s="57">
        <f t="shared" si="82"/>
        <v>3000</v>
      </c>
      <c r="H310" s="57">
        <v>1</v>
      </c>
      <c r="I310" s="86">
        <f>E310-E309</f>
        <v>0</v>
      </c>
      <c r="J310" s="57">
        <f>(0.5*VEHICLE!$C$71*VEHICLE!$C$28*VEHICLE!$C$27*'Drive Cycle'!E310^2)</f>
        <v>17.30110949721</v>
      </c>
      <c r="K310" s="57">
        <f>IF(A310=1,VEHICLE!$S$5,IF(A310=2,VEHICLE!$Q$5,IF(A310=3,VEHICLE!$R$5,IF(A310=4,VEHICLE!$P$5,1))))</f>
        <v>72.351594900000009</v>
      </c>
      <c r="L310" s="57">
        <f t="shared" si="77"/>
        <v>6.5</v>
      </c>
      <c r="M310" s="57">
        <f t="shared" si="71"/>
        <v>0</v>
      </c>
      <c r="N310" s="57">
        <f t="shared" si="64"/>
        <v>0</v>
      </c>
      <c r="O310" s="57">
        <f t="shared" si="65"/>
        <v>0</v>
      </c>
      <c r="P310" s="57">
        <f t="shared" si="66"/>
        <v>89.652704397210016</v>
      </c>
      <c r="Q310" s="57">
        <f>IF(H310=1,I310*VEHICLE!$C$69,IF(H310=2,VEHICLE!$C$70*I310,IF(H310=3,VEHICLE!$C$71*I310,0)))</f>
        <v>0</v>
      </c>
      <c r="R310" s="57">
        <f>(J310+K310+O310+Q310)</f>
        <v>89.652704397210016</v>
      </c>
      <c r="S310" s="57">
        <f t="shared" si="67"/>
        <v>89.652704397210016</v>
      </c>
      <c r="T310" s="57">
        <f>ABS((R310)/((2*PI()*G310)/60))</f>
        <v>0.28537342132744947</v>
      </c>
      <c r="U310" s="57">
        <f t="shared" si="68"/>
        <v>1</v>
      </c>
      <c r="V310" s="57">
        <f>INDEX(BSFC!$D$4:$AD$26,MATCH(U310,BSFC!$B$4:$B$26,0),MATCH(G310,BSFC!$D$2:$AD$2,0))</f>
        <v>1049.8371440000003</v>
      </c>
      <c r="W310" s="57">
        <f t="shared" si="72"/>
        <v>2.6144649760067567E-2</v>
      </c>
      <c r="X310" s="57">
        <f t="shared" si="69"/>
        <v>2.6144649760067567E-2</v>
      </c>
      <c r="Y310" s="57">
        <f t="shared" si="70"/>
        <v>8.0786967758608774E-2</v>
      </c>
      <c r="Z310" s="79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x14ac:dyDescent="0.3">
      <c r="A311" s="55">
        <v>1</v>
      </c>
      <c r="B311" s="57" t="s">
        <v>119</v>
      </c>
      <c r="C311" s="57">
        <f t="shared" si="78"/>
        <v>308</v>
      </c>
      <c r="D311" s="57">
        <f t="shared" si="63"/>
        <v>9.8651700000000009</v>
      </c>
      <c r="E311" s="86">
        <f t="shared" si="83"/>
        <v>4.41</v>
      </c>
      <c r="F311" s="86">
        <f>($C$4/E311)+F310</f>
        <v>35.117499914228489</v>
      </c>
      <c r="G311" s="57">
        <f t="shared" si="82"/>
        <v>3000</v>
      </c>
      <c r="H311" s="57">
        <v>1</v>
      </c>
      <c r="I311" s="86">
        <f>E311-E310</f>
        <v>0</v>
      </c>
      <c r="J311" s="57">
        <f>(0.5*VEHICLE!$C$71*VEHICLE!$C$28*VEHICLE!$C$27*'Drive Cycle'!E311^2)</f>
        <v>17.30110949721</v>
      </c>
      <c r="K311" s="57">
        <f>IF(A311=1,VEHICLE!$S$5,IF(A311=2,VEHICLE!$Q$5,IF(A311=3,VEHICLE!$R$5,IF(A311=4,VEHICLE!$P$5,1))))</f>
        <v>72.351594900000009</v>
      </c>
      <c r="L311" s="57">
        <f t="shared" si="77"/>
        <v>6.5</v>
      </c>
      <c r="M311" s="57">
        <f t="shared" si="71"/>
        <v>0</v>
      </c>
      <c r="N311" s="57">
        <f t="shared" si="64"/>
        <v>0</v>
      </c>
      <c r="O311" s="57">
        <f t="shared" si="65"/>
        <v>0</v>
      </c>
      <c r="P311" s="57">
        <f t="shared" si="66"/>
        <v>89.652704397210016</v>
      </c>
      <c r="Q311" s="57">
        <f>IF(H311=1,I311*VEHICLE!$C$69,IF(H311=2,VEHICLE!$C$70*I311,IF(H311=3,VEHICLE!$C$71*I311,0)))</f>
        <v>0</v>
      </c>
      <c r="R311" s="57">
        <f>(J311+K311+O311+Q311)</f>
        <v>89.652704397210016</v>
      </c>
      <c r="S311" s="57">
        <f t="shared" si="67"/>
        <v>89.652704397210016</v>
      </c>
      <c r="T311" s="57">
        <f>ABS((R311)/((2*PI()*G311)/60))</f>
        <v>0.28537342132744947</v>
      </c>
      <c r="U311" s="57">
        <f t="shared" si="68"/>
        <v>1</v>
      </c>
      <c r="V311" s="57">
        <f>INDEX(BSFC!$D$4:$AD$26,MATCH(U311,BSFC!$B$4:$B$26,0),MATCH(G311,BSFC!$D$2:$AD$2,0))</f>
        <v>1049.8371440000003</v>
      </c>
      <c r="W311" s="57">
        <f t="shared" si="72"/>
        <v>2.6144649760067567E-2</v>
      </c>
      <c r="X311" s="57">
        <f t="shared" si="69"/>
        <v>2.6144649760067567E-2</v>
      </c>
      <c r="Y311" s="57">
        <f t="shared" si="70"/>
        <v>8.0786967758608774E-2</v>
      </c>
      <c r="Z311" s="79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x14ac:dyDescent="0.3">
      <c r="A312" s="55">
        <v>1</v>
      </c>
      <c r="B312" s="57" t="s">
        <v>119</v>
      </c>
      <c r="C312" s="57">
        <f t="shared" si="78"/>
        <v>309</v>
      </c>
      <c r="D312" s="57">
        <f t="shared" si="63"/>
        <v>9.8651700000000009</v>
      </c>
      <c r="E312" s="86">
        <f t="shared" si="83"/>
        <v>4.41</v>
      </c>
      <c r="F312" s="86">
        <f>($C$4/E312)+F311</f>
        <v>35.344257283843</v>
      </c>
      <c r="G312" s="57">
        <f t="shared" si="82"/>
        <v>3000</v>
      </c>
      <c r="H312" s="57">
        <v>1</v>
      </c>
      <c r="I312" s="86">
        <f>E312-E311</f>
        <v>0</v>
      </c>
      <c r="J312" s="57">
        <f>(0.5*VEHICLE!$C$71*VEHICLE!$C$28*VEHICLE!$C$27*'Drive Cycle'!E312^2)</f>
        <v>17.30110949721</v>
      </c>
      <c r="K312" s="57">
        <f>IF(A312=1,VEHICLE!$S$5,IF(A312=2,VEHICLE!$Q$5,IF(A312=3,VEHICLE!$R$5,IF(A312=4,VEHICLE!$P$5,1))))</f>
        <v>72.351594900000009</v>
      </c>
      <c r="L312" s="57">
        <f t="shared" si="77"/>
        <v>6.5</v>
      </c>
      <c r="M312" s="57">
        <f t="shared" si="71"/>
        <v>0</v>
      </c>
      <c r="N312" s="57">
        <f t="shared" si="64"/>
        <v>0</v>
      </c>
      <c r="O312" s="57">
        <f t="shared" si="65"/>
        <v>0</v>
      </c>
      <c r="P312" s="57">
        <f t="shared" si="66"/>
        <v>89.652704397210016</v>
      </c>
      <c r="Q312" s="57">
        <f>IF(H312=1,I312*VEHICLE!$C$69,IF(H312=2,VEHICLE!$C$70*I312,IF(H312=3,VEHICLE!$C$71*I312,0)))</f>
        <v>0</v>
      </c>
      <c r="R312" s="57">
        <f>(J312+K312+O312+Q312)</f>
        <v>89.652704397210016</v>
      </c>
      <c r="S312" s="57">
        <f t="shared" si="67"/>
        <v>89.652704397210016</v>
      </c>
      <c r="T312" s="57">
        <f>ABS((R312)/((2*PI()*G312)/60))</f>
        <v>0.28537342132744947</v>
      </c>
      <c r="U312" s="57">
        <f t="shared" si="68"/>
        <v>1</v>
      </c>
      <c r="V312" s="57">
        <f>INDEX(BSFC!$D$4:$AD$26,MATCH(U312,BSFC!$B$4:$B$26,0),MATCH(G312,BSFC!$D$2:$AD$2,0))</f>
        <v>1049.8371440000003</v>
      </c>
      <c r="W312" s="57">
        <f t="shared" si="72"/>
        <v>2.6144649760067567E-2</v>
      </c>
      <c r="X312" s="57">
        <f t="shared" si="69"/>
        <v>2.6144649760067567E-2</v>
      </c>
      <c r="Y312" s="57">
        <f t="shared" si="70"/>
        <v>8.0786967758608774E-2</v>
      </c>
      <c r="Z312" s="79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x14ac:dyDescent="0.3">
      <c r="A313" s="55">
        <v>1</v>
      </c>
      <c r="B313" s="57" t="s">
        <v>119</v>
      </c>
      <c r="C313" s="57">
        <f t="shared" si="78"/>
        <v>310</v>
      </c>
      <c r="D313" s="57">
        <f t="shared" si="63"/>
        <v>9.8651700000000009</v>
      </c>
      <c r="E313" s="86">
        <f t="shared" si="83"/>
        <v>4.41</v>
      </c>
      <c r="F313" s="86">
        <f>($C$4/E313)+F312</f>
        <v>35.57101465345751</v>
      </c>
      <c r="G313" s="57">
        <f t="shared" si="82"/>
        <v>3000</v>
      </c>
      <c r="H313" s="57">
        <v>1</v>
      </c>
      <c r="I313" s="86">
        <f>E313-E312</f>
        <v>0</v>
      </c>
      <c r="J313" s="57">
        <f>(0.5*VEHICLE!$C$71*VEHICLE!$C$28*VEHICLE!$C$27*'Drive Cycle'!E313^2)</f>
        <v>17.30110949721</v>
      </c>
      <c r="K313" s="57">
        <f>IF(A313=1,VEHICLE!$S$5,IF(A313=2,VEHICLE!$Q$5,IF(A313=3,VEHICLE!$R$5,IF(A313=4,VEHICLE!$P$5,1))))</f>
        <v>72.351594900000009</v>
      </c>
      <c r="L313" s="57">
        <f t="shared" si="77"/>
        <v>6.5</v>
      </c>
      <c r="M313" s="57">
        <f t="shared" si="71"/>
        <v>0</v>
      </c>
      <c r="N313" s="57">
        <f t="shared" si="64"/>
        <v>0</v>
      </c>
      <c r="O313" s="57">
        <f t="shared" si="65"/>
        <v>0</v>
      </c>
      <c r="P313" s="57">
        <f t="shared" si="66"/>
        <v>89.652704397210016</v>
      </c>
      <c r="Q313" s="57">
        <f>IF(H313=1,I313*VEHICLE!$C$69,IF(H313=2,VEHICLE!$C$70*I313,IF(H313=3,VEHICLE!$C$71*I313,0)))</f>
        <v>0</v>
      </c>
      <c r="R313" s="57">
        <f>(J313+K313+O313+Q313)</f>
        <v>89.652704397210016</v>
      </c>
      <c r="S313" s="57">
        <f t="shared" si="67"/>
        <v>89.652704397210016</v>
      </c>
      <c r="T313" s="57">
        <f>ABS((R313)/((2*PI()*G313)/60))</f>
        <v>0.28537342132744947</v>
      </c>
      <c r="U313" s="57">
        <f t="shared" si="68"/>
        <v>1</v>
      </c>
      <c r="V313" s="57">
        <f>INDEX(BSFC!$D$4:$AD$26,MATCH(U313,BSFC!$B$4:$B$26,0),MATCH(G313,BSFC!$D$2:$AD$2,0))</f>
        <v>1049.8371440000003</v>
      </c>
      <c r="W313" s="57">
        <f t="shared" si="72"/>
        <v>2.6144649760067567E-2</v>
      </c>
      <c r="X313" s="57">
        <f t="shared" si="69"/>
        <v>2.6144649760067567E-2</v>
      </c>
      <c r="Y313" s="57">
        <f t="shared" si="70"/>
        <v>8.0786967758608774E-2</v>
      </c>
      <c r="Z313" s="79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x14ac:dyDescent="0.3">
      <c r="A314" s="55">
        <v>1</v>
      </c>
      <c r="B314" s="57" t="s">
        <v>119</v>
      </c>
      <c r="C314" s="57">
        <f t="shared" si="78"/>
        <v>311</v>
      </c>
      <c r="D314" s="57">
        <f t="shared" si="63"/>
        <v>9.8651700000000009</v>
      </c>
      <c r="E314" s="86">
        <f t="shared" si="83"/>
        <v>4.41</v>
      </c>
      <c r="F314" s="86">
        <f>($C$4/E314)+F313</f>
        <v>35.797772023072021</v>
      </c>
      <c r="G314" s="57">
        <f t="shared" si="82"/>
        <v>3000</v>
      </c>
      <c r="H314" s="57">
        <v>1</v>
      </c>
      <c r="I314" s="86">
        <f>E314-E313</f>
        <v>0</v>
      </c>
      <c r="J314" s="57">
        <f>(0.5*VEHICLE!$C$71*VEHICLE!$C$28*VEHICLE!$C$27*'Drive Cycle'!E314^2)</f>
        <v>17.30110949721</v>
      </c>
      <c r="K314" s="57">
        <f>IF(A314=1,VEHICLE!$S$5,IF(A314=2,VEHICLE!$Q$5,IF(A314=3,VEHICLE!$R$5,IF(A314=4,VEHICLE!$P$5,1))))</f>
        <v>72.351594900000009</v>
      </c>
      <c r="L314" s="57">
        <f t="shared" si="77"/>
        <v>6.5</v>
      </c>
      <c r="M314" s="57">
        <f t="shared" si="71"/>
        <v>0</v>
      </c>
      <c r="N314" s="57">
        <f t="shared" si="64"/>
        <v>0</v>
      </c>
      <c r="O314" s="57">
        <f t="shared" si="65"/>
        <v>0</v>
      </c>
      <c r="P314" s="57">
        <f t="shared" si="66"/>
        <v>89.652704397210016</v>
      </c>
      <c r="Q314" s="57">
        <f>IF(H314=1,I314*VEHICLE!$C$69,IF(H314=2,VEHICLE!$C$70*I314,IF(H314=3,VEHICLE!$C$71*I314,0)))</f>
        <v>0</v>
      </c>
      <c r="R314" s="57">
        <f>(J314+K314+O314+Q314)</f>
        <v>89.652704397210016</v>
      </c>
      <c r="S314" s="57">
        <f t="shared" si="67"/>
        <v>89.652704397210016</v>
      </c>
      <c r="T314" s="57">
        <f>ABS((R314)/((2*PI()*G314)/60))</f>
        <v>0.28537342132744947</v>
      </c>
      <c r="U314" s="57">
        <f t="shared" si="68"/>
        <v>1</v>
      </c>
      <c r="V314" s="57">
        <f>INDEX(BSFC!$D$4:$AD$26,MATCH(U314,BSFC!$B$4:$B$26,0),MATCH(G314,BSFC!$D$2:$AD$2,0))</f>
        <v>1049.8371440000003</v>
      </c>
      <c r="W314" s="57">
        <f t="shared" si="72"/>
        <v>2.6144649760067567E-2</v>
      </c>
      <c r="X314" s="57">
        <f t="shared" si="69"/>
        <v>2.6144649760067567E-2</v>
      </c>
      <c r="Y314" s="57">
        <f t="shared" si="70"/>
        <v>8.0786967758608774E-2</v>
      </c>
      <c r="Z314" s="79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x14ac:dyDescent="0.3">
      <c r="A315" s="55">
        <v>1</v>
      </c>
      <c r="B315" s="57" t="s">
        <v>119</v>
      </c>
      <c r="C315" s="57">
        <f t="shared" si="78"/>
        <v>312</v>
      </c>
      <c r="D315" s="57">
        <f t="shared" si="63"/>
        <v>9.8651700000000009</v>
      </c>
      <c r="E315" s="86">
        <f t="shared" si="83"/>
        <v>4.41</v>
      </c>
      <c r="F315" s="86">
        <f>($C$4/E315)+F314</f>
        <v>36.024529392686532</v>
      </c>
      <c r="G315" s="57">
        <f t="shared" si="82"/>
        <v>3000</v>
      </c>
      <c r="H315" s="57">
        <v>1</v>
      </c>
      <c r="I315" s="86">
        <f>E315-E314</f>
        <v>0</v>
      </c>
      <c r="J315" s="57">
        <f>(0.5*VEHICLE!$C$71*VEHICLE!$C$28*VEHICLE!$C$27*'Drive Cycle'!E315^2)</f>
        <v>17.30110949721</v>
      </c>
      <c r="K315" s="57">
        <f>IF(A315=1,VEHICLE!$S$5,IF(A315=2,VEHICLE!$Q$5,IF(A315=3,VEHICLE!$R$5,IF(A315=4,VEHICLE!$P$5,1))))</f>
        <v>72.351594900000009</v>
      </c>
      <c r="L315" s="57">
        <f t="shared" si="77"/>
        <v>6.5</v>
      </c>
      <c r="M315" s="57">
        <f t="shared" si="71"/>
        <v>0</v>
      </c>
      <c r="N315" s="57">
        <f t="shared" si="64"/>
        <v>0</v>
      </c>
      <c r="O315" s="57">
        <f t="shared" si="65"/>
        <v>0</v>
      </c>
      <c r="P315" s="57">
        <f t="shared" si="66"/>
        <v>89.652704397210016</v>
      </c>
      <c r="Q315" s="57">
        <f>IF(H315=1,I315*VEHICLE!$C$69,IF(H315=2,VEHICLE!$C$70*I315,IF(H315=3,VEHICLE!$C$71*I315,0)))</f>
        <v>0</v>
      </c>
      <c r="R315" s="57">
        <f>(J315+K315+O315+Q315)</f>
        <v>89.652704397210016</v>
      </c>
      <c r="S315" s="57">
        <f t="shared" si="67"/>
        <v>89.652704397210016</v>
      </c>
      <c r="T315" s="57">
        <f>ABS((R315)/((2*PI()*G315)/60))</f>
        <v>0.28537342132744947</v>
      </c>
      <c r="U315" s="57">
        <f t="shared" si="68"/>
        <v>1</v>
      </c>
      <c r="V315" s="57">
        <f>INDEX(BSFC!$D$4:$AD$26,MATCH(U315,BSFC!$B$4:$B$26,0),MATCH(G315,BSFC!$D$2:$AD$2,0))</f>
        <v>1049.8371440000003</v>
      </c>
      <c r="W315" s="57">
        <f t="shared" si="72"/>
        <v>2.6144649760067567E-2</v>
      </c>
      <c r="X315" s="57">
        <f t="shared" si="69"/>
        <v>2.6144649760067567E-2</v>
      </c>
      <c r="Y315" s="57">
        <f t="shared" si="70"/>
        <v>8.0786967758608774E-2</v>
      </c>
      <c r="Z315" s="79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x14ac:dyDescent="0.3">
      <c r="A316" s="55">
        <v>1</v>
      </c>
      <c r="B316" s="57" t="s">
        <v>119</v>
      </c>
      <c r="C316" s="57">
        <f t="shared" si="78"/>
        <v>313</v>
      </c>
      <c r="D316" s="57">
        <f t="shared" si="63"/>
        <v>10.98367</v>
      </c>
      <c r="E316" s="86">
        <f>E315+0.5</f>
        <v>4.91</v>
      </c>
      <c r="F316" s="86">
        <f>($C$4/E316)+F315</f>
        <v>36.228195380466573</v>
      </c>
      <c r="G316" s="57">
        <f>G315+500</f>
        <v>3500</v>
      </c>
      <c r="H316" s="57">
        <v>1</v>
      </c>
      <c r="I316" s="86">
        <f>E316-E315</f>
        <v>0.5</v>
      </c>
      <c r="J316" s="57">
        <f>(0.5*VEHICLE!$C$71*VEHICLE!$C$28*VEHICLE!$C$27*'Drive Cycle'!E316^2)</f>
        <v>21.446664603209999</v>
      </c>
      <c r="K316" s="57">
        <f>IF(A316=1,VEHICLE!$S$5,IF(A316=2,VEHICLE!$Q$5,IF(A316=3,VEHICLE!$R$5,IF(A316=4,VEHICLE!$P$5,1))))</f>
        <v>72.351594900000009</v>
      </c>
      <c r="L316" s="57">
        <f t="shared" si="77"/>
        <v>6.5</v>
      </c>
      <c r="M316" s="57">
        <f t="shared" si="71"/>
        <v>0</v>
      </c>
      <c r="N316" s="57">
        <f t="shared" si="64"/>
        <v>0</v>
      </c>
      <c r="O316" s="57">
        <f t="shared" si="65"/>
        <v>0</v>
      </c>
      <c r="P316" s="57">
        <f t="shared" si="66"/>
        <v>93.798259503210005</v>
      </c>
      <c r="Q316" s="57">
        <f>IF(H316=1,I316*VEHICLE!$C$69,IF(H316=2,VEHICLE!$C$70*I316,IF(H316=3,VEHICLE!$C$71*I316,0)))</f>
        <v>293.66011771409734</v>
      </c>
      <c r="R316" s="57">
        <f>(J316+K316+O316+Q316)</f>
        <v>387.45837721730732</v>
      </c>
      <c r="S316" s="57">
        <f t="shared" si="67"/>
        <v>387.45837721730732</v>
      </c>
      <c r="T316" s="57">
        <f>ABS((R316)/((2*PI()*G316)/60))</f>
        <v>1.0571299881685485</v>
      </c>
      <c r="U316" s="57">
        <f t="shared" si="68"/>
        <v>2</v>
      </c>
      <c r="V316" s="57">
        <f>INDEX(BSFC!$D$4:$AD$26,MATCH(U316,BSFC!$B$4:$B$26,0),MATCH(G316,BSFC!$D$2:$AD$2,0))</f>
        <v>905.74442879999992</v>
      </c>
      <c r="W316" s="57">
        <f t="shared" si="72"/>
        <v>9.7482851821240252E-2</v>
      </c>
      <c r="X316" s="57">
        <f t="shared" si="69"/>
        <v>9.7482851821240252E-2</v>
      </c>
      <c r="Y316" s="57">
        <f t="shared" si="70"/>
        <v>0.30122201212763239</v>
      </c>
      <c r="Z316" s="79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x14ac:dyDescent="0.3">
      <c r="A317" s="55">
        <v>1</v>
      </c>
      <c r="B317" s="57" t="s">
        <v>119</v>
      </c>
      <c r="C317" s="57">
        <f t="shared" si="78"/>
        <v>314</v>
      </c>
      <c r="D317" s="57">
        <f t="shared" si="63"/>
        <v>12.102170000000001</v>
      </c>
      <c r="E317" s="86">
        <f t="shared" ref="E317:E325" si="84">E316+0.5</f>
        <v>5.41</v>
      </c>
      <c r="F317" s="86">
        <f>($C$4/E317)+F316</f>
        <v>36.413038264015555</v>
      </c>
      <c r="G317" s="57">
        <f t="shared" ref="G317:G323" si="85">G316+500</f>
        <v>4000</v>
      </c>
      <c r="H317" s="57">
        <v>1</v>
      </c>
      <c r="I317" s="86">
        <f>E317-E316</f>
        <v>0.5</v>
      </c>
      <c r="J317" s="57">
        <f>(0.5*VEHICLE!$C$71*VEHICLE!$C$28*VEHICLE!$C$27*'Drive Cycle'!E317^2)</f>
        <v>26.037021759209999</v>
      </c>
      <c r="K317" s="57">
        <f>IF(A317=1,VEHICLE!$S$5,IF(A317=2,VEHICLE!$Q$5,IF(A317=3,VEHICLE!$R$5,IF(A317=4,VEHICLE!$P$5,1))))</f>
        <v>72.351594900000009</v>
      </c>
      <c r="L317" s="57">
        <f t="shared" si="77"/>
        <v>6.5</v>
      </c>
      <c r="M317" s="57">
        <f t="shared" si="71"/>
        <v>0</v>
      </c>
      <c r="N317" s="57">
        <f t="shared" si="64"/>
        <v>0</v>
      </c>
      <c r="O317" s="57">
        <f t="shared" si="65"/>
        <v>0</v>
      </c>
      <c r="P317" s="57">
        <f t="shared" si="66"/>
        <v>98.388616659210015</v>
      </c>
      <c r="Q317" s="57">
        <f>IF(H317=1,I317*VEHICLE!$C$69,IF(H317=2,VEHICLE!$C$70*I317,IF(H317=3,VEHICLE!$C$71*I317,0)))</f>
        <v>293.66011771409734</v>
      </c>
      <c r="R317" s="57">
        <f>(J317+K317+O317+Q317)</f>
        <v>392.04873437330735</v>
      </c>
      <c r="S317" s="57">
        <f t="shared" si="67"/>
        <v>392.04873437330735</v>
      </c>
      <c r="T317" s="57">
        <f>ABS((R317)/((2*PI()*G317)/60))</f>
        <v>0.93594741012649996</v>
      </c>
      <c r="U317" s="57">
        <f t="shared" si="68"/>
        <v>1</v>
      </c>
      <c r="V317" s="57">
        <f>INDEX(BSFC!$D$4:$AD$26,MATCH(U317,BSFC!$B$4:$B$26,0),MATCH(G317,BSFC!$D$2:$AD$2,0))</f>
        <v>1026.1408156799998</v>
      </c>
      <c r="W317" s="57">
        <f t="shared" si="72"/>
        <v>0.11174922446559366</v>
      </c>
      <c r="X317" s="57">
        <f t="shared" si="69"/>
        <v>0.11174922446559366</v>
      </c>
      <c r="Y317" s="57">
        <f t="shared" si="70"/>
        <v>0.34530510359868438</v>
      </c>
      <c r="Z317" s="79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x14ac:dyDescent="0.3">
      <c r="A318" s="55">
        <v>1</v>
      </c>
      <c r="B318" s="57" t="s">
        <v>119</v>
      </c>
      <c r="C318" s="57">
        <f t="shared" si="78"/>
        <v>315</v>
      </c>
      <c r="D318" s="57">
        <f t="shared" si="63"/>
        <v>13.22067</v>
      </c>
      <c r="E318" s="86">
        <f t="shared" si="84"/>
        <v>5.91</v>
      </c>
      <c r="F318" s="86">
        <f>($C$4/E318)+F317</f>
        <v>36.582243001748211</v>
      </c>
      <c r="G318" s="57">
        <f t="shared" si="85"/>
        <v>4500</v>
      </c>
      <c r="H318" s="57">
        <v>2</v>
      </c>
      <c r="I318" s="86">
        <f>E318-E317</f>
        <v>0.5</v>
      </c>
      <c r="J318" s="57">
        <f>(0.5*VEHICLE!$C$71*VEHICLE!$C$28*VEHICLE!$C$27*'Drive Cycle'!E318^2)</f>
        <v>31.072180965209999</v>
      </c>
      <c r="K318" s="57">
        <f>IF(A318=1,VEHICLE!$S$5,IF(A318=2,VEHICLE!$Q$5,IF(A318=3,VEHICLE!$R$5,IF(A318=4,VEHICLE!$P$5,1))))</f>
        <v>72.351594900000009</v>
      </c>
      <c r="L318" s="57">
        <f t="shared" si="77"/>
        <v>6.5</v>
      </c>
      <c r="M318" s="57">
        <f t="shared" si="71"/>
        <v>0</v>
      </c>
      <c r="N318" s="57">
        <f t="shared" si="64"/>
        <v>0</v>
      </c>
      <c r="O318" s="57">
        <f t="shared" si="65"/>
        <v>0</v>
      </c>
      <c r="P318" s="57">
        <f t="shared" si="66"/>
        <v>103.42377586521</v>
      </c>
      <c r="Q318" s="57">
        <f>IF(H318=1,I318*VEHICLE!$C$69,IF(H318=2,VEHICLE!$C$70*I318,IF(H318=3,VEHICLE!$C$71*I318,0)))</f>
        <v>292.57424326505867</v>
      </c>
      <c r="R318" s="57">
        <f>(J318+K318+O318+Q318)</f>
        <v>395.99801913026869</v>
      </c>
      <c r="S318" s="57">
        <f t="shared" si="67"/>
        <v>395.99801913026869</v>
      </c>
      <c r="T318" s="57">
        <f>ABS((R318)/((2*PI()*G318)/60))</f>
        <v>0.84033389598908248</v>
      </c>
      <c r="U318" s="57">
        <f t="shared" si="68"/>
        <v>1</v>
      </c>
      <c r="V318" s="57">
        <f>INDEX(BSFC!$D$4:$AD$26,MATCH(U318,BSFC!$B$4:$B$26,0),MATCH(G318,BSFC!$D$2:$AD$2,0))</f>
        <v>996.72332351999967</v>
      </c>
      <c r="W318" s="57">
        <f t="shared" si="72"/>
        <v>0.1096390171485716</v>
      </c>
      <c r="X318" s="57">
        <f t="shared" si="69"/>
        <v>0.1096390171485716</v>
      </c>
      <c r="Y318" s="57">
        <f t="shared" si="70"/>
        <v>0.33878456298908627</v>
      </c>
      <c r="Z318" s="79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x14ac:dyDescent="0.3">
      <c r="A319" s="55">
        <v>1</v>
      </c>
      <c r="B319" s="57" t="s">
        <v>119</v>
      </c>
      <c r="C319" s="57">
        <f t="shared" si="78"/>
        <v>316</v>
      </c>
      <c r="D319" s="57">
        <f t="shared" si="63"/>
        <v>14.339170000000001</v>
      </c>
      <c r="E319" s="86">
        <f t="shared" si="84"/>
        <v>6.41</v>
      </c>
      <c r="F319" s="86">
        <f>($C$4/E319)+F318</f>
        <v>36.738249241997821</v>
      </c>
      <c r="G319" s="57">
        <f t="shared" si="85"/>
        <v>5000</v>
      </c>
      <c r="H319" s="57">
        <v>2</v>
      </c>
      <c r="I319" s="86">
        <f>E319-E318</f>
        <v>0.5</v>
      </c>
      <c r="J319" s="57">
        <f>(0.5*VEHICLE!$C$71*VEHICLE!$C$28*VEHICLE!$C$27*'Drive Cycle'!E319^2)</f>
        <v>36.552142221209998</v>
      </c>
      <c r="K319" s="57">
        <f>IF(A319=1,VEHICLE!$S$5,IF(A319=2,VEHICLE!$Q$5,IF(A319=3,VEHICLE!$R$5,IF(A319=4,VEHICLE!$P$5,1))))</f>
        <v>72.351594900000009</v>
      </c>
      <c r="L319" s="57">
        <f t="shared" si="77"/>
        <v>6.5</v>
      </c>
      <c r="M319" s="57">
        <f t="shared" si="71"/>
        <v>0</v>
      </c>
      <c r="N319" s="57">
        <f t="shared" si="64"/>
        <v>0</v>
      </c>
      <c r="O319" s="57">
        <f t="shared" si="65"/>
        <v>0</v>
      </c>
      <c r="P319" s="57">
        <f t="shared" si="66"/>
        <v>108.90373712121001</v>
      </c>
      <c r="Q319" s="57">
        <f>IF(H319=1,I319*VEHICLE!$C$69,IF(H319=2,VEHICLE!$C$70*I319,IF(H319=3,VEHICLE!$C$71*I319,0)))</f>
        <v>292.57424326505867</v>
      </c>
      <c r="R319" s="57">
        <f>(J319+K319+O319+Q319)</f>
        <v>401.47798038626865</v>
      </c>
      <c r="S319" s="57">
        <f t="shared" si="67"/>
        <v>401.47798038626865</v>
      </c>
      <c r="T319" s="57">
        <f>ABS((R319)/((2*PI()*G319)/60))</f>
        <v>0.76676646145230798</v>
      </c>
      <c r="U319" s="57">
        <f t="shared" si="68"/>
        <v>1</v>
      </c>
      <c r="V319" s="57">
        <f>INDEX(BSFC!$D$4:$AD$26,MATCH(U319,BSFC!$B$4:$B$26,0),MATCH(G319,BSFC!$D$2:$AD$2,0))</f>
        <v>967.30583135999973</v>
      </c>
      <c r="W319" s="57">
        <f t="shared" si="72"/>
        <v>0.10787555321952036</v>
      </c>
      <c r="X319" s="57">
        <f t="shared" si="69"/>
        <v>0.10787555321952036</v>
      </c>
      <c r="Y319" s="57">
        <f t="shared" si="70"/>
        <v>0.33333545944831788</v>
      </c>
      <c r="Z319" s="79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x14ac:dyDescent="0.3">
      <c r="A320" s="55">
        <v>1</v>
      </c>
      <c r="B320" s="57" t="s">
        <v>119</v>
      </c>
      <c r="C320" s="57">
        <f t="shared" si="78"/>
        <v>317</v>
      </c>
      <c r="D320" s="57">
        <f t="shared" si="63"/>
        <v>15.45767</v>
      </c>
      <c r="E320" s="86">
        <f>E319+0.5</f>
        <v>6.91</v>
      </c>
      <c r="F320" s="86">
        <f>($C$4/E320)+F319</f>
        <v>36.882967042287255</v>
      </c>
      <c r="G320" s="57">
        <f t="shared" si="85"/>
        <v>5500</v>
      </c>
      <c r="H320" s="57">
        <v>2</v>
      </c>
      <c r="I320" s="86">
        <f>E320-E319</f>
        <v>0.5</v>
      </c>
      <c r="J320" s="57">
        <f>(0.5*VEHICLE!$C$71*VEHICLE!$C$28*VEHICLE!$C$27*'Drive Cycle'!E320^2)</f>
        <v>42.476905527209993</v>
      </c>
      <c r="K320" s="57">
        <f>IF(A320=1,VEHICLE!$S$5,IF(A320=2,VEHICLE!$Q$5,IF(A320=3,VEHICLE!$R$5,IF(A320=4,VEHICLE!$P$5,1))))</f>
        <v>72.351594900000009</v>
      </c>
      <c r="L320" s="57">
        <f t="shared" si="77"/>
        <v>6.5</v>
      </c>
      <c r="M320" s="57">
        <f t="shared" si="71"/>
        <v>0</v>
      </c>
      <c r="N320" s="57">
        <f t="shared" si="64"/>
        <v>0</v>
      </c>
      <c r="O320" s="57">
        <f t="shared" si="65"/>
        <v>0</v>
      </c>
      <c r="P320" s="57">
        <f t="shared" si="66"/>
        <v>114.82850042721</v>
      </c>
      <c r="Q320" s="57">
        <f>IF(H320=1,I320*VEHICLE!$C$69,IF(H320=2,VEHICLE!$C$70*I320,IF(H320=3,VEHICLE!$C$71*I320,0)))</f>
        <v>292.57424326505867</v>
      </c>
      <c r="R320" s="57">
        <f>(J320+K320+O320+Q320)</f>
        <v>407.4027436922687</v>
      </c>
      <c r="S320" s="57">
        <f t="shared" si="67"/>
        <v>407.4027436922687</v>
      </c>
      <c r="T320" s="57">
        <f>ABS((R320)/((2*PI()*G320)/60))</f>
        <v>0.7073472053217279</v>
      </c>
      <c r="U320" s="57">
        <f t="shared" si="68"/>
        <v>1</v>
      </c>
      <c r="V320" s="57">
        <f>INDEX(BSFC!$D$4:$AD$26,MATCH(U320,BSFC!$B$4:$B$26,0),MATCH(G320,BSFC!$D$2:$AD$2,0))</f>
        <v>937.88833920000002</v>
      </c>
      <c r="W320" s="57">
        <f t="shared" si="72"/>
        <v>0.10613841185196254</v>
      </c>
      <c r="X320" s="57">
        <f t="shared" si="69"/>
        <v>0.10613841185196254</v>
      </c>
      <c r="Y320" s="57">
        <f t="shared" si="70"/>
        <v>0.32796769262256426</v>
      </c>
      <c r="Z320" s="79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x14ac:dyDescent="0.3">
      <c r="A321" s="55">
        <v>1</v>
      </c>
      <c r="B321" s="57" t="s">
        <v>119</v>
      </c>
      <c r="C321" s="57">
        <f t="shared" si="78"/>
        <v>318</v>
      </c>
      <c r="D321" s="57">
        <f t="shared" si="63"/>
        <v>16.576170000000001</v>
      </c>
      <c r="E321" s="86">
        <f t="shared" si="84"/>
        <v>7.41</v>
      </c>
      <c r="F321" s="86">
        <f>($C$4/E321)+F320</f>
        <v>37.017919808818966</v>
      </c>
      <c r="G321" s="57">
        <f t="shared" si="85"/>
        <v>6000</v>
      </c>
      <c r="H321" s="57">
        <v>2</v>
      </c>
      <c r="I321" s="86">
        <f>E321-E320</f>
        <v>0.5</v>
      </c>
      <c r="J321" s="57">
        <f>(0.5*VEHICLE!$C$71*VEHICLE!$C$28*VEHICLE!$C$27*'Drive Cycle'!E321^2)</f>
        <v>48.846470883209996</v>
      </c>
      <c r="K321" s="57">
        <f>IF(A321=1,VEHICLE!$S$5,IF(A321=2,VEHICLE!$Q$5,IF(A321=3,VEHICLE!$R$5,IF(A321=4,VEHICLE!$P$5,1))))</f>
        <v>72.351594900000009</v>
      </c>
      <c r="L321" s="57">
        <f t="shared" si="77"/>
        <v>6.5</v>
      </c>
      <c r="M321" s="57">
        <f t="shared" si="71"/>
        <v>0</v>
      </c>
      <c r="N321" s="57">
        <f t="shared" si="64"/>
        <v>0</v>
      </c>
      <c r="O321" s="57">
        <f t="shared" si="65"/>
        <v>0</v>
      </c>
      <c r="P321" s="57">
        <f t="shared" si="66"/>
        <v>121.19806578321001</v>
      </c>
      <c r="Q321" s="57">
        <f>IF(H321=1,I321*VEHICLE!$C$69,IF(H321=2,VEHICLE!$C$70*I321,IF(H321=3,VEHICLE!$C$71*I321,0)))</f>
        <v>292.57424326505867</v>
      </c>
      <c r="R321" s="57">
        <f>(J321+K321+O321+Q321)</f>
        <v>413.77230904826865</v>
      </c>
      <c r="S321" s="57">
        <f t="shared" si="67"/>
        <v>413.77230904826865</v>
      </c>
      <c r="T321" s="57">
        <f>ABS((R321)/((2*PI()*G321)/60))</f>
        <v>0.65853908299579322</v>
      </c>
      <c r="U321" s="57">
        <f t="shared" si="68"/>
        <v>1</v>
      </c>
      <c r="V321" s="57">
        <f>INDEX(BSFC!$D$4:$AD$26,MATCH(U321,BSFC!$B$4:$B$26,0),MATCH(G321,BSFC!$D$2:$AD$2,0))</f>
        <v>933.91499472000044</v>
      </c>
      <c r="W321" s="57">
        <f t="shared" si="72"/>
        <v>0.1073411566166934</v>
      </c>
      <c r="X321" s="57">
        <f t="shared" si="69"/>
        <v>0.1073411566166934</v>
      </c>
      <c r="Y321" s="57">
        <f t="shared" si="70"/>
        <v>0.33168417394558258</v>
      </c>
      <c r="Z321" s="79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x14ac:dyDescent="0.3">
      <c r="A322" s="55">
        <v>1</v>
      </c>
      <c r="B322" s="56" t="s">
        <v>105</v>
      </c>
      <c r="C322" s="56">
        <f t="shared" si="78"/>
        <v>319</v>
      </c>
      <c r="D322" s="56">
        <f t="shared" si="63"/>
        <v>17.694670000000002</v>
      </c>
      <c r="E322" s="94">
        <f t="shared" si="84"/>
        <v>7.91</v>
      </c>
      <c r="F322" s="94">
        <f>($C$4/E322)+F321</f>
        <v>37.14434205913502</v>
      </c>
      <c r="G322" s="56">
        <f t="shared" si="85"/>
        <v>6500</v>
      </c>
      <c r="H322" s="56">
        <v>2</v>
      </c>
      <c r="I322" s="94">
        <f>E322-E321</f>
        <v>0.5</v>
      </c>
      <c r="J322" s="56">
        <f>(0.5*VEHICLE!$C$71*VEHICLE!$C$28*VEHICLE!$C$27*'Drive Cycle'!E322^2)</f>
        <v>55.660838289209991</v>
      </c>
      <c r="K322" s="56">
        <f>IF(A322=1,VEHICLE!$S$5,IF(A322=2,VEHICLE!$Q$5,IF(A322=3,VEHICLE!$R$5,IF(A322=4,VEHICLE!$P$5,1))))</f>
        <v>72.351594900000009</v>
      </c>
      <c r="L322" s="56">
        <f t="shared" si="77"/>
        <v>6.5</v>
      </c>
      <c r="M322" s="56">
        <f t="shared" si="71"/>
        <v>0</v>
      </c>
      <c r="N322" s="56">
        <f t="shared" si="64"/>
        <v>0</v>
      </c>
      <c r="O322" s="56">
        <f t="shared" si="65"/>
        <v>0</v>
      </c>
      <c r="P322" s="56">
        <f t="shared" si="66"/>
        <v>128.01243318921001</v>
      </c>
      <c r="Q322" s="56">
        <f>IF(H322=1,I322*VEHICLE!$C$69,IF(H322=2,VEHICLE!$C$70*I322,IF(H322=3,VEHICLE!$C$71*I322,0)))</f>
        <v>292.57424326505867</v>
      </c>
      <c r="R322" s="56">
        <f>(J322+K322+O322+Q322)</f>
        <v>420.58667645426868</v>
      </c>
      <c r="S322" s="56">
        <f t="shared" si="67"/>
        <v>420.58667645426868</v>
      </c>
      <c r="T322" s="56">
        <f>ABS((R322)/((2*PI()*G322)/60))</f>
        <v>0.61789337128881716</v>
      </c>
      <c r="U322" s="56">
        <f t="shared" si="68"/>
        <v>1</v>
      </c>
      <c r="V322" s="56">
        <f>INDEX(BSFC!$D$4:$AD$26,MATCH(U322,BSFC!$B$4:$B$26,0),MATCH(G322,BSFC!$D$2:$AD$2,0))</f>
        <v>925.65735288000019</v>
      </c>
      <c r="W322" s="56">
        <f t="shared" si="72"/>
        <v>0.10814420821757097</v>
      </c>
      <c r="X322" s="56">
        <f t="shared" si="69"/>
        <v>0.10814420821757097</v>
      </c>
      <c r="Y322" s="56">
        <f t="shared" si="70"/>
        <v>0.33416560339229429</v>
      </c>
      <c r="Z322" s="79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x14ac:dyDescent="0.3">
      <c r="A323" s="55">
        <v>1</v>
      </c>
      <c r="B323" s="56" t="s">
        <v>105</v>
      </c>
      <c r="C323" s="56">
        <f t="shared" si="78"/>
        <v>320</v>
      </c>
      <c r="D323" s="56">
        <f t="shared" si="63"/>
        <v>18.81317</v>
      </c>
      <c r="E323" s="94">
        <f t="shared" si="84"/>
        <v>8.41</v>
      </c>
      <c r="F323" s="94">
        <f>($C$4/E323)+F322</f>
        <v>37.263248123344297</v>
      </c>
      <c r="G323" s="56">
        <f t="shared" si="85"/>
        <v>7000</v>
      </c>
      <c r="H323" s="56">
        <v>2</v>
      </c>
      <c r="I323" s="94">
        <f>E323-E322</f>
        <v>0.5</v>
      </c>
      <c r="J323" s="56">
        <f>(0.5*VEHICLE!$C$71*VEHICLE!$C$28*VEHICLE!$C$27*'Drive Cycle'!E323^2)</f>
        <v>62.920007745209993</v>
      </c>
      <c r="K323" s="56">
        <f>IF(A323=1,VEHICLE!$S$5,IF(A323=2,VEHICLE!$Q$5,IF(A323=3,VEHICLE!$R$5,IF(A323=4,VEHICLE!$P$5,1))))</f>
        <v>72.351594900000009</v>
      </c>
      <c r="L323" s="56">
        <f t="shared" si="77"/>
        <v>6.5</v>
      </c>
      <c r="M323" s="56">
        <f t="shared" si="71"/>
        <v>0</v>
      </c>
      <c r="N323" s="56">
        <f t="shared" si="64"/>
        <v>0</v>
      </c>
      <c r="O323" s="56">
        <f t="shared" si="65"/>
        <v>0</v>
      </c>
      <c r="P323" s="56">
        <f t="shared" si="66"/>
        <v>135.27160264521001</v>
      </c>
      <c r="Q323" s="56">
        <f>IF(H323=1,I323*VEHICLE!$C$69,IF(H323=2,VEHICLE!$C$70*I323,IF(H323=3,VEHICLE!$C$71*I323,0)))</f>
        <v>292.57424326505867</v>
      </c>
      <c r="R323" s="56">
        <f>(J323+K323+O323+Q323)</f>
        <v>427.84584591026868</v>
      </c>
      <c r="S323" s="56">
        <f t="shared" si="67"/>
        <v>427.84584591026868</v>
      </c>
      <c r="T323" s="56">
        <f>ABS((R323)/((2*PI()*G323)/60))</f>
        <v>0.58366098221102258</v>
      </c>
      <c r="U323" s="56">
        <f t="shared" si="68"/>
        <v>1</v>
      </c>
      <c r="V323" s="56">
        <f>INDEX(BSFC!$D$4:$AD$26,MATCH(U323,BSFC!$B$4:$B$26,0),MATCH(G323,BSFC!$D$2:$AD$2,0))</f>
        <v>920.25590927999997</v>
      </c>
      <c r="W323" s="56">
        <f t="shared" si="72"/>
        <v>0.10936879665550697</v>
      </c>
      <c r="X323" s="56">
        <f t="shared" si="69"/>
        <v>0.10936879665550697</v>
      </c>
      <c r="Y323" s="56">
        <f t="shared" si="70"/>
        <v>0.33794958166551653</v>
      </c>
      <c r="Z323" s="79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x14ac:dyDescent="0.3">
      <c r="A324" s="55">
        <v>1</v>
      </c>
      <c r="B324" s="56" t="s">
        <v>105</v>
      </c>
      <c r="C324" s="56">
        <f t="shared" si="78"/>
        <v>321</v>
      </c>
      <c r="D324" s="56">
        <f t="shared" ref="D324:D387" si="86">E324*2.237</f>
        <v>19.93167</v>
      </c>
      <c r="E324" s="94">
        <f t="shared" si="84"/>
        <v>8.91</v>
      </c>
      <c r="F324" s="94">
        <f>($C$4/E324)+F323</f>
        <v>37.375481568911077</v>
      </c>
      <c r="G324" s="56">
        <v>7000</v>
      </c>
      <c r="H324" s="56">
        <v>2</v>
      </c>
      <c r="I324" s="94">
        <f>E324-E323</f>
        <v>0.5</v>
      </c>
      <c r="J324" s="56">
        <f>(0.5*VEHICLE!$C$71*VEHICLE!$C$28*VEHICLE!$C$27*'Drive Cycle'!E324^2)</f>
        <v>70.623979251210002</v>
      </c>
      <c r="K324" s="56">
        <f>IF(A324=1,VEHICLE!$S$5,IF(A324=2,VEHICLE!$Q$5,IF(A324=3,VEHICLE!$R$5,IF(A324=4,VEHICLE!$P$5,1))))</f>
        <v>72.351594900000009</v>
      </c>
      <c r="L324" s="56">
        <f t="shared" si="77"/>
        <v>6.5</v>
      </c>
      <c r="M324" s="56">
        <f t="shared" si="71"/>
        <v>0</v>
      </c>
      <c r="N324" s="56">
        <f t="shared" ref="N324:N387" si="87">DEGREES(ATAN(M324/$C$4))</f>
        <v>0</v>
      </c>
      <c r="O324" s="56">
        <f t="shared" ref="O324:O387" si="88">9.81*SIN(RADIANS(N324))*($C$47)</f>
        <v>0</v>
      </c>
      <c r="P324" s="56">
        <f t="shared" ref="P324:P387" si="89">J324+K324+O324</f>
        <v>142.97557415121003</v>
      </c>
      <c r="Q324" s="56">
        <f>IF(H324=1,I324*VEHICLE!$C$69,IF(H324=2,VEHICLE!$C$70*I324,IF(H324=3,VEHICLE!$C$71*I324,0)))</f>
        <v>292.57424326505867</v>
      </c>
      <c r="R324" s="56">
        <f>(J324+K324+O324+Q324)</f>
        <v>435.5498174162687</v>
      </c>
      <c r="S324" s="56">
        <f t="shared" ref="S324:S387" si="90">ABS(R324)</f>
        <v>435.5498174162687</v>
      </c>
      <c r="T324" s="56">
        <f>ABS((R324)/((2*PI()*G324)/60))</f>
        <v>0.59417062632489992</v>
      </c>
      <c r="U324" s="56">
        <f t="shared" ref="U324:U387" si="91">ROUNDUP(T324,0)</f>
        <v>1</v>
      </c>
      <c r="V324" s="56">
        <f>INDEX(BSFC!$D$4:$AD$26,MATCH(U324,BSFC!$B$4:$B$26,0),MATCH(G324,BSFC!$D$2:$AD$2,0))</f>
        <v>920.25590927999997</v>
      </c>
      <c r="W324" s="56">
        <f t="shared" si="72"/>
        <v>0.11133813701754064</v>
      </c>
      <c r="X324" s="56">
        <f t="shared" ref="X324:X387" si="92">ABS(W324)</f>
        <v>0.11133813701754064</v>
      </c>
      <c r="Y324" s="56">
        <f t="shared" ref="Y324:Y387" si="93">W324*3.09</f>
        <v>0.34403484338420054</v>
      </c>
      <c r="Z324" s="79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x14ac:dyDescent="0.3">
      <c r="A325" s="55">
        <v>1</v>
      </c>
      <c r="B325" s="56" t="s">
        <v>105</v>
      </c>
      <c r="C325" s="56">
        <f t="shared" si="78"/>
        <v>322</v>
      </c>
      <c r="D325" s="56">
        <f t="shared" si="86"/>
        <v>21.050170000000001</v>
      </c>
      <c r="E325" s="94">
        <f t="shared" si="84"/>
        <v>9.41</v>
      </c>
      <c r="F325" s="94">
        <f>($C$4/E325)+F324</f>
        <v>37.481751494522129</v>
      </c>
      <c r="G325" s="56">
        <v>7000</v>
      </c>
      <c r="H325" s="56">
        <v>2</v>
      </c>
      <c r="I325" s="94">
        <f>E325-E324</f>
        <v>0.5</v>
      </c>
      <c r="J325" s="56">
        <f>(0.5*VEHICLE!$C$71*VEHICLE!$C$28*VEHICLE!$C$27*'Drive Cycle'!E325^2)</f>
        <v>78.772752807209997</v>
      </c>
      <c r="K325" s="56">
        <f>IF(A325=1,VEHICLE!$S$5,IF(A325=2,VEHICLE!$Q$5,IF(A325=3,VEHICLE!$R$5,IF(A325=4,VEHICLE!$P$5,1))))</f>
        <v>72.351594900000009</v>
      </c>
      <c r="L325" s="56">
        <f t="shared" si="77"/>
        <v>6.5</v>
      </c>
      <c r="M325" s="56">
        <f t="shared" ref="M325:M388" si="94">L325-L324</f>
        <v>0</v>
      </c>
      <c r="N325" s="56">
        <f t="shared" si="87"/>
        <v>0</v>
      </c>
      <c r="O325" s="56">
        <f t="shared" si="88"/>
        <v>0</v>
      </c>
      <c r="P325" s="56">
        <f t="shared" si="89"/>
        <v>151.12434770721001</v>
      </c>
      <c r="Q325" s="56">
        <f>IF(H325=1,I325*VEHICLE!$C$69,IF(H325=2,VEHICLE!$C$70*I325,IF(H325=3,VEHICLE!$C$71*I325,0)))</f>
        <v>292.57424326505867</v>
      </c>
      <c r="R325" s="56">
        <f>(J325+K325+O325+Q325)</f>
        <v>443.69859097226868</v>
      </c>
      <c r="S325" s="56">
        <f t="shared" si="90"/>
        <v>443.69859097226868</v>
      </c>
      <c r="T325" s="56">
        <f>ABS((R325)/((2*PI()*G325)/60))</f>
        <v>0.60528706282410494</v>
      </c>
      <c r="U325" s="56">
        <f t="shared" si="91"/>
        <v>1</v>
      </c>
      <c r="V325" s="56">
        <f>INDEX(BSFC!$D$4:$AD$26,MATCH(U325,BSFC!$B$4:$B$26,0),MATCH(G325,BSFC!$D$2:$AD$2,0))</f>
        <v>920.25590927999997</v>
      </c>
      <c r="W325" s="56">
        <f t="shared" ref="W325:W388" si="95">(R325*V325/3600)/1000</f>
        <v>0.11342118063373331</v>
      </c>
      <c r="X325" s="56">
        <f t="shared" si="92"/>
        <v>0.11342118063373331</v>
      </c>
      <c r="Y325" s="56">
        <f t="shared" si="93"/>
        <v>0.35047144815823594</v>
      </c>
      <c r="Z325" s="79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x14ac:dyDescent="0.3">
      <c r="A326" s="55">
        <v>1</v>
      </c>
      <c r="B326" s="56" t="s">
        <v>105</v>
      </c>
      <c r="C326" s="56">
        <f t="shared" si="78"/>
        <v>323</v>
      </c>
      <c r="D326" s="56">
        <f t="shared" si="86"/>
        <v>23.28717</v>
      </c>
      <c r="E326" s="94">
        <f>E325+1</f>
        <v>10.41</v>
      </c>
      <c r="F326" s="94">
        <f>($C$4/E326)+F325</f>
        <v>37.577812973868909</v>
      </c>
      <c r="G326" s="56">
        <v>7000</v>
      </c>
      <c r="H326" s="56">
        <v>3</v>
      </c>
      <c r="I326" s="94">
        <f>E326-E325</f>
        <v>1</v>
      </c>
      <c r="J326" s="56">
        <f>(0.5*VEHICLE!$C$71*VEHICLE!$C$28*VEHICLE!$C$27*'Drive Cycle'!E326^2)</f>
        <v>96.404706069209993</v>
      </c>
      <c r="K326" s="56">
        <f>IF(A326=1,VEHICLE!$S$5,IF(A326=2,VEHICLE!$Q$5,IF(A326=3,VEHICLE!$R$5,IF(A326=4,VEHICLE!$P$5,1))))</f>
        <v>72.351594900000009</v>
      </c>
      <c r="L326" s="56">
        <f>L325-0.5</f>
        <v>6</v>
      </c>
      <c r="M326" s="56">
        <f t="shared" si="94"/>
        <v>-0.5</v>
      </c>
      <c r="N326" s="56">
        <f t="shared" si="87"/>
        <v>-26.56505117707799</v>
      </c>
      <c r="O326" s="56">
        <f t="shared" si="88"/>
        <v>-193.03527636160186</v>
      </c>
      <c r="P326" s="56">
        <f t="shared" si="89"/>
        <v>-24.278975392391857</v>
      </c>
      <c r="Q326" s="56">
        <f>IF(H326=1,I326*VEHICLE!$C$69,IF(H326=2,VEHICLE!$C$70*I326,IF(H326=3,VEHICLE!$C$71*I326,0)))</f>
        <v>1.167</v>
      </c>
      <c r="R326" s="56">
        <f>(J326+K326+O326+Q326)</f>
        <v>-23.111975392391855</v>
      </c>
      <c r="S326" s="56">
        <f t="shared" si="90"/>
        <v>23.111975392391855</v>
      </c>
      <c r="T326" s="56">
        <f>ABS((R326)/((2*PI()*G326)/60))</f>
        <v>3.1529015385577813E-2</v>
      </c>
      <c r="U326" s="56">
        <f t="shared" si="91"/>
        <v>1</v>
      </c>
      <c r="V326" s="56">
        <f>INDEX(BSFC!$D$4:$AD$26,MATCH(U326,BSFC!$B$4:$B$26,0),MATCH(G326,BSFC!$D$2:$AD$2,0))</f>
        <v>920.25590927999997</v>
      </c>
      <c r="W326" s="56">
        <f t="shared" si="95"/>
        <v>-5.9080366472173745E-3</v>
      </c>
      <c r="X326" s="56">
        <f t="shared" si="92"/>
        <v>5.9080366472173745E-3</v>
      </c>
      <c r="Y326" s="56">
        <f t="shared" si="93"/>
        <v>-1.8255833239901688E-2</v>
      </c>
      <c r="Z326" s="79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x14ac:dyDescent="0.3">
      <c r="A327" s="55">
        <v>1</v>
      </c>
      <c r="B327" s="56" t="s">
        <v>105</v>
      </c>
      <c r="C327" s="56">
        <f t="shared" si="78"/>
        <v>324</v>
      </c>
      <c r="D327" s="56">
        <f t="shared" si="86"/>
        <v>25.524170000000002</v>
      </c>
      <c r="E327" s="94">
        <f t="shared" ref="E327:E329" si="96">E326+1</f>
        <v>11.41</v>
      </c>
      <c r="F327" s="94">
        <f>($C$4/E327)+F326</f>
        <v>37.665455392799672</v>
      </c>
      <c r="G327" s="56">
        <v>7000</v>
      </c>
      <c r="H327" s="56">
        <v>3</v>
      </c>
      <c r="I327" s="94">
        <f>E327-E326</f>
        <v>1</v>
      </c>
      <c r="J327" s="56">
        <f>(0.5*VEHICLE!$C$71*VEHICLE!$C$28*VEHICLE!$C$27*'Drive Cycle'!E327^2)</f>
        <v>115.81586753120997</v>
      </c>
      <c r="K327" s="56">
        <f>IF(A327=1,VEHICLE!$S$5,IF(A327=2,VEHICLE!$Q$5,IF(A327=3,VEHICLE!$R$5,IF(A327=4,VEHICLE!$P$5,1))))</f>
        <v>72.351594900000009</v>
      </c>
      <c r="L327" s="56">
        <f>L326-0.5</f>
        <v>5.5</v>
      </c>
      <c r="M327" s="56">
        <f t="shared" si="94"/>
        <v>-0.5</v>
      </c>
      <c r="N327" s="56">
        <f t="shared" si="87"/>
        <v>-26.56505117707799</v>
      </c>
      <c r="O327" s="56">
        <f t="shared" si="88"/>
        <v>-193.03527636160186</v>
      </c>
      <c r="P327" s="56">
        <f t="shared" si="89"/>
        <v>-4.8678139303918897</v>
      </c>
      <c r="Q327" s="56">
        <f>IF(H327=1,I327*VEHICLE!$C$69,IF(H327=2,VEHICLE!$C$70*I327,IF(H327=3,VEHICLE!$C$71*I327,0)))</f>
        <v>1.167</v>
      </c>
      <c r="R327" s="56">
        <f>(J327+K327+O327+Q327)</f>
        <v>-3.7008139303918899</v>
      </c>
      <c r="S327" s="56">
        <f t="shared" si="90"/>
        <v>3.7008139303918899</v>
      </c>
      <c r="T327" s="56">
        <f>ABS((R327)/((2*PI()*G327)/60))</f>
        <v>5.04859568987327E-3</v>
      </c>
      <c r="U327" s="56">
        <f t="shared" si="91"/>
        <v>1</v>
      </c>
      <c r="V327" s="56">
        <f>INDEX(BSFC!$D$4:$AD$26,MATCH(U327,BSFC!$B$4:$B$26,0),MATCH(G327,BSFC!$D$2:$AD$2,0))</f>
        <v>920.25590927999997</v>
      </c>
      <c r="W327" s="56">
        <f t="shared" si="95"/>
        <v>-9.4602663571913303E-4</v>
      </c>
      <c r="X327" s="56">
        <f t="shared" si="92"/>
        <v>9.4602663571913303E-4</v>
      </c>
      <c r="Y327" s="56">
        <f t="shared" si="93"/>
        <v>-2.9232223043721209E-3</v>
      </c>
      <c r="Z327" s="79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x14ac:dyDescent="0.3">
      <c r="A328" s="55">
        <v>1</v>
      </c>
      <c r="B328" s="56" t="s">
        <v>105</v>
      </c>
      <c r="C328" s="56">
        <f t="shared" si="78"/>
        <v>325</v>
      </c>
      <c r="D328" s="56">
        <f t="shared" si="86"/>
        <v>27.76117</v>
      </c>
      <c r="E328" s="94">
        <f t="shared" si="96"/>
        <v>12.41</v>
      </c>
      <c r="F328" s="94">
        <f>($C$4/E328)+F327</f>
        <v>37.74603557007606</v>
      </c>
      <c r="G328" s="56">
        <v>7000</v>
      </c>
      <c r="H328" s="56">
        <v>3</v>
      </c>
      <c r="I328" s="94">
        <f>E328-E327</f>
        <v>1</v>
      </c>
      <c r="J328" s="56">
        <f>(0.5*VEHICLE!$C$71*VEHICLE!$C$28*VEHICLE!$C$27*'Drive Cycle'!E328^2)</f>
        <v>137.00623719320998</v>
      </c>
      <c r="K328" s="56">
        <f>IF(A328=1,VEHICLE!$S$5,IF(A328=2,VEHICLE!$Q$5,IF(A328=3,VEHICLE!$R$5,IF(A328=4,VEHICLE!$P$5,1))))</f>
        <v>72.351594900000009</v>
      </c>
      <c r="L328" s="56">
        <f t="shared" ref="L328:L338" si="97">L327-0.5</f>
        <v>5</v>
      </c>
      <c r="M328" s="56">
        <f t="shared" si="94"/>
        <v>-0.5</v>
      </c>
      <c r="N328" s="56">
        <f t="shared" si="87"/>
        <v>-26.56505117707799</v>
      </c>
      <c r="O328" s="56">
        <f t="shared" si="88"/>
        <v>-193.03527636160186</v>
      </c>
      <c r="P328" s="56">
        <f t="shared" si="89"/>
        <v>16.322555731608134</v>
      </c>
      <c r="Q328" s="56">
        <f>IF(H328=1,I328*VEHICLE!$C$69,IF(H328=2,VEHICLE!$C$70*I328,IF(H328=3,VEHICLE!$C$71*I328,0)))</f>
        <v>1.167</v>
      </c>
      <c r="R328" s="56">
        <f>(J328+K328+O328+Q328)</f>
        <v>17.489555731608135</v>
      </c>
      <c r="S328" s="56">
        <f t="shared" si="90"/>
        <v>17.489555731608135</v>
      </c>
      <c r="T328" s="56">
        <f>ABS((R328)/((2*PI()*G328)/60))</f>
        <v>2.38589935471425E-2</v>
      </c>
      <c r="U328" s="56">
        <f t="shared" si="91"/>
        <v>1</v>
      </c>
      <c r="V328" s="56">
        <f>INDEX(BSFC!$D$4:$AD$26,MATCH(U328,BSFC!$B$4:$B$26,0),MATCH(G328,BSFC!$D$2:$AD$2,0))</f>
        <v>920.25590927999997</v>
      </c>
      <c r="W328" s="56">
        <f t="shared" si="95"/>
        <v>4.470796392415077E-3</v>
      </c>
      <c r="X328" s="56">
        <f t="shared" si="92"/>
        <v>4.470796392415077E-3</v>
      </c>
      <c r="Y328" s="56">
        <f t="shared" si="93"/>
        <v>1.3814760852562587E-2</v>
      </c>
      <c r="Z328" s="79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x14ac:dyDescent="0.3">
      <c r="A329" s="55">
        <v>1</v>
      </c>
      <c r="B329" s="56" t="s">
        <v>105</v>
      </c>
      <c r="C329" s="56">
        <f t="shared" si="78"/>
        <v>326</v>
      </c>
      <c r="D329" s="56">
        <f t="shared" si="86"/>
        <v>29.998170000000002</v>
      </c>
      <c r="E329" s="94">
        <f t="shared" si="96"/>
        <v>13.41</v>
      </c>
      <c r="F329" s="94">
        <f>($C$4/E329)+F328</f>
        <v>37.820606785586875</v>
      </c>
      <c r="G329" s="56">
        <v>7000</v>
      </c>
      <c r="H329" s="56">
        <v>3</v>
      </c>
      <c r="I329" s="94">
        <f>E329-E328</f>
        <v>1</v>
      </c>
      <c r="J329" s="56">
        <f>(0.5*VEHICLE!$C$71*VEHICLE!$C$28*VEHICLE!$C$27*'Drive Cycle'!E329^2)</f>
        <v>159.97581505520998</v>
      </c>
      <c r="K329" s="56">
        <f>IF(A329=1,VEHICLE!$S$5,IF(A329=2,VEHICLE!$Q$5,IF(A329=3,VEHICLE!$R$5,IF(A329=4,VEHICLE!$P$5,1))))</f>
        <v>72.351594900000009</v>
      </c>
      <c r="L329" s="56">
        <f t="shared" si="97"/>
        <v>4.5</v>
      </c>
      <c r="M329" s="56">
        <f t="shared" si="94"/>
        <v>-0.5</v>
      </c>
      <c r="N329" s="56">
        <f t="shared" si="87"/>
        <v>-26.56505117707799</v>
      </c>
      <c r="O329" s="56">
        <f t="shared" si="88"/>
        <v>-193.03527636160186</v>
      </c>
      <c r="P329" s="56">
        <f t="shared" si="89"/>
        <v>39.292133593608128</v>
      </c>
      <c r="Q329" s="56">
        <f>IF(H329=1,I329*VEHICLE!$C$69,IF(H329=2,VEHICLE!$C$70*I329,IF(H329=3,VEHICLE!$C$71*I329,0)))</f>
        <v>1.167</v>
      </c>
      <c r="R329" s="56">
        <f>(J329+K329+O329+Q329)</f>
        <v>40.459133593608129</v>
      </c>
      <c r="S329" s="56">
        <f t="shared" si="90"/>
        <v>40.459133593608129</v>
      </c>
      <c r="T329" s="56">
        <f>ABS((R329)/((2*PI()*G329)/60))</f>
        <v>5.5193752325469372E-2</v>
      </c>
      <c r="U329" s="56">
        <f t="shared" si="91"/>
        <v>1</v>
      </c>
      <c r="V329" s="56">
        <f>INDEX(BSFC!$D$4:$AD$26,MATCH(U329,BSFC!$B$4:$B$26,0),MATCH(G329,BSFC!$D$2:$AD$2,0))</f>
        <v>920.25590927999997</v>
      </c>
      <c r="W329" s="56">
        <f t="shared" si="95"/>
        <v>1.0342432437185235E-2</v>
      </c>
      <c r="X329" s="56">
        <f t="shared" si="92"/>
        <v>1.0342432437185235E-2</v>
      </c>
      <c r="Y329" s="56">
        <f t="shared" si="93"/>
        <v>3.1958116230902375E-2</v>
      </c>
      <c r="Z329" s="79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x14ac:dyDescent="0.3">
      <c r="A330" s="55">
        <v>1</v>
      </c>
      <c r="B330" s="56" t="s">
        <v>105</v>
      </c>
      <c r="C330" s="56">
        <f t="shared" si="78"/>
        <v>327</v>
      </c>
      <c r="D330" s="56">
        <f t="shared" si="86"/>
        <v>29.998170000000002</v>
      </c>
      <c r="E330" s="94">
        <f>E329</f>
        <v>13.41</v>
      </c>
      <c r="F330" s="94">
        <f>($C$4/E330)+F329</f>
        <v>37.89517800109769</v>
      </c>
      <c r="G330" s="56">
        <v>7000</v>
      </c>
      <c r="H330" s="56">
        <v>3</v>
      </c>
      <c r="I330" s="94">
        <f>E330-E329</f>
        <v>0</v>
      </c>
      <c r="J330" s="56">
        <f>(0.5*VEHICLE!$C$71*VEHICLE!$C$28*VEHICLE!$C$27*'Drive Cycle'!E330^2)</f>
        <v>159.97581505520998</v>
      </c>
      <c r="K330" s="56">
        <f>IF(A330=1,VEHICLE!$S$5,IF(A330=2,VEHICLE!$Q$5,IF(A330=3,VEHICLE!$R$5,IF(A330=4,VEHICLE!$P$5,1))))</f>
        <v>72.351594900000009</v>
      </c>
      <c r="L330" s="56">
        <f t="shared" si="97"/>
        <v>4</v>
      </c>
      <c r="M330" s="56">
        <f t="shared" si="94"/>
        <v>-0.5</v>
      </c>
      <c r="N330" s="56">
        <f t="shared" si="87"/>
        <v>-26.56505117707799</v>
      </c>
      <c r="O330" s="56">
        <f t="shared" si="88"/>
        <v>-193.03527636160186</v>
      </c>
      <c r="P330" s="56">
        <f t="shared" si="89"/>
        <v>39.292133593608128</v>
      </c>
      <c r="Q330" s="56">
        <f>IF(H330=1,I330*VEHICLE!$C$69,IF(H330=2,VEHICLE!$C$70*I330,IF(H330=3,VEHICLE!$C$71*I330,0)))</f>
        <v>0</v>
      </c>
      <c r="R330" s="56">
        <f>(J330+K330+O330+Q330)</f>
        <v>39.292133593608128</v>
      </c>
      <c r="S330" s="56">
        <f t="shared" si="90"/>
        <v>39.292133593608128</v>
      </c>
      <c r="T330" s="56">
        <f>ABS((R330)/((2*PI()*G330)/60))</f>
        <v>5.3601748166141584E-2</v>
      </c>
      <c r="U330" s="56">
        <f t="shared" si="91"/>
        <v>1</v>
      </c>
      <c r="V330" s="56">
        <f>INDEX(BSFC!$D$4:$AD$26,MATCH(U330,BSFC!$B$4:$B$26,0),MATCH(G330,BSFC!$D$2:$AD$2,0))</f>
        <v>920.25590927999997</v>
      </c>
      <c r="W330" s="56">
        <f t="shared" si="95"/>
        <v>1.0044116146593634E-2</v>
      </c>
      <c r="X330" s="56">
        <f t="shared" si="92"/>
        <v>1.0044116146593634E-2</v>
      </c>
      <c r="Y330" s="56">
        <f t="shared" si="93"/>
        <v>3.1036318892974327E-2</v>
      </c>
      <c r="Z330" s="79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x14ac:dyDescent="0.3">
      <c r="A331" s="55">
        <v>1</v>
      </c>
      <c r="B331" s="56" t="s">
        <v>105</v>
      </c>
      <c r="C331" s="56">
        <f t="shared" si="78"/>
        <v>328</v>
      </c>
      <c r="D331" s="56">
        <f t="shared" si="86"/>
        <v>27.76117</v>
      </c>
      <c r="E331" s="94">
        <f>E330-1</f>
        <v>12.41</v>
      </c>
      <c r="F331" s="94">
        <f>($C$4/E331)+F330</f>
        <v>37.975758178374079</v>
      </c>
      <c r="G331" s="56">
        <f>G330-500</f>
        <v>6500</v>
      </c>
      <c r="H331" s="56">
        <v>2</v>
      </c>
      <c r="I331" s="94">
        <f>E331-E330</f>
        <v>-1</v>
      </c>
      <c r="J331" s="56">
        <f>(0.5*VEHICLE!$C$71*VEHICLE!$C$28*VEHICLE!$C$27*'Drive Cycle'!E331^2)</f>
        <v>137.00623719320998</v>
      </c>
      <c r="K331" s="56">
        <f>IF(A331=1,VEHICLE!$S$5,IF(A331=2,VEHICLE!$Q$5,IF(A331=3,VEHICLE!$R$5,IF(A331=4,VEHICLE!$P$5,1))))</f>
        <v>72.351594900000009</v>
      </c>
      <c r="L331" s="56">
        <f t="shared" si="97"/>
        <v>3.5</v>
      </c>
      <c r="M331" s="56">
        <f t="shared" si="94"/>
        <v>-0.5</v>
      </c>
      <c r="N331" s="56">
        <f t="shared" si="87"/>
        <v>-26.56505117707799</v>
      </c>
      <c r="O331" s="56">
        <f t="shared" si="88"/>
        <v>-193.03527636160186</v>
      </c>
      <c r="P331" s="56">
        <f t="shared" si="89"/>
        <v>16.322555731608134</v>
      </c>
      <c r="Q331" s="56">
        <f>IF(H331=1,I331*VEHICLE!$C$69,IF(H331=2,VEHICLE!$C$70*I331,IF(H331=3,VEHICLE!$C$71*I331,0)))</f>
        <v>-585.14848653011734</v>
      </c>
      <c r="R331" s="56">
        <f>(J331+K331+O331+Q331)</f>
        <v>-568.82593079850926</v>
      </c>
      <c r="S331" s="56">
        <f t="shared" si="90"/>
        <v>568.82593079850926</v>
      </c>
      <c r="T331" s="56">
        <f>ABS((R331)/((2*PI()*G331)/60))</f>
        <v>0.8356750028809028</v>
      </c>
      <c r="U331" s="56">
        <f t="shared" si="91"/>
        <v>1</v>
      </c>
      <c r="V331" s="56">
        <f>INDEX(BSFC!$D$4:$AD$26,MATCH(U331,BSFC!$B$4:$B$26,0),MATCH(G331,BSFC!$D$2:$AD$2,0))</f>
        <v>925.65735288000019</v>
      </c>
      <c r="W331" s="56">
        <f t="shared" si="95"/>
        <v>-0.14626052926456951</v>
      </c>
      <c r="X331" s="56">
        <f t="shared" si="92"/>
        <v>0.14626052926456951</v>
      </c>
      <c r="Y331" s="56">
        <f t="shared" si="93"/>
        <v>-0.45194503542751974</v>
      </c>
      <c r="Z331" s="79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x14ac:dyDescent="0.3">
      <c r="A332" s="55">
        <v>1</v>
      </c>
      <c r="B332" s="56" t="s">
        <v>105</v>
      </c>
      <c r="C332" s="56">
        <f t="shared" si="78"/>
        <v>329</v>
      </c>
      <c r="D332" s="56">
        <f t="shared" si="86"/>
        <v>25.524170000000002</v>
      </c>
      <c r="E332" s="94">
        <f t="shared" ref="E332:E341" si="98">E331-1</f>
        <v>11.41</v>
      </c>
      <c r="F332" s="94">
        <f>($C$4/E332)+F331</f>
        <v>38.063400597304842</v>
      </c>
      <c r="G332" s="56">
        <f t="shared" ref="G332:G340" si="99">G331-500</f>
        <v>6000</v>
      </c>
      <c r="H332" s="56">
        <v>2</v>
      </c>
      <c r="I332" s="94">
        <f>E332-E331</f>
        <v>-1</v>
      </c>
      <c r="J332" s="56">
        <f>(0.5*VEHICLE!$C$71*VEHICLE!$C$28*VEHICLE!$C$27*'Drive Cycle'!E332^2)</f>
        <v>115.81586753120997</v>
      </c>
      <c r="K332" s="56">
        <f>IF(A332=1,VEHICLE!$S$5,IF(A332=2,VEHICLE!$Q$5,IF(A332=3,VEHICLE!$R$5,IF(A332=4,VEHICLE!$P$5,1))))</f>
        <v>72.351594900000009</v>
      </c>
      <c r="L332" s="56">
        <f t="shared" si="97"/>
        <v>3</v>
      </c>
      <c r="M332" s="56">
        <f t="shared" si="94"/>
        <v>-0.5</v>
      </c>
      <c r="N332" s="56">
        <f t="shared" si="87"/>
        <v>-26.56505117707799</v>
      </c>
      <c r="O332" s="56">
        <f t="shared" si="88"/>
        <v>-193.03527636160186</v>
      </c>
      <c r="P332" s="56">
        <f t="shared" si="89"/>
        <v>-4.8678139303918897</v>
      </c>
      <c r="Q332" s="56">
        <f>IF(H332=1,I332*VEHICLE!$C$69,IF(H332=2,VEHICLE!$C$70*I332,IF(H332=3,VEHICLE!$C$71*I332,0)))</f>
        <v>-585.14848653011734</v>
      </c>
      <c r="R332" s="56">
        <f>(J332+K332+O332+Q332)</f>
        <v>-590.01630046050923</v>
      </c>
      <c r="S332" s="56">
        <f t="shared" si="90"/>
        <v>590.01630046050923</v>
      </c>
      <c r="T332" s="56">
        <f>ABS((R332)/((2*PI()*G332)/60))</f>
        <v>0.93904010723082965</v>
      </c>
      <c r="U332" s="56">
        <f t="shared" si="91"/>
        <v>1</v>
      </c>
      <c r="V332" s="56">
        <f>INDEX(BSFC!$D$4:$AD$26,MATCH(U332,BSFC!$B$4:$B$26,0),MATCH(G332,BSFC!$D$2:$AD$2,0))</f>
        <v>933.91499472000044</v>
      </c>
      <c r="W332" s="56">
        <f t="shared" si="95"/>
        <v>-0.15306251948035854</v>
      </c>
      <c r="X332" s="56">
        <f t="shared" si="92"/>
        <v>0.15306251948035854</v>
      </c>
      <c r="Y332" s="56">
        <f t="shared" si="93"/>
        <v>-0.47296318519430786</v>
      </c>
      <c r="Z332" s="79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x14ac:dyDescent="0.3">
      <c r="A333" s="55">
        <v>1</v>
      </c>
      <c r="B333" s="56" t="s">
        <v>105</v>
      </c>
      <c r="C333" s="56">
        <f t="shared" si="78"/>
        <v>330</v>
      </c>
      <c r="D333" s="56">
        <f t="shared" si="86"/>
        <v>23.28717</v>
      </c>
      <c r="E333" s="94">
        <f t="shared" si="98"/>
        <v>10.41</v>
      </c>
      <c r="F333" s="94">
        <f>($C$4/E333)+F332</f>
        <v>38.159462076651621</v>
      </c>
      <c r="G333" s="56">
        <f t="shared" si="99"/>
        <v>5500</v>
      </c>
      <c r="H333" s="56">
        <v>2</v>
      </c>
      <c r="I333" s="94">
        <f>E333-E332</f>
        <v>-1</v>
      </c>
      <c r="J333" s="56">
        <f>(0.5*VEHICLE!$C$71*VEHICLE!$C$28*VEHICLE!$C$27*'Drive Cycle'!E333^2)</f>
        <v>96.404706069209993</v>
      </c>
      <c r="K333" s="56">
        <f>IF(A333=1,VEHICLE!$S$5,IF(A333=2,VEHICLE!$Q$5,IF(A333=3,VEHICLE!$R$5,IF(A333=4,VEHICLE!$P$5,1))))</f>
        <v>72.351594900000009</v>
      </c>
      <c r="L333" s="56">
        <f t="shared" si="97"/>
        <v>2.5</v>
      </c>
      <c r="M333" s="56">
        <f t="shared" si="94"/>
        <v>-0.5</v>
      </c>
      <c r="N333" s="56">
        <f t="shared" si="87"/>
        <v>-26.56505117707799</v>
      </c>
      <c r="O333" s="56">
        <f t="shared" si="88"/>
        <v>-193.03527636160186</v>
      </c>
      <c r="P333" s="56">
        <f t="shared" si="89"/>
        <v>-24.278975392391857</v>
      </c>
      <c r="Q333" s="56">
        <f>IF(H333=1,I333*VEHICLE!$C$69,IF(H333=2,VEHICLE!$C$70*I333,IF(H333=3,VEHICLE!$C$71*I333,0)))</f>
        <v>-585.14848653011734</v>
      </c>
      <c r="R333" s="56">
        <f>(J333+K333+O333+Q333)</f>
        <v>-609.42746192250922</v>
      </c>
      <c r="S333" s="56">
        <f t="shared" si="90"/>
        <v>609.42746192250922</v>
      </c>
      <c r="T333" s="56">
        <f>ABS((R333)/((2*PI()*G333)/60))</f>
        <v>1.0581097420463474</v>
      </c>
      <c r="U333" s="56">
        <f t="shared" si="91"/>
        <v>2</v>
      </c>
      <c r="V333" s="56">
        <f>INDEX(BSFC!$D$4:$AD$26,MATCH(U333,BSFC!$B$4:$B$26,0),MATCH(G333,BSFC!$D$2:$AD$2,0))</f>
        <v>862.35014976000002</v>
      </c>
      <c r="W333" s="56">
        <f t="shared" si="95"/>
        <v>-0.14598329529353682</v>
      </c>
      <c r="X333" s="56">
        <f t="shared" si="92"/>
        <v>0.14598329529353682</v>
      </c>
      <c r="Y333" s="56">
        <f t="shared" si="93"/>
        <v>-0.45108838245702876</v>
      </c>
      <c r="Z333" s="79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x14ac:dyDescent="0.3">
      <c r="A334" s="55">
        <v>1</v>
      </c>
      <c r="B334" s="56" t="s">
        <v>105</v>
      </c>
      <c r="C334" s="56">
        <f t="shared" si="78"/>
        <v>331</v>
      </c>
      <c r="D334" s="56">
        <f t="shared" si="86"/>
        <v>21.050170000000001</v>
      </c>
      <c r="E334" s="94">
        <f t="shared" si="98"/>
        <v>9.41</v>
      </c>
      <c r="F334" s="94">
        <f>($C$4/E334)+F333</f>
        <v>38.265732002262673</v>
      </c>
      <c r="G334" s="56">
        <f t="shared" si="99"/>
        <v>5000</v>
      </c>
      <c r="H334" s="56">
        <v>2</v>
      </c>
      <c r="I334" s="94">
        <f>E334-E333</f>
        <v>-1</v>
      </c>
      <c r="J334" s="56">
        <f>(0.5*VEHICLE!$C$71*VEHICLE!$C$28*VEHICLE!$C$27*'Drive Cycle'!E334^2)</f>
        <v>78.772752807209997</v>
      </c>
      <c r="K334" s="56">
        <f>IF(A334=1,VEHICLE!$S$5,IF(A334=2,VEHICLE!$Q$5,IF(A334=3,VEHICLE!$R$5,IF(A334=4,VEHICLE!$P$5,1))))</f>
        <v>72.351594900000009</v>
      </c>
      <c r="L334" s="56">
        <f>L333-0.5</f>
        <v>2</v>
      </c>
      <c r="M334" s="56">
        <f t="shared" si="94"/>
        <v>-0.5</v>
      </c>
      <c r="N334" s="56">
        <f t="shared" si="87"/>
        <v>-26.56505117707799</v>
      </c>
      <c r="O334" s="56">
        <f t="shared" si="88"/>
        <v>-193.03527636160186</v>
      </c>
      <c r="P334" s="56">
        <f t="shared" si="89"/>
        <v>-41.910928654391853</v>
      </c>
      <c r="Q334" s="56">
        <f>IF(H334=1,I334*VEHICLE!$C$69,IF(H334=2,VEHICLE!$C$70*I334,IF(H334=3,VEHICLE!$C$71*I334,0)))</f>
        <v>-585.14848653011734</v>
      </c>
      <c r="R334" s="56">
        <f>(J334+K334+O334+Q334)</f>
        <v>-627.05941518450913</v>
      </c>
      <c r="S334" s="56">
        <f t="shared" si="90"/>
        <v>627.05941518450913</v>
      </c>
      <c r="T334" s="56">
        <f>ABS((R334)/((2*PI()*G334)/60))</f>
        <v>1.1975952664671328</v>
      </c>
      <c r="U334" s="56">
        <f t="shared" si="91"/>
        <v>2</v>
      </c>
      <c r="V334" s="56">
        <f>INDEX(BSFC!$D$4:$AD$26,MATCH(U334,BSFC!$B$4:$B$26,0),MATCH(G334,BSFC!$D$2:$AD$2,0))</f>
        <v>881.19835871999999</v>
      </c>
      <c r="W334" s="56">
        <f t="shared" si="95"/>
        <v>-0.15348992430014236</v>
      </c>
      <c r="X334" s="56">
        <f t="shared" si="92"/>
        <v>0.15348992430014236</v>
      </c>
      <c r="Y334" s="56">
        <f t="shared" si="93"/>
        <v>-0.47428386608743983</v>
      </c>
      <c r="Z334" s="79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x14ac:dyDescent="0.3">
      <c r="A335" s="55">
        <v>1</v>
      </c>
      <c r="B335" s="56" t="s">
        <v>105</v>
      </c>
      <c r="C335" s="56">
        <f t="shared" si="78"/>
        <v>332</v>
      </c>
      <c r="D335" s="56">
        <f t="shared" si="86"/>
        <v>18.81317</v>
      </c>
      <c r="E335" s="94">
        <f t="shared" si="98"/>
        <v>8.41</v>
      </c>
      <c r="F335" s="94">
        <f>($C$4/E335)+F334</f>
        <v>38.38463806647195</v>
      </c>
      <c r="G335" s="56">
        <f t="shared" si="99"/>
        <v>4500</v>
      </c>
      <c r="H335" s="56">
        <v>2</v>
      </c>
      <c r="I335" s="94">
        <f>E335-E334</f>
        <v>-1</v>
      </c>
      <c r="J335" s="56">
        <f>(0.5*VEHICLE!$C$71*VEHICLE!$C$28*VEHICLE!$C$27*'Drive Cycle'!E335^2)</f>
        <v>62.920007745209993</v>
      </c>
      <c r="K335" s="56">
        <f>IF(A335=1,VEHICLE!$S$5,IF(A335=2,VEHICLE!$Q$5,IF(A335=3,VEHICLE!$R$5,IF(A335=4,VEHICLE!$P$5,1))))</f>
        <v>72.351594900000009</v>
      </c>
      <c r="L335" s="56">
        <f t="shared" si="97"/>
        <v>1.5</v>
      </c>
      <c r="M335" s="56">
        <f t="shared" si="94"/>
        <v>-0.5</v>
      </c>
      <c r="N335" s="56">
        <f t="shared" si="87"/>
        <v>-26.56505117707799</v>
      </c>
      <c r="O335" s="56">
        <f t="shared" si="88"/>
        <v>-193.03527636160186</v>
      </c>
      <c r="P335" s="56">
        <f t="shared" si="89"/>
        <v>-57.76367371639185</v>
      </c>
      <c r="Q335" s="56">
        <f>IF(H335=1,I335*VEHICLE!$C$69,IF(H335=2,VEHICLE!$C$70*I335,IF(H335=3,VEHICLE!$C$71*I335,0)))</f>
        <v>-585.14848653011734</v>
      </c>
      <c r="R335" s="56">
        <f>(J335+K335+O335+Q335)</f>
        <v>-642.91216024650919</v>
      </c>
      <c r="S335" s="56">
        <f t="shared" si="90"/>
        <v>642.91216024650919</v>
      </c>
      <c r="T335" s="56">
        <f>ABS((R335)/((2*PI()*G335)/60))</f>
        <v>1.3643019770282754</v>
      </c>
      <c r="U335" s="56">
        <f t="shared" si="91"/>
        <v>2</v>
      </c>
      <c r="V335" s="56">
        <f>INDEX(BSFC!$D$4:$AD$26,MATCH(U335,BSFC!$B$4:$B$26,0),MATCH(G335,BSFC!$D$2:$AD$2,0))</f>
        <v>900.04656767999984</v>
      </c>
      <c r="W335" s="56">
        <f t="shared" si="95"/>
        <v>-0.16073635643044573</v>
      </c>
      <c r="X335" s="56">
        <f t="shared" si="92"/>
        <v>0.16073635643044573</v>
      </c>
      <c r="Y335" s="56">
        <f t="shared" si="93"/>
        <v>-0.49667534137007729</v>
      </c>
      <c r="Z335" s="79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x14ac:dyDescent="0.3">
      <c r="A336" s="55">
        <v>1</v>
      </c>
      <c r="B336" s="56" t="s">
        <v>105</v>
      </c>
      <c r="C336" s="56">
        <f t="shared" si="78"/>
        <v>333</v>
      </c>
      <c r="D336" s="56">
        <f t="shared" si="86"/>
        <v>16.576170000000001</v>
      </c>
      <c r="E336" s="94">
        <f t="shared" si="98"/>
        <v>7.41</v>
      </c>
      <c r="F336" s="94">
        <f>($C$4/E336)+F335</f>
        <v>38.519590833003662</v>
      </c>
      <c r="G336" s="56">
        <f t="shared" si="99"/>
        <v>4000</v>
      </c>
      <c r="H336" s="56">
        <v>2</v>
      </c>
      <c r="I336" s="94">
        <f>E336-E335</f>
        <v>-1</v>
      </c>
      <c r="J336" s="56">
        <f>(0.5*VEHICLE!$C$71*VEHICLE!$C$28*VEHICLE!$C$27*'Drive Cycle'!E336^2)</f>
        <v>48.846470883209996</v>
      </c>
      <c r="K336" s="56">
        <f>IF(A336=1,VEHICLE!$S$5,IF(A336=2,VEHICLE!$Q$5,IF(A336=3,VEHICLE!$R$5,IF(A336=4,VEHICLE!$P$5,1))))</f>
        <v>72.351594900000009</v>
      </c>
      <c r="L336" s="56">
        <f t="shared" si="97"/>
        <v>1</v>
      </c>
      <c r="M336" s="56">
        <f t="shared" si="94"/>
        <v>-0.5</v>
      </c>
      <c r="N336" s="56">
        <f t="shared" si="87"/>
        <v>-26.56505117707799</v>
      </c>
      <c r="O336" s="56">
        <f t="shared" si="88"/>
        <v>-193.03527636160186</v>
      </c>
      <c r="P336" s="56">
        <f t="shared" si="89"/>
        <v>-71.837210578391847</v>
      </c>
      <c r="Q336" s="56">
        <f>IF(H336=1,I336*VEHICLE!$C$69,IF(H336=2,VEHICLE!$C$70*I336,IF(H336=3,VEHICLE!$C$71*I336,0)))</f>
        <v>-585.14848653011734</v>
      </c>
      <c r="R336" s="56">
        <f>(J336+K336+O336+Q336)</f>
        <v>-656.98569710850916</v>
      </c>
      <c r="S336" s="56">
        <f t="shared" si="90"/>
        <v>656.98569710850916</v>
      </c>
      <c r="T336" s="56">
        <f>ABS((R336)/((2*PI()*G336)/60))</f>
        <v>1.5684378185324095</v>
      </c>
      <c r="U336" s="56">
        <f t="shared" si="91"/>
        <v>2</v>
      </c>
      <c r="V336" s="56">
        <f>INDEX(BSFC!$D$4:$AD$26,MATCH(U336,BSFC!$B$4:$B$26,0),MATCH(G336,BSFC!$D$2:$AD$2,0))</f>
        <v>918.89477663999969</v>
      </c>
      <c r="W336" s="56">
        <f t="shared" si="95"/>
        <v>-0.16769464594449945</v>
      </c>
      <c r="X336" s="56">
        <f t="shared" si="92"/>
        <v>0.16769464594449945</v>
      </c>
      <c r="Y336" s="56">
        <f t="shared" si="93"/>
        <v>-0.51817645596850326</v>
      </c>
      <c r="Z336" s="79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x14ac:dyDescent="0.3">
      <c r="A337" s="55">
        <v>1</v>
      </c>
      <c r="B337" s="56" t="s">
        <v>105</v>
      </c>
      <c r="C337" s="56">
        <f t="shared" si="78"/>
        <v>334</v>
      </c>
      <c r="D337" s="56">
        <f t="shared" si="86"/>
        <v>14.339170000000001</v>
      </c>
      <c r="E337" s="94">
        <f t="shared" si="98"/>
        <v>6.41</v>
      </c>
      <c r="F337" s="94">
        <f>($C$4/E337)+F336</f>
        <v>38.675597073253272</v>
      </c>
      <c r="G337" s="56">
        <f t="shared" si="99"/>
        <v>3500</v>
      </c>
      <c r="H337" s="56">
        <v>2</v>
      </c>
      <c r="I337" s="94">
        <f>E337-E336</f>
        <v>-1</v>
      </c>
      <c r="J337" s="56">
        <f>(0.5*VEHICLE!$C$71*VEHICLE!$C$28*VEHICLE!$C$27*'Drive Cycle'!E337^2)</f>
        <v>36.552142221209998</v>
      </c>
      <c r="K337" s="56">
        <f>IF(A337=1,VEHICLE!$S$5,IF(A337=2,VEHICLE!$Q$5,IF(A337=3,VEHICLE!$R$5,IF(A337=4,VEHICLE!$P$5,1))))</f>
        <v>72.351594900000009</v>
      </c>
      <c r="L337" s="56">
        <f>L336-0.5</f>
        <v>0.5</v>
      </c>
      <c r="M337" s="56">
        <f t="shared" si="94"/>
        <v>-0.5</v>
      </c>
      <c r="N337" s="56">
        <f t="shared" si="87"/>
        <v>-26.56505117707799</v>
      </c>
      <c r="O337" s="56">
        <f t="shared" si="88"/>
        <v>-193.03527636160186</v>
      </c>
      <c r="P337" s="56">
        <f t="shared" si="89"/>
        <v>-84.131539240391845</v>
      </c>
      <c r="Q337" s="56">
        <f>IF(H337=1,I337*VEHICLE!$C$69,IF(H337=2,VEHICLE!$C$70*I337,IF(H337=3,VEHICLE!$C$71*I337,0)))</f>
        <v>-585.14848653011734</v>
      </c>
      <c r="R337" s="56">
        <f>(J337+K337+O337+Q337)</f>
        <v>-669.28002577050916</v>
      </c>
      <c r="S337" s="56">
        <f t="shared" si="90"/>
        <v>669.28002577050916</v>
      </c>
      <c r="T337" s="56">
        <f>ABS((R337)/((2*PI()*G337)/60))</f>
        <v>1.8260438470979596</v>
      </c>
      <c r="U337" s="56">
        <f t="shared" si="91"/>
        <v>2</v>
      </c>
      <c r="V337" s="56">
        <f>INDEX(BSFC!$D$4:$AD$26,MATCH(U337,BSFC!$B$4:$B$26,0),MATCH(G337,BSFC!$D$2:$AD$2,0))</f>
        <v>905.74442879999992</v>
      </c>
      <c r="W337" s="56">
        <f t="shared" si="95"/>
        <v>-0.16838795962465528</v>
      </c>
      <c r="X337" s="56">
        <f t="shared" si="92"/>
        <v>0.16838795962465528</v>
      </c>
      <c r="Y337" s="56">
        <f t="shared" si="93"/>
        <v>-0.52031879524018476</v>
      </c>
      <c r="Z337" s="79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x14ac:dyDescent="0.3">
      <c r="A338" s="55">
        <v>2</v>
      </c>
      <c r="B338" s="58" t="s">
        <v>120</v>
      </c>
      <c r="C338" s="58">
        <f t="shared" si="78"/>
        <v>335</v>
      </c>
      <c r="D338" s="58">
        <f t="shared" si="86"/>
        <v>12.102170000000001</v>
      </c>
      <c r="E338" s="90">
        <f>E337-1</f>
        <v>5.41</v>
      </c>
      <c r="F338" s="90">
        <f>($C$4/E338)+F337</f>
        <v>38.860439956802253</v>
      </c>
      <c r="G338" s="58">
        <f t="shared" si="99"/>
        <v>3000</v>
      </c>
      <c r="H338" s="58">
        <v>2</v>
      </c>
      <c r="I338" s="90">
        <f>E338-E337</f>
        <v>-1</v>
      </c>
      <c r="J338" s="58">
        <f>(0.5*VEHICLE!$C$71*VEHICLE!$C$28*VEHICLE!$C$27*'Drive Cycle'!E338^2)</f>
        <v>26.037021759209999</v>
      </c>
      <c r="K338" s="58">
        <f>IF(A338=1,VEHICLE!$S$5,IF(A338=2,VEHICLE!$Q$5,IF(A338=3,VEHICLE!$R$5,IF(A338=4,VEHICLE!$P$5,1))))</f>
        <v>278.27536500000002</v>
      </c>
      <c r="L338" s="58">
        <f t="shared" si="97"/>
        <v>0</v>
      </c>
      <c r="M338" s="58">
        <f t="shared" si="94"/>
        <v>-0.5</v>
      </c>
      <c r="N338" s="58">
        <f t="shared" si="87"/>
        <v>-26.56505117707799</v>
      </c>
      <c r="O338" s="58">
        <f t="shared" si="88"/>
        <v>-193.03527636160186</v>
      </c>
      <c r="P338" s="58">
        <f t="shared" si="89"/>
        <v>111.27711039760817</v>
      </c>
      <c r="Q338" s="58">
        <f>IF(H338=1,I338*VEHICLE!$C$69,IF(H338=2,VEHICLE!$C$70*I338,IF(H338=3,VEHICLE!$C$71*I338,0)))</f>
        <v>-585.14848653011734</v>
      </c>
      <c r="R338" s="58">
        <f>(J338+K338+O338+Q338)</f>
        <v>-473.87137613250917</v>
      </c>
      <c r="S338" s="58">
        <f t="shared" si="90"/>
        <v>473.87137613250917</v>
      </c>
      <c r="T338" s="58">
        <f>ABS((R338)/((2*PI()*G338)/60))</f>
        <v>1.5083794380249524</v>
      </c>
      <c r="U338" s="58">
        <f t="shared" si="91"/>
        <v>2</v>
      </c>
      <c r="V338" s="58">
        <f>INDEX(BSFC!$D$4:$AD$26,MATCH(U338,BSFC!$B$4:$B$26,0),MATCH(G338,BSFC!$D$2:$AD$2,0))</f>
        <v>929.28963552000016</v>
      </c>
      <c r="W338" s="58">
        <f t="shared" si="95"/>
        <v>-0.12232326622487232</v>
      </c>
      <c r="X338" s="58">
        <f t="shared" si="92"/>
        <v>0.12232326622487232</v>
      </c>
      <c r="Y338" s="58">
        <f t="shared" si="93"/>
        <v>-0.37797889263485546</v>
      </c>
      <c r="Z338" s="79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x14ac:dyDescent="0.3">
      <c r="A339" s="55">
        <v>2</v>
      </c>
      <c r="B339" s="58" t="s">
        <v>120</v>
      </c>
      <c r="C339" s="58">
        <f t="shared" si="78"/>
        <v>336</v>
      </c>
      <c r="D339" s="58">
        <f t="shared" si="86"/>
        <v>9.8651700000000009</v>
      </c>
      <c r="E339" s="90">
        <f t="shared" si="98"/>
        <v>4.41</v>
      </c>
      <c r="F339" s="90">
        <f>($C$4/E339)+F338</f>
        <v>39.087197326416764</v>
      </c>
      <c r="G339" s="58">
        <f t="shared" si="99"/>
        <v>2500</v>
      </c>
      <c r="H339" s="58">
        <v>2</v>
      </c>
      <c r="I339" s="90">
        <f>E339-E338</f>
        <v>-1</v>
      </c>
      <c r="J339" s="58">
        <f>(0.5*VEHICLE!$C$71*VEHICLE!$C$28*VEHICLE!$C$27*'Drive Cycle'!E339^2)</f>
        <v>17.30110949721</v>
      </c>
      <c r="K339" s="58">
        <f>IF(A339=1,VEHICLE!$S$5,IF(A339=2,VEHICLE!$Q$5,IF(A339=3,VEHICLE!$R$5,IF(A339=4,VEHICLE!$P$5,1))))</f>
        <v>278.27536500000002</v>
      </c>
      <c r="L339" s="58">
        <f>L338</f>
        <v>0</v>
      </c>
      <c r="M339" s="58">
        <f t="shared" si="94"/>
        <v>0</v>
      </c>
      <c r="N339" s="58">
        <f t="shared" si="87"/>
        <v>0</v>
      </c>
      <c r="O339" s="58">
        <f t="shared" si="88"/>
        <v>0</v>
      </c>
      <c r="P339" s="58">
        <f t="shared" si="89"/>
        <v>295.57647449721003</v>
      </c>
      <c r="Q339" s="58">
        <f>IF(H339=1,I339*VEHICLE!$C$69,IF(H339=2,VEHICLE!$C$70*I339,IF(H339=3,VEHICLE!$C$71*I339,0)))</f>
        <v>-585.14848653011734</v>
      </c>
      <c r="R339" s="58">
        <f>(J339+K339+O339+Q339)</f>
        <v>-289.57201203290731</v>
      </c>
      <c r="S339" s="58">
        <f t="shared" si="90"/>
        <v>289.57201203290731</v>
      </c>
      <c r="T339" s="58">
        <f>ABS((R339)/((2*PI()*G339)/60))</f>
        <v>1.106083610306472</v>
      </c>
      <c r="U339" s="58">
        <f t="shared" si="91"/>
        <v>2</v>
      </c>
      <c r="V339" s="58">
        <f>INDEX(BSFC!$D$4:$AD$26,MATCH(U339,BSFC!$B$4:$B$26,0),MATCH(G339,BSFC!$D$2:$AD$2,0))</f>
        <v>952.83484224000051</v>
      </c>
      <c r="W339" s="58">
        <f t="shared" si="95"/>
        <v>-7.6642861778470781E-2</v>
      </c>
      <c r="X339" s="58">
        <f t="shared" si="92"/>
        <v>7.6642861778470781E-2</v>
      </c>
      <c r="Y339" s="58">
        <f t="shared" si="93"/>
        <v>-0.23682644289547469</v>
      </c>
      <c r="Z339" s="79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x14ac:dyDescent="0.3">
      <c r="A340" s="55">
        <v>2</v>
      </c>
      <c r="B340" s="58" t="s">
        <v>120</v>
      </c>
      <c r="C340" s="58">
        <f t="shared" si="78"/>
        <v>337</v>
      </c>
      <c r="D340" s="58">
        <f t="shared" si="86"/>
        <v>7.6281700000000008</v>
      </c>
      <c r="E340" s="90">
        <f t="shared" si="98"/>
        <v>3.41</v>
      </c>
      <c r="F340" s="90">
        <f>($C$4/E340)+F339</f>
        <v>39.380452458381576</v>
      </c>
      <c r="G340" s="58">
        <f t="shared" si="99"/>
        <v>2000</v>
      </c>
      <c r="H340" s="58">
        <v>2</v>
      </c>
      <c r="I340" s="90">
        <f>E340-E339</f>
        <v>-1</v>
      </c>
      <c r="J340" s="58">
        <f>(0.5*VEHICLE!$C$71*VEHICLE!$C$28*VEHICLE!$C$27*'Drive Cycle'!E340^2)</f>
        <v>10.34440543521</v>
      </c>
      <c r="K340" s="58">
        <f>IF(A340=1,VEHICLE!$S$5,IF(A340=2,VEHICLE!$Q$5,IF(A340=3,VEHICLE!$R$5,IF(A340=4,VEHICLE!$P$5,1))))</f>
        <v>278.27536500000002</v>
      </c>
      <c r="L340" s="58">
        <f t="shared" ref="L340:L403" si="100">L339</f>
        <v>0</v>
      </c>
      <c r="M340" s="58">
        <f t="shared" si="94"/>
        <v>0</v>
      </c>
      <c r="N340" s="58">
        <f t="shared" si="87"/>
        <v>0</v>
      </c>
      <c r="O340" s="58">
        <f t="shared" si="88"/>
        <v>0</v>
      </c>
      <c r="P340" s="58">
        <f t="shared" si="89"/>
        <v>288.61977043521</v>
      </c>
      <c r="Q340" s="58">
        <f>IF(H340=1,I340*VEHICLE!$C$69,IF(H340=2,VEHICLE!$C$70*I340,IF(H340=3,VEHICLE!$C$71*I340,0)))</f>
        <v>-585.14848653011734</v>
      </c>
      <c r="R340" s="58">
        <f>(J340+K340+O340+Q340)</f>
        <v>-296.52871609490734</v>
      </c>
      <c r="S340" s="58">
        <f t="shared" si="90"/>
        <v>296.52871609490734</v>
      </c>
      <c r="T340" s="58">
        <f>ABS((R340)/((2*PI()*G340)/60))</f>
        <v>1.4158203280559332</v>
      </c>
      <c r="U340" s="58">
        <f t="shared" si="91"/>
        <v>2</v>
      </c>
      <c r="V340" s="58">
        <f>INDEX(BSFC!$D$4:$AD$26,MATCH(U340,BSFC!$B$4:$B$26,0),MATCH(G340,BSFC!$D$2:$AD$2,0))</f>
        <v>976.38004896000075</v>
      </c>
      <c r="W340" s="58">
        <f t="shared" si="95"/>
        <v>-8.0423533982997716E-2</v>
      </c>
      <c r="X340" s="58">
        <f t="shared" si="92"/>
        <v>8.0423533982997716E-2</v>
      </c>
      <c r="Y340" s="58">
        <f t="shared" si="93"/>
        <v>-0.24850872000746294</v>
      </c>
      <c r="Z340" s="79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x14ac:dyDescent="0.3">
      <c r="A341" s="55">
        <v>2</v>
      </c>
      <c r="B341" s="58" t="s">
        <v>120</v>
      </c>
      <c r="C341" s="58">
        <f t="shared" si="78"/>
        <v>338</v>
      </c>
      <c r="D341" s="58">
        <f t="shared" si="86"/>
        <v>5.3911700000000007</v>
      </c>
      <c r="E341" s="90">
        <f t="shared" si="98"/>
        <v>2.41</v>
      </c>
      <c r="F341" s="90">
        <f>($C$4/E341)+F340</f>
        <v>39.795390217717674</v>
      </c>
      <c r="G341" s="58">
        <f>G340</f>
        <v>2000</v>
      </c>
      <c r="H341" s="58">
        <v>2</v>
      </c>
      <c r="I341" s="90">
        <f>E341-E340</f>
        <v>-1</v>
      </c>
      <c r="J341" s="58">
        <f>(0.5*VEHICLE!$C$71*VEHICLE!$C$28*VEHICLE!$C$27*'Drive Cycle'!E341^2)</f>
        <v>5.1669095732099999</v>
      </c>
      <c r="K341" s="58">
        <f>IF(A341=1,VEHICLE!$S$5,IF(A341=2,VEHICLE!$Q$5,IF(A341=3,VEHICLE!$R$5,IF(A341=4,VEHICLE!$P$5,1))))</f>
        <v>278.27536500000002</v>
      </c>
      <c r="L341" s="58">
        <f t="shared" si="100"/>
        <v>0</v>
      </c>
      <c r="M341" s="58">
        <f t="shared" si="94"/>
        <v>0</v>
      </c>
      <c r="N341" s="58">
        <f t="shared" si="87"/>
        <v>0</v>
      </c>
      <c r="O341" s="58">
        <f t="shared" si="88"/>
        <v>0</v>
      </c>
      <c r="P341" s="58">
        <f t="shared" si="89"/>
        <v>283.44227457321</v>
      </c>
      <c r="Q341" s="58">
        <f>IF(H341=1,I341*VEHICLE!$C$69,IF(H341=2,VEHICLE!$C$70*I341,IF(H341=3,VEHICLE!$C$71*I341,0)))</f>
        <v>-585.14848653011734</v>
      </c>
      <c r="R341" s="58">
        <f>(J341+K341+O341+Q341)</f>
        <v>-301.70621195690734</v>
      </c>
      <c r="S341" s="58">
        <f t="shared" si="90"/>
        <v>301.70621195690734</v>
      </c>
      <c r="T341" s="58">
        <f>ABS((R341)/((2*PI()*G341)/60))</f>
        <v>1.4405410498341871</v>
      </c>
      <c r="U341" s="58">
        <f t="shared" si="91"/>
        <v>2</v>
      </c>
      <c r="V341" s="58">
        <f>INDEX(BSFC!$D$4:$AD$26,MATCH(U341,BSFC!$B$4:$B$26,0),MATCH(G341,BSFC!$D$2:$AD$2,0))</f>
        <v>976.38004896000075</v>
      </c>
      <c r="W341" s="58">
        <f t="shared" si="95"/>
        <v>-8.1827757222783765E-2</v>
      </c>
      <c r="X341" s="58">
        <f t="shared" si="92"/>
        <v>8.1827757222783765E-2</v>
      </c>
      <c r="Y341" s="58">
        <f t="shared" si="93"/>
        <v>-0.25284776981840185</v>
      </c>
      <c r="Z341" s="79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x14ac:dyDescent="0.3">
      <c r="A342" s="55">
        <v>2</v>
      </c>
      <c r="B342" s="58" t="s">
        <v>120</v>
      </c>
      <c r="C342" s="58">
        <f t="shared" si="78"/>
        <v>339</v>
      </c>
      <c r="D342" s="58">
        <f t="shared" si="86"/>
        <v>5.3911700000000007</v>
      </c>
      <c r="E342" s="90">
        <f>E341</f>
        <v>2.41</v>
      </c>
      <c r="F342" s="90">
        <f>($C$4/E342)+F341</f>
        <v>40.210327977053772</v>
      </c>
      <c r="G342" s="58">
        <f t="shared" ref="G342:G348" si="101">G341</f>
        <v>2000</v>
      </c>
      <c r="H342" s="58">
        <v>2</v>
      </c>
      <c r="I342" s="90">
        <f>E342-E341</f>
        <v>0</v>
      </c>
      <c r="J342" s="58">
        <f>(0.5*VEHICLE!$C$71*VEHICLE!$C$28*VEHICLE!$C$27*'Drive Cycle'!E342^2)</f>
        <v>5.1669095732099999</v>
      </c>
      <c r="K342" s="58">
        <f>IF(A342=1,VEHICLE!$S$5,IF(A342=2,VEHICLE!$Q$5,IF(A342=3,VEHICLE!$R$5,IF(A342=4,VEHICLE!$P$5,1))))</f>
        <v>278.27536500000002</v>
      </c>
      <c r="L342" s="58">
        <f t="shared" si="100"/>
        <v>0</v>
      </c>
      <c r="M342" s="58">
        <f t="shared" si="94"/>
        <v>0</v>
      </c>
      <c r="N342" s="58">
        <f t="shared" si="87"/>
        <v>0</v>
      </c>
      <c r="O342" s="58">
        <f t="shared" si="88"/>
        <v>0</v>
      </c>
      <c r="P342" s="58">
        <f t="shared" si="89"/>
        <v>283.44227457321</v>
      </c>
      <c r="Q342" s="58">
        <f>IF(H342=1,I342*VEHICLE!$C$69,IF(H342=2,VEHICLE!$C$70*I342,IF(H342=3,VEHICLE!$C$71*I342,0)))</f>
        <v>0</v>
      </c>
      <c r="R342" s="58">
        <f>(J342+K342+O342+Q342)</f>
        <v>283.44227457321</v>
      </c>
      <c r="S342" s="58">
        <f t="shared" si="90"/>
        <v>283.44227457321</v>
      </c>
      <c r="T342" s="58">
        <f>ABS((R342)/((2*PI()*G342)/60))</f>
        <v>1.3533371723860985</v>
      </c>
      <c r="U342" s="58">
        <f t="shared" si="91"/>
        <v>2</v>
      </c>
      <c r="V342" s="58">
        <f>INDEX(BSFC!$D$4:$AD$26,MATCH(U342,BSFC!$B$4:$B$26,0),MATCH(G342,BSFC!$D$2:$AD$2,0))</f>
        <v>976.38004896000075</v>
      </c>
      <c r="W342" s="58">
        <f t="shared" si="95"/>
        <v>7.6874272756979098E-2</v>
      </c>
      <c r="X342" s="58">
        <f t="shared" si="92"/>
        <v>7.6874272756979098E-2</v>
      </c>
      <c r="Y342" s="58">
        <f t="shared" si="93"/>
        <v>0.23754150281906541</v>
      </c>
      <c r="Z342" s="79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x14ac:dyDescent="0.3">
      <c r="A343" s="55">
        <v>2</v>
      </c>
      <c r="B343" s="58" t="s">
        <v>120</v>
      </c>
      <c r="C343" s="58">
        <f t="shared" si="78"/>
        <v>340</v>
      </c>
      <c r="D343" s="58">
        <f t="shared" si="86"/>
        <v>5.3911700000000007</v>
      </c>
      <c r="E343" s="90">
        <f t="shared" ref="E343:E345" si="102">E342</f>
        <v>2.41</v>
      </c>
      <c r="F343" s="90">
        <f>($C$4/E343)+F342</f>
        <v>40.625265736389871</v>
      </c>
      <c r="G343" s="58">
        <f t="shared" si="101"/>
        <v>2000</v>
      </c>
      <c r="H343" s="58">
        <v>2</v>
      </c>
      <c r="I343" s="90">
        <f>E343-E342</f>
        <v>0</v>
      </c>
      <c r="J343" s="58">
        <f>(0.5*VEHICLE!$C$71*VEHICLE!$C$28*VEHICLE!$C$27*'Drive Cycle'!E343^2)</f>
        <v>5.1669095732099999</v>
      </c>
      <c r="K343" s="58">
        <f>IF(A343=1,VEHICLE!$S$5,IF(A343=2,VEHICLE!$Q$5,IF(A343=3,VEHICLE!$R$5,IF(A343=4,VEHICLE!$P$5,1))))</f>
        <v>278.27536500000002</v>
      </c>
      <c r="L343" s="58">
        <f t="shared" si="100"/>
        <v>0</v>
      </c>
      <c r="M343" s="58">
        <f t="shared" si="94"/>
        <v>0</v>
      </c>
      <c r="N343" s="58">
        <f t="shared" si="87"/>
        <v>0</v>
      </c>
      <c r="O343" s="58">
        <f t="shared" si="88"/>
        <v>0</v>
      </c>
      <c r="P343" s="58">
        <f t="shared" si="89"/>
        <v>283.44227457321</v>
      </c>
      <c r="Q343" s="58">
        <f>IF(H343=1,I343*VEHICLE!$C$69,IF(H343=2,VEHICLE!$C$70*I343,IF(H343=3,VEHICLE!$C$71*I343,0)))</f>
        <v>0</v>
      </c>
      <c r="R343" s="58">
        <f>(J343+K343+O343+Q343)</f>
        <v>283.44227457321</v>
      </c>
      <c r="S343" s="58">
        <f t="shared" si="90"/>
        <v>283.44227457321</v>
      </c>
      <c r="T343" s="58">
        <f>ABS((R343)/((2*PI()*G343)/60))</f>
        <v>1.3533371723860985</v>
      </c>
      <c r="U343" s="58">
        <f t="shared" si="91"/>
        <v>2</v>
      </c>
      <c r="V343" s="58">
        <f>INDEX(BSFC!$D$4:$AD$26,MATCH(U343,BSFC!$B$4:$B$26,0),MATCH(G343,BSFC!$D$2:$AD$2,0))</f>
        <v>976.38004896000075</v>
      </c>
      <c r="W343" s="58">
        <f t="shared" si="95"/>
        <v>7.6874272756979098E-2</v>
      </c>
      <c r="X343" s="58">
        <f t="shared" si="92"/>
        <v>7.6874272756979098E-2</v>
      </c>
      <c r="Y343" s="58">
        <f t="shared" si="93"/>
        <v>0.23754150281906541</v>
      </c>
      <c r="Z343" s="79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x14ac:dyDescent="0.3">
      <c r="A344" s="55">
        <v>2</v>
      </c>
      <c r="B344" s="58" t="s">
        <v>120</v>
      </c>
      <c r="C344" s="58">
        <f t="shared" si="78"/>
        <v>341</v>
      </c>
      <c r="D344" s="58">
        <f t="shared" si="86"/>
        <v>5.3911700000000007</v>
      </c>
      <c r="E344" s="90">
        <f t="shared" si="102"/>
        <v>2.41</v>
      </c>
      <c r="F344" s="90">
        <f>($C$4/E344)+F343</f>
        <v>41.040203495725969</v>
      </c>
      <c r="G344" s="58">
        <f t="shared" si="101"/>
        <v>2000</v>
      </c>
      <c r="H344" s="58">
        <v>2</v>
      </c>
      <c r="I344" s="90">
        <f>E344-E343</f>
        <v>0</v>
      </c>
      <c r="J344" s="58">
        <f>(0.5*VEHICLE!$C$71*VEHICLE!$C$28*VEHICLE!$C$27*'Drive Cycle'!E344^2)</f>
        <v>5.1669095732099999</v>
      </c>
      <c r="K344" s="58">
        <f>IF(A344=1,VEHICLE!$S$5,IF(A344=2,VEHICLE!$Q$5,IF(A344=3,VEHICLE!$R$5,IF(A344=4,VEHICLE!$P$5,1))))</f>
        <v>278.27536500000002</v>
      </c>
      <c r="L344" s="58">
        <f t="shared" si="100"/>
        <v>0</v>
      </c>
      <c r="M344" s="58">
        <f t="shared" si="94"/>
        <v>0</v>
      </c>
      <c r="N344" s="58">
        <f t="shared" si="87"/>
        <v>0</v>
      </c>
      <c r="O344" s="58">
        <f t="shared" si="88"/>
        <v>0</v>
      </c>
      <c r="P344" s="58">
        <f t="shared" si="89"/>
        <v>283.44227457321</v>
      </c>
      <c r="Q344" s="58">
        <f>IF(H344=1,I344*VEHICLE!$C$69,IF(H344=2,VEHICLE!$C$70*I344,IF(H344=3,VEHICLE!$C$71*I344,0)))</f>
        <v>0</v>
      </c>
      <c r="R344" s="58">
        <f>(J344+K344+O344+Q344)</f>
        <v>283.44227457321</v>
      </c>
      <c r="S344" s="58">
        <f t="shared" si="90"/>
        <v>283.44227457321</v>
      </c>
      <c r="T344" s="58">
        <f>ABS((R344)/((2*PI()*G344)/60))</f>
        <v>1.3533371723860985</v>
      </c>
      <c r="U344" s="58">
        <f t="shared" si="91"/>
        <v>2</v>
      </c>
      <c r="V344" s="58">
        <f>INDEX(BSFC!$D$4:$AD$26,MATCH(U344,BSFC!$B$4:$B$26,0),MATCH(G344,BSFC!$D$2:$AD$2,0))</f>
        <v>976.38004896000075</v>
      </c>
      <c r="W344" s="58">
        <f t="shared" si="95"/>
        <v>7.6874272756979098E-2</v>
      </c>
      <c r="X344" s="58">
        <f t="shared" si="92"/>
        <v>7.6874272756979098E-2</v>
      </c>
      <c r="Y344" s="58">
        <f t="shared" si="93"/>
        <v>0.23754150281906541</v>
      </c>
      <c r="Z344" s="79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x14ac:dyDescent="0.3">
      <c r="A345" s="55">
        <v>2</v>
      </c>
      <c r="B345" s="58" t="s">
        <v>120</v>
      </c>
      <c r="C345" s="58">
        <f t="shared" si="78"/>
        <v>342</v>
      </c>
      <c r="D345" s="58">
        <f t="shared" si="86"/>
        <v>5.3911700000000007</v>
      </c>
      <c r="E345" s="90">
        <f t="shared" si="102"/>
        <v>2.41</v>
      </c>
      <c r="F345" s="90">
        <f>($C$4/E345)+F344</f>
        <v>41.455141255062067</v>
      </c>
      <c r="G345" s="58">
        <f t="shared" si="101"/>
        <v>2000</v>
      </c>
      <c r="H345" s="58">
        <v>2</v>
      </c>
      <c r="I345" s="90">
        <f>E345-E344</f>
        <v>0</v>
      </c>
      <c r="J345" s="58">
        <f>(0.5*VEHICLE!$C$71*VEHICLE!$C$28*VEHICLE!$C$27*'Drive Cycle'!E345^2)</f>
        <v>5.1669095732099999</v>
      </c>
      <c r="K345" s="58">
        <f>IF(A345=1,VEHICLE!$S$5,IF(A345=2,VEHICLE!$Q$5,IF(A345=3,VEHICLE!$R$5,IF(A345=4,VEHICLE!$P$5,1))))</f>
        <v>278.27536500000002</v>
      </c>
      <c r="L345" s="58">
        <f t="shared" si="100"/>
        <v>0</v>
      </c>
      <c r="M345" s="58">
        <f t="shared" si="94"/>
        <v>0</v>
      </c>
      <c r="N345" s="58">
        <f t="shared" si="87"/>
        <v>0</v>
      </c>
      <c r="O345" s="58">
        <f t="shared" si="88"/>
        <v>0</v>
      </c>
      <c r="P345" s="58">
        <f t="shared" si="89"/>
        <v>283.44227457321</v>
      </c>
      <c r="Q345" s="58">
        <f>IF(H345=1,I345*VEHICLE!$C$69,IF(H345=2,VEHICLE!$C$70*I345,IF(H345=3,VEHICLE!$C$71*I345,0)))</f>
        <v>0</v>
      </c>
      <c r="R345" s="58">
        <f>(J345+K345+O345+Q345)</f>
        <v>283.44227457321</v>
      </c>
      <c r="S345" s="58">
        <f t="shared" si="90"/>
        <v>283.44227457321</v>
      </c>
      <c r="T345" s="58">
        <f>ABS((R345)/((2*PI()*G345)/60))</f>
        <v>1.3533371723860985</v>
      </c>
      <c r="U345" s="58">
        <f t="shared" si="91"/>
        <v>2</v>
      </c>
      <c r="V345" s="58">
        <f>INDEX(BSFC!$D$4:$AD$26,MATCH(U345,BSFC!$B$4:$B$26,0),MATCH(G345,BSFC!$D$2:$AD$2,0))</f>
        <v>976.38004896000075</v>
      </c>
      <c r="W345" s="58">
        <f t="shared" si="95"/>
        <v>7.6874272756979098E-2</v>
      </c>
      <c r="X345" s="58">
        <f t="shared" si="92"/>
        <v>7.6874272756979098E-2</v>
      </c>
      <c r="Y345" s="58">
        <f t="shared" si="93"/>
        <v>0.23754150281906541</v>
      </c>
      <c r="Z345" s="79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x14ac:dyDescent="0.3">
      <c r="A346" s="55">
        <v>2</v>
      </c>
      <c r="B346" s="58" t="s">
        <v>120</v>
      </c>
      <c r="C346" s="58">
        <f t="shared" si="78"/>
        <v>343</v>
      </c>
      <c r="D346" s="58">
        <f t="shared" si="86"/>
        <v>6.5096700000000007</v>
      </c>
      <c r="E346" s="90">
        <f>E345+0.5</f>
        <v>2.91</v>
      </c>
      <c r="F346" s="90">
        <f>($C$4/E346)+F345</f>
        <v>41.798783866745914</v>
      </c>
      <c r="G346" s="58">
        <f t="shared" si="101"/>
        <v>2000</v>
      </c>
      <c r="H346" s="58">
        <v>2</v>
      </c>
      <c r="I346" s="90">
        <f>E346-E345</f>
        <v>0.5</v>
      </c>
      <c r="J346" s="58">
        <f>(0.5*VEHICLE!$C$71*VEHICLE!$C$28*VEHICLE!$C$27*'Drive Cycle'!E346^2)</f>
        <v>7.5332564792100003</v>
      </c>
      <c r="K346" s="58">
        <f>IF(A346=1,VEHICLE!$S$5,IF(A346=2,VEHICLE!$Q$5,IF(A346=3,VEHICLE!$R$5,IF(A346=4,VEHICLE!$P$5,1))))</f>
        <v>278.27536500000002</v>
      </c>
      <c r="L346" s="58">
        <f t="shared" si="100"/>
        <v>0</v>
      </c>
      <c r="M346" s="58">
        <f t="shared" si="94"/>
        <v>0</v>
      </c>
      <c r="N346" s="58">
        <f t="shared" si="87"/>
        <v>0</v>
      </c>
      <c r="O346" s="58">
        <f t="shared" si="88"/>
        <v>0</v>
      </c>
      <c r="P346" s="58">
        <f t="shared" si="89"/>
        <v>285.80862147921005</v>
      </c>
      <c r="Q346" s="58">
        <f>IF(H346=1,I346*VEHICLE!$C$69,IF(H346=2,VEHICLE!$C$70*I346,IF(H346=3,VEHICLE!$C$71*I346,0)))</f>
        <v>292.57424326505867</v>
      </c>
      <c r="R346" s="58">
        <f>(J346+K346+O346+Q346)</f>
        <v>578.38286474426877</v>
      </c>
      <c r="S346" s="58">
        <f t="shared" si="90"/>
        <v>578.38286474426877</v>
      </c>
      <c r="T346" s="58">
        <f>ABS((R346)/((2*PI()*G346)/60))</f>
        <v>2.761574757711045</v>
      </c>
      <c r="U346" s="58">
        <f t="shared" si="91"/>
        <v>3</v>
      </c>
      <c r="V346" s="58">
        <f>INDEX(BSFC!$D$4:$AD$26,MATCH(U346,BSFC!$B$4:$B$26,0),MATCH(G346,BSFC!$D$2:$AD$2,0))</f>
        <v>871.70053920000043</v>
      </c>
      <c r="W346" s="58">
        <f t="shared" si="95"/>
        <v>0.14004907085044999</v>
      </c>
      <c r="X346" s="58">
        <f t="shared" si="92"/>
        <v>0.14004907085044999</v>
      </c>
      <c r="Y346" s="58">
        <f t="shared" si="93"/>
        <v>0.43275162892789043</v>
      </c>
      <c r="Z346" s="79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x14ac:dyDescent="0.3">
      <c r="A347" s="55">
        <v>2</v>
      </c>
      <c r="B347" s="58" t="s">
        <v>120</v>
      </c>
      <c r="C347" s="58">
        <f t="shared" si="78"/>
        <v>344</v>
      </c>
      <c r="D347" s="58">
        <f t="shared" si="86"/>
        <v>7.6281700000000008</v>
      </c>
      <c r="E347" s="90">
        <f t="shared" ref="E347:E357" si="103">E346+0.5</f>
        <v>3.41</v>
      </c>
      <c r="F347" s="90">
        <f>($C$4/E347)+F346</f>
        <v>42.092038998710727</v>
      </c>
      <c r="G347" s="58">
        <f>G346+250</f>
        <v>2250</v>
      </c>
      <c r="H347" s="58">
        <v>2</v>
      </c>
      <c r="I347" s="90">
        <f>E347-E346</f>
        <v>0.5</v>
      </c>
      <c r="J347" s="58">
        <f>(0.5*VEHICLE!$C$71*VEHICLE!$C$28*VEHICLE!$C$27*'Drive Cycle'!E347^2)</f>
        <v>10.34440543521</v>
      </c>
      <c r="K347" s="58">
        <f>IF(A347=1,VEHICLE!$S$5,IF(A347=2,VEHICLE!$Q$5,IF(A347=3,VEHICLE!$R$5,IF(A347=4,VEHICLE!$P$5,1))))</f>
        <v>278.27536500000002</v>
      </c>
      <c r="L347" s="58">
        <f t="shared" si="100"/>
        <v>0</v>
      </c>
      <c r="M347" s="58">
        <f t="shared" si="94"/>
        <v>0</v>
      </c>
      <c r="N347" s="58">
        <f t="shared" si="87"/>
        <v>0</v>
      </c>
      <c r="O347" s="58">
        <f t="shared" si="88"/>
        <v>0</v>
      </c>
      <c r="P347" s="58">
        <f t="shared" si="89"/>
        <v>288.61977043521</v>
      </c>
      <c r="Q347" s="58">
        <f>IF(H347=1,I347*VEHICLE!$C$69,IF(H347=2,VEHICLE!$C$70*I347,IF(H347=3,VEHICLE!$C$71*I347,0)))</f>
        <v>292.57424326505867</v>
      </c>
      <c r="R347" s="58">
        <f>(J347+K347+O347+Q347)</f>
        <v>581.19401370026867</v>
      </c>
      <c r="S347" s="58">
        <f t="shared" si="90"/>
        <v>581.19401370026867</v>
      </c>
      <c r="T347" s="58">
        <f>ABS((R347)/((2*PI()*G347)/60))</f>
        <v>2.4666640046884396</v>
      </c>
      <c r="U347" s="58">
        <f t="shared" si="91"/>
        <v>3</v>
      </c>
      <c r="V347" s="58">
        <f>INDEX(BSFC!$D$4:$AD$26,MATCH(U347,BSFC!$B$4:$B$26,0),MATCH(G347,BSFC!$D$2:$AD$2,0))</f>
        <v>921.58629024000027</v>
      </c>
      <c r="W347" s="58">
        <f t="shared" si="95"/>
        <v>0.14878345416547958</v>
      </c>
      <c r="X347" s="58">
        <f t="shared" si="92"/>
        <v>0.14878345416547958</v>
      </c>
      <c r="Y347" s="58">
        <f t="shared" si="93"/>
        <v>0.4597408733713319</v>
      </c>
      <c r="Z347" s="79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x14ac:dyDescent="0.3">
      <c r="A348" s="55">
        <v>2</v>
      </c>
      <c r="B348" s="58" t="s">
        <v>120</v>
      </c>
      <c r="C348" s="58">
        <f t="shared" si="78"/>
        <v>345</v>
      </c>
      <c r="D348" s="58">
        <f t="shared" si="86"/>
        <v>8.7466699999999999</v>
      </c>
      <c r="E348" s="90">
        <f t="shared" si="103"/>
        <v>3.91</v>
      </c>
      <c r="F348" s="90">
        <f>($C$4/E348)+F347</f>
        <v>42.347793474414054</v>
      </c>
      <c r="G348" s="58">
        <f t="shared" ref="G348:G362" si="104">G347+250</f>
        <v>2500</v>
      </c>
      <c r="H348" s="58">
        <v>2</v>
      </c>
      <c r="I348" s="90">
        <f>E348-E347</f>
        <v>0.5</v>
      </c>
      <c r="J348" s="58">
        <f>(0.5*VEHICLE!$C$71*VEHICLE!$C$28*VEHICLE!$C$27*'Drive Cycle'!E348^2)</f>
        <v>13.60035644121</v>
      </c>
      <c r="K348" s="58">
        <f>IF(A348=1,VEHICLE!$S$5,IF(A348=2,VEHICLE!$Q$5,IF(A348=3,VEHICLE!$R$5,IF(A348=4,VEHICLE!$P$5,1))))</f>
        <v>278.27536500000002</v>
      </c>
      <c r="L348" s="58">
        <f t="shared" si="100"/>
        <v>0</v>
      </c>
      <c r="M348" s="58">
        <f t="shared" si="94"/>
        <v>0</v>
      </c>
      <c r="N348" s="58">
        <f t="shared" si="87"/>
        <v>0</v>
      </c>
      <c r="O348" s="58">
        <f t="shared" si="88"/>
        <v>0</v>
      </c>
      <c r="P348" s="58">
        <f t="shared" si="89"/>
        <v>291.87572144121003</v>
      </c>
      <c r="Q348" s="58">
        <f>IF(H348=1,I348*VEHICLE!$C$69,IF(H348=2,VEHICLE!$C$70*I348,IF(H348=3,VEHICLE!$C$71*I348,0)))</f>
        <v>292.57424326505867</v>
      </c>
      <c r="R348" s="58">
        <f>(J348+K348+O348+Q348)</f>
        <v>584.4499647062687</v>
      </c>
      <c r="S348" s="58">
        <f t="shared" si="90"/>
        <v>584.4499647062687</v>
      </c>
      <c r="T348" s="58">
        <f>ABS((R348)/((2*PI()*G348)/60))</f>
        <v>2.2324344209492746</v>
      </c>
      <c r="U348" s="58">
        <f t="shared" si="91"/>
        <v>3</v>
      </c>
      <c r="V348" s="58">
        <f>INDEX(BSFC!$D$4:$AD$26,MATCH(U348,BSFC!$B$4:$B$26,0),MATCH(G348,BSFC!$D$2:$AD$2,0))</f>
        <v>898.36185024000031</v>
      </c>
      <c r="W348" s="58">
        <f t="shared" si="95"/>
        <v>0.14584654212950734</v>
      </c>
      <c r="X348" s="58">
        <f t="shared" si="92"/>
        <v>0.14584654212950734</v>
      </c>
      <c r="Y348" s="58">
        <f t="shared" si="93"/>
        <v>0.45066581518017768</v>
      </c>
      <c r="Z348" s="79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x14ac:dyDescent="0.3">
      <c r="A349" s="55">
        <v>2</v>
      </c>
      <c r="B349" s="58" t="s">
        <v>120</v>
      </c>
      <c r="C349" s="58">
        <f t="shared" si="78"/>
        <v>346</v>
      </c>
      <c r="D349" s="58">
        <f t="shared" si="86"/>
        <v>9.8651700000000009</v>
      </c>
      <c r="E349" s="90">
        <f t="shared" si="103"/>
        <v>4.41</v>
      </c>
      <c r="F349" s="90">
        <f>($C$4/E349)+F348</f>
        <v>42.574550844028565</v>
      </c>
      <c r="G349" s="58">
        <f t="shared" si="104"/>
        <v>2750</v>
      </c>
      <c r="H349" s="58">
        <v>2</v>
      </c>
      <c r="I349" s="90">
        <f>E349-E348</f>
        <v>0.5</v>
      </c>
      <c r="J349" s="58">
        <f>(0.5*VEHICLE!$C$71*VEHICLE!$C$28*VEHICLE!$C$27*'Drive Cycle'!E349^2)</f>
        <v>17.30110949721</v>
      </c>
      <c r="K349" s="58">
        <f>IF(A349=1,VEHICLE!$S$5,IF(A349=2,VEHICLE!$Q$5,IF(A349=3,VEHICLE!$R$5,IF(A349=4,VEHICLE!$P$5,1))))</f>
        <v>278.27536500000002</v>
      </c>
      <c r="L349" s="58">
        <f t="shared" si="100"/>
        <v>0</v>
      </c>
      <c r="M349" s="58">
        <f t="shared" si="94"/>
        <v>0</v>
      </c>
      <c r="N349" s="58">
        <f t="shared" si="87"/>
        <v>0</v>
      </c>
      <c r="O349" s="58">
        <f t="shared" si="88"/>
        <v>0</v>
      </c>
      <c r="P349" s="58">
        <f t="shared" si="89"/>
        <v>295.57647449721003</v>
      </c>
      <c r="Q349" s="58">
        <f>IF(H349=1,I349*VEHICLE!$C$69,IF(H349=2,VEHICLE!$C$70*I349,IF(H349=3,VEHICLE!$C$71*I349,0)))</f>
        <v>292.57424326505867</v>
      </c>
      <c r="R349" s="58">
        <f>(J349+K349+O349+Q349)</f>
        <v>588.15071776226864</v>
      </c>
      <c r="S349" s="58">
        <f t="shared" si="90"/>
        <v>588.15071776226864</v>
      </c>
      <c r="T349" s="58">
        <f>ABS((R349)/((2*PI()*G349)/60))</f>
        <v>2.0423365966889735</v>
      </c>
      <c r="U349" s="58">
        <f t="shared" si="91"/>
        <v>3</v>
      </c>
      <c r="V349" s="58">
        <f>INDEX(BSFC!$D$4:$AD$26,MATCH(U349,BSFC!$B$4:$B$26,0),MATCH(G349,BSFC!$D$2:$AD$2,0))</f>
        <v>892.76689024000029</v>
      </c>
      <c r="W349" s="58">
        <f t="shared" si="95"/>
        <v>0.1458559686914013</v>
      </c>
      <c r="X349" s="58">
        <f t="shared" si="92"/>
        <v>0.1458559686914013</v>
      </c>
      <c r="Y349" s="58">
        <f t="shared" si="93"/>
        <v>0.45069494325643</v>
      </c>
      <c r="Z349" s="79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x14ac:dyDescent="0.3">
      <c r="A350" s="55">
        <v>2</v>
      </c>
      <c r="B350" s="58" t="s">
        <v>120</v>
      </c>
      <c r="C350" s="58">
        <f t="shared" si="78"/>
        <v>347</v>
      </c>
      <c r="D350" s="58">
        <f t="shared" si="86"/>
        <v>10.98367</v>
      </c>
      <c r="E350" s="90">
        <f t="shared" si="103"/>
        <v>4.91</v>
      </c>
      <c r="F350" s="90">
        <f>($C$4/E350)+F349</f>
        <v>42.778216831808606</v>
      </c>
      <c r="G350" s="58">
        <f t="shared" si="104"/>
        <v>3000</v>
      </c>
      <c r="H350" s="58">
        <v>2</v>
      </c>
      <c r="I350" s="90">
        <f>E350-E349</f>
        <v>0.5</v>
      </c>
      <c r="J350" s="58">
        <f>(0.5*VEHICLE!$C$71*VEHICLE!$C$28*VEHICLE!$C$27*'Drive Cycle'!E350^2)</f>
        <v>21.446664603209999</v>
      </c>
      <c r="K350" s="58">
        <f>IF(A350=1,VEHICLE!$S$5,IF(A350=2,VEHICLE!$Q$5,IF(A350=3,VEHICLE!$R$5,IF(A350=4,VEHICLE!$P$5,1))))</f>
        <v>278.27536500000002</v>
      </c>
      <c r="L350" s="58">
        <f t="shared" si="100"/>
        <v>0</v>
      </c>
      <c r="M350" s="58">
        <f t="shared" si="94"/>
        <v>0</v>
      </c>
      <c r="N350" s="58">
        <f t="shared" si="87"/>
        <v>0</v>
      </c>
      <c r="O350" s="58">
        <f t="shared" si="88"/>
        <v>0</v>
      </c>
      <c r="P350" s="58">
        <f t="shared" si="89"/>
        <v>299.72202960321005</v>
      </c>
      <c r="Q350" s="58">
        <f>IF(H350=1,I350*VEHICLE!$C$69,IF(H350=2,VEHICLE!$C$70*I350,IF(H350=3,VEHICLE!$C$71*I350,0)))</f>
        <v>292.57424326505867</v>
      </c>
      <c r="R350" s="58">
        <f>(J350+K350+O350+Q350)</f>
        <v>592.29627286826872</v>
      </c>
      <c r="S350" s="58">
        <f t="shared" si="90"/>
        <v>592.29627286826872</v>
      </c>
      <c r="T350" s="58">
        <f>ABS((R350)/((2*PI()*G350)/60))</f>
        <v>1.8853375920378204</v>
      </c>
      <c r="U350" s="58">
        <f t="shared" si="91"/>
        <v>2</v>
      </c>
      <c r="V350" s="58">
        <f>INDEX(BSFC!$D$4:$AD$26,MATCH(U350,BSFC!$B$4:$B$26,0),MATCH(G350,BSFC!$D$2:$AD$2,0))</f>
        <v>929.28963552000016</v>
      </c>
      <c r="W350" s="58">
        <f t="shared" si="95"/>
        <v>0.15289299653711333</v>
      </c>
      <c r="X350" s="58">
        <f t="shared" si="92"/>
        <v>0.15289299653711333</v>
      </c>
      <c r="Y350" s="58">
        <f t="shared" si="93"/>
        <v>0.47243935929968017</v>
      </c>
      <c r="Z350" s="79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x14ac:dyDescent="0.3">
      <c r="A351" s="55">
        <v>2</v>
      </c>
      <c r="B351" s="58" t="s">
        <v>120</v>
      </c>
      <c r="C351" s="58">
        <f t="shared" si="78"/>
        <v>348</v>
      </c>
      <c r="D351" s="58">
        <f t="shared" si="86"/>
        <v>12.102170000000001</v>
      </c>
      <c r="E351" s="90">
        <f t="shared" si="103"/>
        <v>5.41</v>
      </c>
      <c r="F351" s="90">
        <f>($C$4/E351)+F350</f>
        <v>42.963059715357588</v>
      </c>
      <c r="G351" s="58">
        <f t="shared" si="104"/>
        <v>3250</v>
      </c>
      <c r="H351" s="58">
        <v>2</v>
      </c>
      <c r="I351" s="90">
        <f>E351-E350</f>
        <v>0.5</v>
      </c>
      <c r="J351" s="58">
        <f>(0.5*VEHICLE!$C$71*VEHICLE!$C$28*VEHICLE!$C$27*'Drive Cycle'!E351^2)</f>
        <v>26.037021759209999</v>
      </c>
      <c r="K351" s="58">
        <f>IF(A351=1,VEHICLE!$S$5,IF(A351=2,VEHICLE!$Q$5,IF(A351=3,VEHICLE!$R$5,IF(A351=4,VEHICLE!$P$5,1))))</f>
        <v>278.27536500000002</v>
      </c>
      <c r="L351" s="58">
        <f t="shared" si="100"/>
        <v>0</v>
      </c>
      <c r="M351" s="58">
        <f t="shared" si="94"/>
        <v>0</v>
      </c>
      <c r="N351" s="58">
        <f t="shared" si="87"/>
        <v>0</v>
      </c>
      <c r="O351" s="58">
        <f t="shared" si="88"/>
        <v>0</v>
      </c>
      <c r="P351" s="58">
        <f t="shared" si="89"/>
        <v>304.31238675921003</v>
      </c>
      <c r="Q351" s="58">
        <f>IF(H351=1,I351*VEHICLE!$C$69,IF(H351=2,VEHICLE!$C$70*I351,IF(H351=3,VEHICLE!$C$71*I351,0)))</f>
        <v>292.57424326505867</v>
      </c>
      <c r="R351" s="58">
        <f>(J351+K351+O351+Q351)</f>
        <v>596.8866300242687</v>
      </c>
      <c r="S351" s="58">
        <f t="shared" si="90"/>
        <v>596.8866300242687</v>
      </c>
      <c r="T351" s="58">
        <f>ABS((R351)/((2*PI()*G351)/60))</f>
        <v>1.7537992178552431</v>
      </c>
      <c r="U351" s="58">
        <f t="shared" si="91"/>
        <v>2</v>
      </c>
      <c r="V351" s="58">
        <f>INDEX(BSFC!$D$4:$AD$26,MATCH(U351,BSFC!$B$4:$B$26,0),MATCH(G351,BSFC!$D$2:$AD$2,0))</f>
        <v>915.61903879999988</v>
      </c>
      <c r="W351" s="58">
        <f t="shared" si="95"/>
        <v>0.15181132290427557</v>
      </c>
      <c r="X351" s="58">
        <f t="shared" si="92"/>
        <v>0.15181132290427557</v>
      </c>
      <c r="Y351" s="58">
        <f t="shared" si="93"/>
        <v>0.46909698777421149</v>
      </c>
      <c r="Z351" s="79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x14ac:dyDescent="0.3">
      <c r="A352" s="55">
        <v>2</v>
      </c>
      <c r="B352" s="58" t="s">
        <v>120</v>
      </c>
      <c r="C352" s="58">
        <f t="shared" si="78"/>
        <v>349</v>
      </c>
      <c r="D352" s="58">
        <f t="shared" si="86"/>
        <v>13.22067</v>
      </c>
      <c r="E352" s="90">
        <f>E351+0.5</f>
        <v>5.91</v>
      </c>
      <c r="F352" s="90">
        <f>($C$4/E352)+F351</f>
        <v>43.132264453090244</v>
      </c>
      <c r="G352" s="58">
        <f t="shared" si="104"/>
        <v>3500</v>
      </c>
      <c r="H352" s="58">
        <v>2</v>
      </c>
      <c r="I352" s="90">
        <f>E352-E351</f>
        <v>0.5</v>
      </c>
      <c r="J352" s="58">
        <f>(0.5*VEHICLE!$C$71*VEHICLE!$C$28*VEHICLE!$C$27*'Drive Cycle'!E352^2)</f>
        <v>31.072180965209999</v>
      </c>
      <c r="K352" s="58">
        <f>IF(A352=1,VEHICLE!$S$5,IF(A352=2,VEHICLE!$Q$5,IF(A352=3,VEHICLE!$R$5,IF(A352=4,VEHICLE!$P$5,1))))</f>
        <v>278.27536500000002</v>
      </c>
      <c r="L352" s="58">
        <f t="shared" si="100"/>
        <v>0</v>
      </c>
      <c r="M352" s="58">
        <f t="shared" si="94"/>
        <v>0</v>
      </c>
      <c r="N352" s="58">
        <f t="shared" si="87"/>
        <v>0</v>
      </c>
      <c r="O352" s="58">
        <f t="shared" si="88"/>
        <v>0</v>
      </c>
      <c r="P352" s="58">
        <f t="shared" si="89"/>
        <v>309.34754596521003</v>
      </c>
      <c r="Q352" s="58">
        <f>IF(H352=1,I352*VEHICLE!$C$69,IF(H352=2,VEHICLE!$C$70*I352,IF(H352=3,VEHICLE!$C$71*I352,0)))</f>
        <v>292.57424326505867</v>
      </c>
      <c r="R352" s="58">
        <f>(J352+K352+O352+Q352)</f>
        <v>601.9217892302687</v>
      </c>
      <c r="S352" s="58">
        <f t="shared" si="90"/>
        <v>601.9217892302687</v>
      </c>
      <c r="T352" s="58">
        <f>ABS((R352)/((2*PI()*G352)/60))</f>
        <v>1.6422656247551184</v>
      </c>
      <c r="U352" s="58">
        <f t="shared" si="91"/>
        <v>2</v>
      </c>
      <c r="V352" s="58">
        <f>INDEX(BSFC!$D$4:$AD$26,MATCH(U352,BSFC!$B$4:$B$26,0),MATCH(G352,BSFC!$D$2:$AD$2,0))</f>
        <v>905.74442879999992</v>
      </c>
      <c r="W352" s="58">
        <f t="shared" si="95"/>
        <v>0.15144091865795659</v>
      </c>
      <c r="X352" s="58">
        <f t="shared" si="92"/>
        <v>0.15144091865795659</v>
      </c>
      <c r="Y352" s="58">
        <f t="shared" si="93"/>
        <v>0.46795243865308583</v>
      </c>
      <c r="Z352" s="79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x14ac:dyDescent="0.3">
      <c r="A353" s="55">
        <v>2</v>
      </c>
      <c r="B353" s="59" t="s">
        <v>106</v>
      </c>
      <c r="C353" s="59">
        <f t="shared" si="78"/>
        <v>350</v>
      </c>
      <c r="D353" s="59">
        <f t="shared" si="86"/>
        <v>14.339170000000001</v>
      </c>
      <c r="E353" s="91">
        <f t="shared" si="103"/>
        <v>6.41</v>
      </c>
      <c r="F353" s="91">
        <f>($C$4/E353)+F352</f>
        <v>43.288270693339854</v>
      </c>
      <c r="G353" s="59">
        <f t="shared" si="104"/>
        <v>3750</v>
      </c>
      <c r="H353" s="59">
        <v>3</v>
      </c>
      <c r="I353" s="91">
        <f>E353-E352</f>
        <v>0.5</v>
      </c>
      <c r="J353" s="59">
        <f>(0.5*VEHICLE!$C$71*VEHICLE!$C$28*VEHICLE!$C$27*'Drive Cycle'!E353^2)</f>
        <v>36.552142221209998</v>
      </c>
      <c r="K353" s="59">
        <f>IF(A353=1,VEHICLE!$S$5,IF(A353=2,VEHICLE!$Q$5,IF(A353=3,VEHICLE!$R$5,IF(A353=4,VEHICLE!$P$5,1))))</f>
        <v>278.27536500000002</v>
      </c>
      <c r="L353" s="59">
        <f t="shared" si="100"/>
        <v>0</v>
      </c>
      <c r="M353" s="59">
        <f t="shared" si="94"/>
        <v>0</v>
      </c>
      <c r="N353" s="59">
        <f t="shared" si="87"/>
        <v>0</v>
      </c>
      <c r="O353" s="59">
        <f t="shared" si="88"/>
        <v>0</v>
      </c>
      <c r="P353" s="59">
        <f t="shared" si="89"/>
        <v>314.82750722121</v>
      </c>
      <c r="Q353" s="59">
        <f>IF(H353=1,I353*VEHICLE!$C$69,IF(H353=2,VEHICLE!$C$70*I353,IF(H353=3,VEHICLE!$C$71*I353,0)))</f>
        <v>0.58350000000000002</v>
      </c>
      <c r="R353" s="59">
        <f>(J353+K353+O353+Q353)</f>
        <v>315.41100722121001</v>
      </c>
      <c r="S353" s="59">
        <f t="shared" si="90"/>
        <v>315.41100722121001</v>
      </c>
      <c r="T353" s="59">
        <f>ABS((R353)/((2*PI()*G353)/60))</f>
        <v>0.80318753447758506</v>
      </c>
      <c r="U353" s="59">
        <f t="shared" si="91"/>
        <v>1</v>
      </c>
      <c r="V353" s="59">
        <f>INDEX(BSFC!$D$4:$AD$26,MATCH(U353,BSFC!$B$4:$B$26,0),MATCH(G353,BSFC!$D$2:$AD$2,0))</f>
        <v>1035.6786156799997</v>
      </c>
      <c r="W353" s="59">
        <f t="shared" si="95"/>
        <v>9.0740120924749201E-2</v>
      </c>
      <c r="X353" s="59">
        <f t="shared" si="92"/>
        <v>9.0740120924749201E-2</v>
      </c>
      <c r="Y353" s="59">
        <f t="shared" si="93"/>
        <v>0.280386973657475</v>
      </c>
      <c r="Z353" s="79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x14ac:dyDescent="0.3">
      <c r="A354" s="55">
        <v>2</v>
      </c>
      <c r="B354" s="59" t="s">
        <v>106</v>
      </c>
      <c r="C354" s="59">
        <f t="shared" si="78"/>
        <v>351</v>
      </c>
      <c r="D354" s="59">
        <f t="shared" si="86"/>
        <v>15.45767</v>
      </c>
      <c r="E354" s="91">
        <f t="shared" si="103"/>
        <v>6.91</v>
      </c>
      <c r="F354" s="91">
        <f>($C$4/E354)+F353</f>
        <v>43.432988493629288</v>
      </c>
      <c r="G354" s="59">
        <f t="shared" si="104"/>
        <v>4000</v>
      </c>
      <c r="H354" s="59">
        <v>3</v>
      </c>
      <c r="I354" s="91">
        <f>E354-E353</f>
        <v>0.5</v>
      </c>
      <c r="J354" s="59">
        <f>(0.5*VEHICLE!$C$71*VEHICLE!$C$28*VEHICLE!$C$27*'Drive Cycle'!E354^2)</f>
        <v>42.476905527209993</v>
      </c>
      <c r="K354" s="59">
        <f>IF(A354=1,VEHICLE!$S$5,IF(A354=2,VEHICLE!$Q$5,IF(A354=3,VEHICLE!$R$5,IF(A354=4,VEHICLE!$P$5,1))))</f>
        <v>278.27536500000002</v>
      </c>
      <c r="L354" s="59">
        <f t="shared" si="100"/>
        <v>0</v>
      </c>
      <c r="M354" s="59">
        <f t="shared" si="94"/>
        <v>0</v>
      </c>
      <c r="N354" s="59">
        <f t="shared" si="87"/>
        <v>0</v>
      </c>
      <c r="O354" s="59">
        <f t="shared" si="88"/>
        <v>0</v>
      </c>
      <c r="P354" s="59">
        <f t="shared" si="89"/>
        <v>320.75227052721004</v>
      </c>
      <c r="Q354" s="59">
        <f>IF(H354=1,I354*VEHICLE!$C$69,IF(H354=2,VEHICLE!$C$70*I354,IF(H354=3,VEHICLE!$C$71*I354,0)))</f>
        <v>0.58350000000000002</v>
      </c>
      <c r="R354" s="59">
        <f>(J354+K354+O354+Q354)</f>
        <v>321.33577052721006</v>
      </c>
      <c r="S354" s="59">
        <f t="shared" si="90"/>
        <v>321.33577052721006</v>
      </c>
      <c r="T354" s="59">
        <f>ABS((R354)/((2*PI()*G354)/60))</f>
        <v>0.76713264407472692</v>
      </c>
      <c r="U354" s="59">
        <f t="shared" si="91"/>
        <v>1</v>
      </c>
      <c r="V354" s="59">
        <f>INDEX(BSFC!$D$4:$AD$26,MATCH(U354,BSFC!$B$4:$B$26,0),MATCH(G354,BSFC!$D$2:$AD$2,0))</f>
        <v>1026.1408156799998</v>
      </c>
      <c r="W354" s="59">
        <f t="shared" si="95"/>
        <v>9.1593263798875724E-2</v>
      </c>
      <c r="X354" s="59">
        <f t="shared" si="92"/>
        <v>9.1593263798875724E-2</v>
      </c>
      <c r="Y354" s="59">
        <f t="shared" si="93"/>
        <v>0.28302318513852598</v>
      </c>
      <c r="Z354" s="79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x14ac:dyDescent="0.3">
      <c r="A355" s="55">
        <v>2</v>
      </c>
      <c r="B355" s="59" t="s">
        <v>106</v>
      </c>
      <c r="C355" s="59">
        <f t="shared" si="78"/>
        <v>352</v>
      </c>
      <c r="D355" s="59">
        <f t="shared" si="86"/>
        <v>16.576170000000001</v>
      </c>
      <c r="E355" s="91">
        <f t="shared" si="103"/>
        <v>7.41</v>
      </c>
      <c r="F355" s="91">
        <f>($C$4/E355)+F354</f>
        <v>43.567941260161</v>
      </c>
      <c r="G355" s="59">
        <f t="shared" si="104"/>
        <v>4250</v>
      </c>
      <c r="H355" s="59">
        <v>3</v>
      </c>
      <c r="I355" s="91">
        <f>E355-E354</f>
        <v>0.5</v>
      </c>
      <c r="J355" s="59">
        <f>(0.5*VEHICLE!$C$71*VEHICLE!$C$28*VEHICLE!$C$27*'Drive Cycle'!E355^2)</f>
        <v>48.846470883209996</v>
      </c>
      <c r="K355" s="59">
        <f>IF(A355=1,VEHICLE!$S$5,IF(A355=2,VEHICLE!$Q$5,IF(A355=3,VEHICLE!$R$5,IF(A355=4,VEHICLE!$P$5,1))))</f>
        <v>278.27536500000002</v>
      </c>
      <c r="L355" s="59">
        <f t="shared" si="100"/>
        <v>0</v>
      </c>
      <c r="M355" s="59">
        <f t="shared" si="94"/>
        <v>0</v>
      </c>
      <c r="N355" s="59">
        <f t="shared" si="87"/>
        <v>0</v>
      </c>
      <c r="O355" s="59">
        <f t="shared" si="88"/>
        <v>0</v>
      </c>
      <c r="P355" s="59">
        <f t="shared" si="89"/>
        <v>327.12183588321</v>
      </c>
      <c r="Q355" s="59">
        <f>IF(H355=1,I355*VEHICLE!$C$69,IF(H355=2,VEHICLE!$C$70*I355,IF(H355=3,VEHICLE!$C$71*I355,0)))</f>
        <v>0.58350000000000002</v>
      </c>
      <c r="R355" s="59">
        <f>(J355+K355+O355+Q355)</f>
        <v>327.70533588321001</v>
      </c>
      <c r="S355" s="59">
        <f t="shared" si="90"/>
        <v>327.70533588321001</v>
      </c>
      <c r="T355" s="59">
        <f>ABS((R355)/((2*PI()*G355)/60))</f>
        <v>0.73631892823627398</v>
      </c>
      <c r="U355" s="59">
        <f t="shared" si="91"/>
        <v>1</v>
      </c>
      <c r="V355" s="59">
        <f>INDEX(BSFC!$D$4:$AD$26,MATCH(U355,BSFC!$B$4:$B$26,0),MATCH(G355,BSFC!$D$2:$AD$2,0))</f>
        <v>1010.1133235199997</v>
      </c>
      <c r="W355" s="59">
        <f t="shared" si="95"/>
        <v>9.1949868323396397E-2</v>
      </c>
      <c r="X355" s="59">
        <f t="shared" si="92"/>
        <v>9.1949868323396397E-2</v>
      </c>
      <c r="Y355" s="59">
        <f t="shared" si="93"/>
        <v>0.28412509311929485</v>
      </c>
      <c r="Z355" s="79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x14ac:dyDescent="0.3">
      <c r="A356" s="55">
        <v>2</v>
      </c>
      <c r="B356" s="59" t="s">
        <v>106</v>
      </c>
      <c r="C356" s="59">
        <f t="shared" si="78"/>
        <v>353</v>
      </c>
      <c r="D356" s="59">
        <f t="shared" si="86"/>
        <v>17.694670000000002</v>
      </c>
      <c r="E356" s="91">
        <f t="shared" si="103"/>
        <v>7.91</v>
      </c>
      <c r="F356" s="91">
        <f>($C$4/E356)+F355</f>
        <v>43.694363510477054</v>
      </c>
      <c r="G356" s="59">
        <f t="shared" si="104"/>
        <v>4500</v>
      </c>
      <c r="H356" s="59">
        <v>3</v>
      </c>
      <c r="I356" s="91">
        <f>E356-E355</f>
        <v>0.5</v>
      </c>
      <c r="J356" s="59">
        <f>(0.5*VEHICLE!$C$71*VEHICLE!$C$28*VEHICLE!$C$27*'Drive Cycle'!E356^2)</f>
        <v>55.660838289209991</v>
      </c>
      <c r="K356" s="59">
        <f>IF(A356=1,VEHICLE!$S$5,IF(A356=2,VEHICLE!$Q$5,IF(A356=3,VEHICLE!$R$5,IF(A356=4,VEHICLE!$P$5,1))))</f>
        <v>278.27536500000002</v>
      </c>
      <c r="L356" s="59">
        <f t="shared" si="100"/>
        <v>0</v>
      </c>
      <c r="M356" s="59">
        <f t="shared" si="94"/>
        <v>0</v>
      </c>
      <c r="N356" s="59">
        <f t="shared" si="87"/>
        <v>0</v>
      </c>
      <c r="O356" s="59">
        <f t="shared" si="88"/>
        <v>0</v>
      </c>
      <c r="P356" s="59">
        <f t="shared" si="89"/>
        <v>333.93620328921003</v>
      </c>
      <c r="Q356" s="59">
        <f>IF(H356=1,I356*VEHICLE!$C$69,IF(H356=2,VEHICLE!$C$70*I356,IF(H356=3,VEHICLE!$C$71*I356,0)))</f>
        <v>0.58350000000000002</v>
      </c>
      <c r="R356" s="59">
        <f>(J356+K356+O356+Q356)</f>
        <v>334.51970328921004</v>
      </c>
      <c r="S356" s="59">
        <f t="shared" si="90"/>
        <v>334.51970328921004</v>
      </c>
      <c r="T356" s="59">
        <f>ABS((R356)/((2*PI()*G356)/60))</f>
        <v>0.70987285786815912</v>
      </c>
      <c r="U356" s="59">
        <f t="shared" si="91"/>
        <v>1</v>
      </c>
      <c r="V356" s="59">
        <f>INDEX(BSFC!$D$4:$AD$26,MATCH(U356,BSFC!$B$4:$B$26,0),MATCH(G356,BSFC!$D$2:$AD$2,0))</f>
        <v>996.72332351999967</v>
      </c>
      <c r="W356" s="59">
        <f t="shared" si="95"/>
        <v>9.261766401259601E-2</v>
      </c>
      <c r="X356" s="59">
        <f t="shared" si="92"/>
        <v>9.261766401259601E-2</v>
      </c>
      <c r="Y356" s="59">
        <f t="shared" si="93"/>
        <v>0.28618858179892165</v>
      </c>
      <c r="Z356" s="79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x14ac:dyDescent="0.3">
      <c r="A357" s="55">
        <v>2</v>
      </c>
      <c r="B357" s="59" t="s">
        <v>106</v>
      </c>
      <c r="C357" s="59">
        <f t="shared" si="78"/>
        <v>354</v>
      </c>
      <c r="D357" s="59">
        <f t="shared" si="86"/>
        <v>18.81317</v>
      </c>
      <c r="E357" s="91">
        <f t="shared" si="103"/>
        <v>8.41</v>
      </c>
      <c r="F357" s="91">
        <f>($C$4/E357)+F356</f>
        <v>43.813269574686331</v>
      </c>
      <c r="G357" s="59">
        <f t="shared" si="104"/>
        <v>4750</v>
      </c>
      <c r="H357" s="59">
        <v>3</v>
      </c>
      <c r="I357" s="91">
        <f>E357-E356</f>
        <v>0.5</v>
      </c>
      <c r="J357" s="59">
        <f>(0.5*VEHICLE!$C$71*VEHICLE!$C$28*VEHICLE!$C$27*'Drive Cycle'!E357^2)</f>
        <v>62.920007745209993</v>
      </c>
      <c r="K357" s="59">
        <f>IF(A357=1,VEHICLE!$S$5,IF(A357=2,VEHICLE!$Q$5,IF(A357=3,VEHICLE!$R$5,IF(A357=4,VEHICLE!$P$5,1))))</f>
        <v>278.27536500000002</v>
      </c>
      <c r="L357" s="59">
        <f t="shared" si="100"/>
        <v>0</v>
      </c>
      <c r="M357" s="59">
        <f t="shared" si="94"/>
        <v>0</v>
      </c>
      <c r="N357" s="59">
        <f t="shared" si="87"/>
        <v>0</v>
      </c>
      <c r="O357" s="59">
        <f t="shared" si="88"/>
        <v>0</v>
      </c>
      <c r="P357" s="59">
        <f t="shared" si="89"/>
        <v>341.19537274521002</v>
      </c>
      <c r="Q357" s="59">
        <f>IF(H357=1,I357*VEHICLE!$C$69,IF(H357=2,VEHICLE!$C$70*I357,IF(H357=3,VEHICLE!$C$71*I357,0)))</f>
        <v>0.58350000000000002</v>
      </c>
      <c r="R357" s="59">
        <f>(J357+K357+O357+Q357)</f>
        <v>341.77887274521004</v>
      </c>
      <c r="S357" s="59">
        <f t="shared" si="90"/>
        <v>341.77887274521004</v>
      </c>
      <c r="T357" s="59">
        <f>ABS((R357)/((2*PI()*G357)/60))</f>
        <v>0.68710480473822366</v>
      </c>
      <c r="U357" s="59">
        <f t="shared" si="91"/>
        <v>1</v>
      </c>
      <c r="V357" s="59">
        <f>INDEX(BSFC!$D$4:$AD$26,MATCH(U357,BSFC!$B$4:$B$26,0),MATCH(G357,BSFC!$D$2:$AD$2,0))</f>
        <v>989.10544351999977</v>
      </c>
      <c r="W357" s="59">
        <f t="shared" si="95"/>
        <v>9.3904262086782361E-2</v>
      </c>
      <c r="X357" s="59">
        <f t="shared" si="92"/>
        <v>9.3904262086782361E-2</v>
      </c>
      <c r="Y357" s="59">
        <f t="shared" si="93"/>
        <v>0.29016416984815746</v>
      </c>
      <c r="Z357" s="79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x14ac:dyDescent="0.3">
      <c r="A358" s="55">
        <v>2</v>
      </c>
      <c r="B358" s="59" t="s">
        <v>106</v>
      </c>
      <c r="C358" s="59">
        <f t="shared" si="78"/>
        <v>355</v>
      </c>
      <c r="D358" s="59">
        <f t="shared" si="86"/>
        <v>20.490920000000003</v>
      </c>
      <c r="E358" s="91">
        <f>E357+0.75</f>
        <v>9.16</v>
      </c>
      <c r="F358" s="91">
        <f>($C$4/E358)+F357</f>
        <v>43.922439880363186</v>
      </c>
      <c r="G358" s="59">
        <f t="shared" si="104"/>
        <v>5000</v>
      </c>
      <c r="H358" s="59">
        <v>3</v>
      </c>
      <c r="I358" s="91">
        <f>E358-E357</f>
        <v>0.75</v>
      </c>
      <c r="J358" s="59">
        <f>(0.5*VEHICLE!$C$71*VEHICLE!$C$28*VEHICLE!$C$27*'Drive Cycle'!E358^2)</f>
        <v>74.642765772960004</v>
      </c>
      <c r="K358" s="59">
        <f>IF(A358=1,VEHICLE!$S$5,IF(A358=2,VEHICLE!$Q$5,IF(A358=3,VEHICLE!$R$5,IF(A358=4,VEHICLE!$P$5,1))))</f>
        <v>278.27536500000002</v>
      </c>
      <c r="L358" s="59">
        <f t="shared" si="100"/>
        <v>0</v>
      </c>
      <c r="M358" s="59">
        <f t="shared" si="94"/>
        <v>0</v>
      </c>
      <c r="N358" s="59">
        <f t="shared" si="87"/>
        <v>0</v>
      </c>
      <c r="O358" s="59">
        <f t="shared" si="88"/>
        <v>0</v>
      </c>
      <c r="P358" s="59">
        <f t="shared" si="89"/>
        <v>352.91813077296001</v>
      </c>
      <c r="Q358" s="59">
        <f>IF(H358=1,I358*VEHICLE!$C$69,IF(H358=2,VEHICLE!$C$70*I358,IF(H358=3,VEHICLE!$C$71*I358,0)))</f>
        <v>0.87525000000000008</v>
      </c>
      <c r="R358" s="59">
        <f>(J358+K358+O358+Q358)</f>
        <v>353.79338077296001</v>
      </c>
      <c r="S358" s="59">
        <f t="shared" si="90"/>
        <v>353.79338077296001</v>
      </c>
      <c r="T358" s="59">
        <f>ABS((R358)/((2*PI()*G358)/60))</f>
        <v>0.67569558459851653</v>
      </c>
      <c r="U358" s="59">
        <f t="shared" si="91"/>
        <v>1</v>
      </c>
      <c r="V358" s="59">
        <f>INDEX(BSFC!$D$4:$AD$26,MATCH(U358,BSFC!$B$4:$B$26,0),MATCH(G358,BSFC!$D$2:$AD$2,0))</f>
        <v>967.30583135999973</v>
      </c>
      <c r="W358" s="59">
        <f t="shared" si="95"/>
        <v>9.5062888977292509E-2</v>
      </c>
      <c r="X358" s="59">
        <f t="shared" si="92"/>
        <v>9.5062888977292509E-2</v>
      </c>
      <c r="Y358" s="59">
        <f t="shared" si="93"/>
        <v>0.29374432693983382</v>
      </c>
      <c r="Z358" s="79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x14ac:dyDescent="0.3">
      <c r="A359" s="55">
        <v>2</v>
      </c>
      <c r="B359" s="59" t="s">
        <v>106</v>
      </c>
      <c r="C359" s="59">
        <f t="shared" si="78"/>
        <v>356</v>
      </c>
      <c r="D359" s="59">
        <f t="shared" si="86"/>
        <v>22.168670000000002</v>
      </c>
      <c r="E359" s="91">
        <f t="shared" ref="E359:E361" si="105">E358+0.75</f>
        <v>9.91</v>
      </c>
      <c r="F359" s="91">
        <f>($C$4/E359)+F358</f>
        <v>44.023348053925247</v>
      </c>
      <c r="G359" s="59">
        <f t="shared" si="104"/>
        <v>5250</v>
      </c>
      <c r="H359" s="59">
        <v>3</v>
      </c>
      <c r="I359" s="91">
        <f>E359-E358</f>
        <v>0.75</v>
      </c>
      <c r="J359" s="59">
        <f>(0.5*VEHICLE!$C$71*VEHICLE!$C$28*VEHICLE!$C$27*'Drive Cycle'!E359^2)</f>
        <v>87.366328413209985</v>
      </c>
      <c r="K359" s="59">
        <f>IF(A359=1,VEHICLE!$S$5,IF(A359=2,VEHICLE!$Q$5,IF(A359=3,VEHICLE!$R$5,IF(A359=4,VEHICLE!$P$5,1))))</f>
        <v>278.27536500000002</v>
      </c>
      <c r="L359" s="59">
        <f t="shared" si="100"/>
        <v>0</v>
      </c>
      <c r="M359" s="59">
        <f t="shared" si="94"/>
        <v>0</v>
      </c>
      <c r="N359" s="59">
        <f t="shared" si="87"/>
        <v>0</v>
      </c>
      <c r="O359" s="59">
        <f t="shared" si="88"/>
        <v>0</v>
      </c>
      <c r="P359" s="59">
        <f t="shared" si="89"/>
        <v>365.64169341321002</v>
      </c>
      <c r="Q359" s="59">
        <f>IF(H359=1,I359*VEHICLE!$C$69,IF(H359=2,VEHICLE!$C$70*I359,IF(H359=3,VEHICLE!$C$71*I359,0)))</f>
        <v>0.87525000000000008</v>
      </c>
      <c r="R359" s="59">
        <f>(J359+K359+O359+Q359)</f>
        <v>366.51694341321002</v>
      </c>
      <c r="S359" s="59">
        <f t="shared" si="90"/>
        <v>366.51694341321002</v>
      </c>
      <c r="T359" s="59">
        <f>ABS((R359)/((2*PI()*G359)/60))</f>
        <v>0.66666266595594137</v>
      </c>
      <c r="U359" s="59">
        <f t="shared" si="91"/>
        <v>1</v>
      </c>
      <c r="V359" s="59">
        <f>INDEX(BSFC!$D$4:$AD$26,MATCH(U359,BSFC!$B$4:$B$26,0),MATCH(G359,BSFC!$D$2:$AD$2,0))</f>
        <v>959.82391135999978</v>
      </c>
      <c r="W359" s="59">
        <f t="shared" si="95"/>
        <v>9.7719923946271936E-2</v>
      </c>
      <c r="X359" s="59">
        <f t="shared" si="92"/>
        <v>9.7719923946271936E-2</v>
      </c>
      <c r="Y359" s="59">
        <f t="shared" si="93"/>
        <v>0.30195456499398027</v>
      </c>
      <c r="Z359" s="79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x14ac:dyDescent="0.3">
      <c r="A360" s="55">
        <v>2</v>
      </c>
      <c r="B360" s="59" t="s">
        <v>106</v>
      </c>
      <c r="C360" s="59">
        <f t="shared" ref="C360:C423" si="106">C359+1</f>
        <v>357</v>
      </c>
      <c r="D360" s="59">
        <f t="shared" si="86"/>
        <v>23.846420000000002</v>
      </c>
      <c r="E360" s="91">
        <f t="shared" si="105"/>
        <v>10.66</v>
      </c>
      <c r="F360" s="91">
        <f>($C$4/E360)+F359</f>
        <v>44.117156684319241</v>
      </c>
      <c r="G360" s="59">
        <f t="shared" si="104"/>
        <v>5500</v>
      </c>
      <c r="H360" s="59">
        <v>3</v>
      </c>
      <c r="I360" s="91">
        <f>E360-E359</f>
        <v>0.75</v>
      </c>
      <c r="J360" s="59">
        <f>(0.5*VEHICLE!$C$71*VEHICLE!$C$28*VEHICLE!$C$27*'Drive Cycle'!E360^2)</f>
        <v>101.09069566595998</v>
      </c>
      <c r="K360" s="59">
        <f>IF(A360=1,VEHICLE!$S$5,IF(A360=2,VEHICLE!$Q$5,IF(A360=3,VEHICLE!$R$5,IF(A360=4,VEHICLE!$P$5,1))))</f>
        <v>278.27536500000002</v>
      </c>
      <c r="L360" s="59">
        <f t="shared" si="100"/>
        <v>0</v>
      </c>
      <c r="M360" s="59">
        <f t="shared" si="94"/>
        <v>0</v>
      </c>
      <c r="N360" s="59">
        <f t="shared" si="87"/>
        <v>0</v>
      </c>
      <c r="O360" s="59">
        <f t="shared" si="88"/>
        <v>0</v>
      </c>
      <c r="P360" s="59">
        <f t="shared" si="89"/>
        <v>379.36606066595999</v>
      </c>
      <c r="Q360" s="59">
        <f>IF(H360=1,I360*VEHICLE!$C$69,IF(H360=2,VEHICLE!$C$70*I360,IF(H360=3,VEHICLE!$C$71*I360,0)))</f>
        <v>0.87525000000000008</v>
      </c>
      <c r="R360" s="59">
        <f>(J360+K360+O360+Q360)</f>
        <v>380.24131066595999</v>
      </c>
      <c r="S360" s="59">
        <f t="shared" si="90"/>
        <v>380.24131066595999</v>
      </c>
      <c r="T360" s="59">
        <f>ABS((R360)/((2*PI()*G360)/60))</f>
        <v>0.66018855447522073</v>
      </c>
      <c r="U360" s="59">
        <f t="shared" si="91"/>
        <v>1</v>
      </c>
      <c r="V360" s="59">
        <f>INDEX(BSFC!$D$4:$AD$26,MATCH(U360,BSFC!$B$4:$B$26,0),MATCH(G360,BSFC!$D$2:$AD$2,0))</f>
        <v>937.88833920000002</v>
      </c>
      <c r="W360" s="59">
        <f t="shared" si="95"/>
        <v>9.9062192043257891E-2</v>
      </c>
      <c r="X360" s="59">
        <f t="shared" si="92"/>
        <v>9.9062192043257891E-2</v>
      </c>
      <c r="Y360" s="59">
        <f t="shared" si="93"/>
        <v>0.30610217341366686</v>
      </c>
      <c r="Z360" s="79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x14ac:dyDescent="0.3">
      <c r="A361" s="55">
        <v>2</v>
      </c>
      <c r="B361" s="59" t="s">
        <v>106</v>
      </c>
      <c r="C361" s="59">
        <f t="shared" si="106"/>
        <v>358</v>
      </c>
      <c r="D361" s="59">
        <f t="shared" si="86"/>
        <v>25.524170000000002</v>
      </c>
      <c r="E361" s="91">
        <f t="shared" si="105"/>
        <v>11.41</v>
      </c>
      <c r="F361" s="91">
        <f>($C$4/E361)+F360</f>
        <v>44.204799103250004</v>
      </c>
      <c r="G361" s="59">
        <f t="shared" si="104"/>
        <v>5750</v>
      </c>
      <c r="H361" s="59">
        <v>3</v>
      </c>
      <c r="I361" s="91">
        <f>E361-E360</f>
        <v>0.75</v>
      </c>
      <c r="J361" s="59">
        <f>(0.5*VEHICLE!$C$71*VEHICLE!$C$28*VEHICLE!$C$27*'Drive Cycle'!E361^2)</f>
        <v>115.81586753120997</v>
      </c>
      <c r="K361" s="59">
        <f>IF(A361=1,VEHICLE!$S$5,IF(A361=2,VEHICLE!$Q$5,IF(A361=3,VEHICLE!$R$5,IF(A361=4,VEHICLE!$P$5,1))))</f>
        <v>278.27536500000002</v>
      </c>
      <c r="L361" s="59">
        <f t="shared" si="100"/>
        <v>0</v>
      </c>
      <c r="M361" s="59">
        <f t="shared" si="94"/>
        <v>0</v>
      </c>
      <c r="N361" s="59">
        <f t="shared" si="87"/>
        <v>0</v>
      </c>
      <c r="O361" s="59">
        <f t="shared" si="88"/>
        <v>0</v>
      </c>
      <c r="P361" s="59">
        <f t="shared" si="89"/>
        <v>394.09123253120998</v>
      </c>
      <c r="Q361" s="59">
        <f>IF(H361=1,I361*VEHICLE!$C$69,IF(H361=2,VEHICLE!$C$70*I361,IF(H361=3,VEHICLE!$C$71*I361,0)))</f>
        <v>0.87525000000000008</v>
      </c>
      <c r="R361" s="59">
        <f>(J361+K361+O361+Q361)</f>
        <v>394.96648253120998</v>
      </c>
      <c r="S361" s="59">
        <f t="shared" si="90"/>
        <v>394.96648253120998</v>
      </c>
      <c r="T361" s="59">
        <f>ABS((R361)/((2*PI()*G361)/60))</f>
        <v>0.65593949270046048</v>
      </c>
      <c r="U361" s="59">
        <f t="shared" si="91"/>
        <v>1</v>
      </c>
      <c r="V361" s="59">
        <f>INDEX(BSFC!$D$4:$AD$26,MATCH(U361,BSFC!$B$4:$B$26,0),MATCH(G361,BSFC!$D$2:$AD$2,0))</f>
        <v>963.78871919999995</v>
      </c>
      <c r="W361" s="59">
        <f t="shared" si="95"/>
        <v>0.10574006675713445</v>
      </c>
      <c r="X361" s="59">
        <f t="shared" si="92"/>
        <v>0.10574006675713445</v>
      </c>
      <c r="Y361" s="59">
        <f t="shared" si="93"/>
        <v>0.32673680627954543</v>
      </c>
      <c r="Z361" s="79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x14ac:dyDescent="0.3">
      <c r="A362" s="55">
        <v>2</v>
      </c>
      <c r="B362" s="59" t="s">
        <v>106</v>
      </c>
      <c r="C362" s="59">
        <f t="shared" si="106"/>
        <v>359</v>
      </c>
      <c r="D362" s="59">
        <f t="shared" si="86"/>
        <v>27.76117</v>
      </c>
      <c r="E362" s="91">
        <f>E361+1</f>
        <v>12.41</v>
      </c>
      <c r="F362" s="91">
        <f>($C$4/E362)+F361</f>
        <v>44.285379280526392</v>
      </c>
      <c r="G362" s="59">
        <f t="shared" si="104"/>
        <v>6000</v>
      </c>
      <c r="H362" s="59">
        <v>3</v>
      </c>
      <c r="I362" s="91">
        <f>E362-E361</f>
        <v>1</v>
      </c>
      <c r="J362" s="59">
        <f>(0.5*VEHICLE!$C$71*VEHICLE!$C$28*VEHICLE!$C$27*'Drive Cycle'!E362^2)</f>
        <v>137.00623719320998</v>
      </c>
      <c r="K362" s="59">
        <f>IF(A362=1,VEHICLE!$S$5,IF(A362=2,VEHICLE!$Q$5,IF(A362=3,VEHICLE!$R$5,IF(A362=4,VEHICLE!$P$5,1))))</f>
        <v>278.27536500000002</v>
      </c>
      <c r="L362" s="59">
        <f t="shared" si="100"/>
        <v>0</v>
      </c>
      <c r="M362" s="59">
        <f t="shared" si="94"/>
        <v>0</v>
      </c>
      <c r="N362" s="59">
        <f t="shared" si="87"/>
        <v>0</v>
      </c>
      <c r="O362" s="59">
        <f t="shared" si="88"/>
        <v>0</v>
      </c>
      <c r="P362" s="59">
        <f t="shared" si="89"/>
        <v>415.28160219321001</v>
      </c>
      <c r="Q362" s="59">
        <f>IF(H362=1,I362*VEHICLE!$C$69,IF(H362=2,VEHICLE!$C$70*I362,IF(H362=3,VEHICLE!$C$71*I362,0)))</f>
        <v>1.167</v>
      </c>
      <c r="R362" s="59">
        <f>(J362+K362+O362+Q362)</f>
        <v>416.44860219320998</v>
      </c>
      <c r="S362" s="59">
        <f t="shared" si="90"/>
        <v>416.44860219320998</v>
      </c>
      <c r="T362" s="59">
        <f>ABS((R362)/((2*PI()*G362)/60))</f>
        <v>0.66279853582759696</v>
      </c>
      <c r="U362" s="59">
        <f t="shared" si="91"/>
        <v>1</v>
      </c>
      <c r="V362" s="59">
        <f>INDEX(BSFC!$D$4:$AD$26,MATCH(U362,BSFC!$B$4:$B$26,0),MATCH(G362,BSFC!$D$2:$AD$2,0))</f>
        <v>933.91499472000044</v>
      </c>
      <c r="W362" s="59">
        <f t="shared" si="95"/>
        <v>0.10803544281067312</v>
      </c>
      <c r="X362" s="59">
        <f t="shared" si="92"/>
        <v>0.10803544281067312</v>
      </c>
      <c r="Y362" s="59">
        <f t="shared" si="93"/>
        <v>0.33382951828497992</v>
      </c>
      <c r="Z362" s="79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x14ac:dyDescent="0.3">
      <c r="A363" s="55">
        <v>2</v>
      </c>
      <c r="B363" s="59" t="s">
        <v>106</v>
      </c>
      <c r="C363" s="59">
        <f t="shared" si="106"/>
        <v>360</v>
      </c>
      <c r="D363" s="59">
        <f t="shared" si="86"/>
        <v>29.998170000000002</v>
      </c>
      <c r="E363" s="91">
        <f>E362+1</f>
        <v>13.41</v>
      </c>
      <c r="F363" s="91">
        <f>($C$4/E363)+F362</f>
        <v>44.359950496037207</v>
      </c>
      <c r="G363" s="59">
        <v>7000</v>
      </c>
      <c r="H363" s="59">
        <v>3</v>
      </c>
      <c r="I363" s="91">
        <f>E363-E362</f>
        <v>1</v>
      </c>
      <c r="J363" s="59">
        <f>(0.5*VEHICLE!$C$71*VEHICLE!$C$28*VEHICLE!$C$27*'Drive Cycle'!E363^2)</f>
        <v>159.97581505520998</v>
      </c>
      <c r="K363" s="59">
        <f>IF(A363=1,VEHICLE!$S$5,IF(A363=2,VEHICLE!$Q$5,IF(A363=3,VEHICLE!$R$5,IF(A363=4,VEHICLE!$P$5,1))))</f>
        <v>278.27536500000002</v>
      </c>
      <c r="L363" s="59">
        <f t="shared" si="100"/>
        <v>0</v>
      </c>
      <c r="M363" s="59">
        <f t="shared" si="94"/>
        <v>0</v>
      </c>
      <c r="N363" s="59">
        <f t="shared" si="87"/>
        <v>0</v>
      </c>
      <c r="O363" s="59">
        <f t="shared" si="88"/>
        <v>0</v>
      </c>
      <c r="P363" s="59">
        <f t="shared" si="89"/>
        <v>438.25118005521</v>
      </c>
      <c r="Q363" s="59">
        <f>IF(H363=1,I363*VEHICLE!$C$69,IF(H363=2,VEHICLE!$C$70*I363,IF(H363=3,VEHICLE!$C$71*I363,0)))</f>
        <v>1.167</v>
      </c>
      <c r="R363" s="59">
        <f>(J363+K363+O363+Q363)</f>
        <v>439.41818005520997</v>
      </c>
      <c r="S363" s="59">
        <f t="shared" si="90"/>
        <v>439.41818005520997</v>
      </c>
      <c r="T363" s="59">
        <f>ABS((R363)/((2*PI()*G363)/60))</f>
        <v>0.59944778948769573</v>
      </c>
      <c r="U363" s="59">
        <f t="shared" si="91"/>
        <v>1</v>
      </c>
      <c r="V363" s="59">
        <f>INDEX(BSFC!$D$4:$AD$26,MATCH(U363,BSFC!$B$4:$B$26,0),MATCH(G363,BSFC!$D$2:$AD$2,0))</f>
        <v>920.25590927999997</v>
      </c>
      <c r="W363" s="59">
        <f t="shared" si="95"/>
        <v>0.11232699356690833</v>
      </c>
      <c r="X363" s="59">
        <f t="shared" si="92"/>
        <v>0.11232699356690833</v>
      </c>
      <c r="Y363" s="59">
        <f t="shared" si="93"/>
        <v>0.34709041012174668</v>
      </c>
      <c r="Z363" s="79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x14ac:dyDescent="0.3">
      <c r="A364" s="55">
        <v>2</v>
      </c>
      <c r="B364" s="59" t="s">
        <v>106</v>
      </c>
      <c r="C364" s="59">
        <f t="shared" si="106"/>
        <v>361</v>
      </c>
      <c r="D364" s="59">
        <f t="shared" si="86"/>
        <v>29.998170000000002</v>
      </c>
      <c r="E364" s="59">
        <f>E363</f>
        <v>13.41</v>
      </c>
      <c r="F364" s="91">
        <f>($C$4/E364)+F363</f>
        <v>44.434521711548022</v>
      </c>
      <c r="G364" s="59">
        <v>7000</v>
      </c>
      <c r="H364" s="59">
        <v>3</v>
      </c>
      <c r="I364" s="91">
        <f>E364-E363</f>
        <v>0</v>
      </c>
      <c r="J364" s="59">
        <f>(0.5*VEHICLE!$C$71*VEHICLE!$C$28*VEHICLE!$C$27*'Drive Cycle'!E364^2)</f>
        <v>159.97581505520998</v>
      </c>
      <c r="K364" s="59">
        <f>IF(A364=1,VEHICLE!$S$5,IF(A364=2,VEHICLE!$Q$5,IF(A364=3,VEHICLE!$R$5,IF(A364=4,VEHICLE!$P$5,1))))</f>
        <v>278.27536500000002</v>
      </c>
      <c r="L364" s="59">
        <f t="shared" si="100"/>
        <v>0</v>
      </c>
      <c r="M364" s="59">
        <f t="shared" si="94"/>
        <v>0</v>
      </c>
      <c r="N364" s="59">
        <f t="shared" si="87"/>
        <v>0</v>
      </c>
      <c r="O364" s="59">
        <f t="shared" si="88"/>
        <v>0</v>
      </c>
      <c r="P364" s="59">
        <f t="shared" si="89"/>
        <v>438.25118005521</v>
      </c>
      <c r="Q364" s="59">
        <f>IF(H364=1,I364*VEHICLE!$C$69,IF(H364=2,VEHICLE!$C$70*I364,IF(H364=3,VEHICLE!$C$71*I364,0)))</f>
        <v>0</v>
      </c>
      <c r="R364" s="59">
        <f>(J364+K364+O364+Q364)</f>
        <v>438.25118005521</v>
      </c>
      <c r="S364" s="59">
        <f t="shared" si="90"/>
        <v>438.25118005521</v>
      </c>
      <c r="T364" s="59">
        <f>ABS((R364)/((2*PI()*G364)/60))</f>
        <v>0.59785578532836803</v>
      </c>
      <c r="U364" s="59">
        <f t="shared" si="91"/>
        <v>1</v>
      </c>
      <c r="V364" s="59">
        <f>INDEX(BSFC!$D$4:$AD$26,MATCH(U364,BSFC!$B$4:$B$26,0),MATCH(G364,BSFC!$D$2:$AD$2,0))</f>
        <v>920.25590927999997</v>
      </c>
      <c r="W364" s="59">
        <f t="shared" si="95"/>
        <v>0.11202867727631674</v>
      </c>
      <c r="X364" s="59">
        <f t="shared" si="92"/>
        <v>0.11202867727631674</v>
      </c>
      <c r="Y364" s="59">
        <f t="shared" si="93"/>
        <v>0.34616861278381872</v>
      </c>
      <c r="Z364" s="79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x14ac:dyDescent="0.3">
      <c r="A365" s="55">
        <v>2</v>
      </c>
      <c r="B365" s="59" t="s">
        <v>106</v>
      </c>
      <c r="C365" s="59">
        <f t="shared" si="106"/>
        <v>362</v>
      </c>
      <c r="D365" s="59">
        <f t="shared" si="86"/>
        <v>29.998170000000002</v>
      </c>
      <c r="E365" s="59">
        <f t="shared" ref="E365:E369" si="107">E364</f>
        <v>13.41</v>
      </c>
      <c r="F365" s="91">
        <f>($C$4/E365)+F364</f>
        <v>44.509092927058838</v>
      </c>
      <c r="G365" s="59">
        <v>7000</v>
      </c>
      <c r="H365" s="59">
        <v>3</v>
      </c>
      <c r="I365" s="91">
        <f>E365-E364</f>
        <v>0</v>
      </c>
      <c r="J365" s="59">
        <f>(0.5*VEHICLE!$C$71*VEHICLE!$C$28*VEHICLE!$C$27*'Drive Cycle'!E365^2)</f>
        <v>159.97581505520998</v>
      </c>
      <c r="K365" s="59">
        <f>IF(A365=1,VEHICLE!$S$5,IF(A365=2,VEHICLE!$Q$5,IF(A365=3,VEHICLE!$R$5,IF(A365=4,VEHICLE!$P$5,1))))</f>
        <v>278.27536500000002</v>
      </c>
      <c r="L365" s="59">
        <f t="shared" si="100"/>
        <v>0</v>
      </c>
      <c r="M365" s="59">
        <f t="shared" si="94"/>
        <v>0</v>
      </c>
      <c r="N365" s="59">
        <f t="shared" si="87"/>
        <v>0</v>
      </c>
      <c r="O365" s="59">
        <f t="shared" si="88"/>
        <v>0</v>
      </c>
      <c r="P365" s="59">
        <f t="shared" si="89"/>
        <v>438.25118005521</v>
      </c>
      <c r="Q365" s="59">
        <f>IF(H365=1,I365*VEHICLE!$C$69,IF(H365=2,VEHICLE!$C$70*I365,IF(H365=3,VEHICLE!$C$71*I365,0)))</f>
        <v>0</v>
      </c>
      <c r="R365" s="59">
        <f>(J365+K365+O365+Q365)</f>
        <v>438.25118005521</v>
      </c>
      <c r="S365" s="59">
        <f t="shared" si="90"/>
        <v>438.25118005521</v>
      </c>
      <c r="T365" s="59">
        <f>ABS((R365)/((2*PI()*G365)/60))</f>
        <v>0.59785578532836803</v>
      </c>
      <c r="U365" s="59">
        <f t="shared" si="91"/>
        <v>1</v>
      </c>
      <c r="V365" s="59">
        <f>INDEX(BSFC!$D$4:$AD$26,MATCH(U365,BSFC!$B$4:$B$26,0),MATCH(G365,BSFC!$D$2:$AD$2,0))</f>
        <v>920.25590927999997</v>
      </c>
      <c r="W365" s="59">
        <f t="shared" si="95"/>
        <v>0.11202867727631674</v>
      </c>
      <c r="X365" s="59">
        <f t="shared" si="92"/>
        <v>0.11202867727631674</v>
      </c>
      <c r="Y365" s="59">
        <f t="shared" si="93"/>
        <v>0.34616861278381872</v>
      </c>
      <c r="Z365" s="79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x14ac:dyDescent="0.3">
      <c r="A366" s="55">
        <v>2</v>
      </c>
      <c r="B366" s="59" t="s">
        <v>106</v>
      </c>
      <c r="C366" s="59">
        <f t="shared" si="106"/>
        <v>363</v>
      </c>
      <c r="D366" s="59">
        <f t="shared" si="86"/>
        <v>29.998170000000002</v>
      </c>
      <c r="E366" s="59">
        <f t="shared" si="107"/>
        <v>13.41</v>
      </c>
      <c r="F366" s="91">
        <f>($C$4/E366)+F365</f>
        <v>44.583664142569653</v>
      </c>
      <c r="G366" s="59">
        <v>7000</v>
      </c>
      <c r="H366" s="59">
        <v>3</v>
      </c>
      <c r="I366" s="91">
        <f>E366-E365</f>
        <v>0</v>
      </c>
      <c r="J366" s="59">
        <f>(0.5*VEHICLE!$C$71*VEHICLE!$C$28*VEHICLE!$C$27*'Drive Cycle'!E366^2)</f>
        <v>159.97581505520998</v>
      </c>
      <c r="K366" s="59">
        <f>IF(A366=1,VEHICLE!$S$5,IF(A366=2,VEHICLE!$Q$5,IF(A366=3,VEHICLE!$R$5,IF(A366=4,VEHICLE!$P$5,1))))</f>
        <v>278.27536500000002</v>
      </c>
      <c r="L366" s="59">
        <f t="shared" si="100"/>
        <v>0</v>
      </c>
      <c r="M366" s="59">
        <f t="shared" si="94"/>
        <v>0</v>
      </c>
      <c r="N366" s="59">
        <f t="shared" si="87"/>
        <v>0</v>
      </c>
      <c r="O366" s="59">
        <f t="shared" si="88"/>
        <v>0</v>
      </c>
      <c r="P366" s="59">
        <f t="shared" si="89"/>
        <v>438.25118005521</v>
      </c>
      <c r="Q366" s="59">
        <f>IF(H366=1,I366*VEHICLE!$C$69,IF(H366=2,VEHICLE!$C$70*I366,IF(H366=3,VEHICLE!$C$71*I366,0)))</f>
        <v>0</v>
      </c>
      <c r="R366" s="59">
        <f>(J366+K366+O366+Q366)</f>
        <v>438.25118005521</v>
      </c>
      <c r="S366" s="59">
        <f t="shared" si="90"/>
        <v>438.25118005521</v>
      </c>
      <c r="T366" s="59">
        <f>ABS((R366)/((2*PI()*G366)/60))</f>
        <v>0.59785578532836803</v>
      </c>
      <c r="U366" s="59">
        <f t="shared" si="91"/>
        <v>1</v>
      </c>
      <c r="V366" s="59">
        <f>INDEX(BSFC!$D$4:$AD$26,MATCH(U366,BSFC!$B$4:$B$26,0),MATCH(G366,BSFC!$D$2:$AD$2,0))</f>
        <v>920.25590927999997</v>
      </c>
      <c r="W366" s="59">
        <f t="shared" si="95"/>
        <v>0.11202867727631674</v>
      </c>
      <c r="X366" s="59">
        <f t="shared" si="92"/>
        <v>0.11202867727631674</v>
      </c>
      <c r="Y366" s="59">
        <f t="shared" si="93"/>
        <v>0.34616861278381872</v>
      </c>
      <c r="Z366" s="79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x14ac:dyDescent="0.3">
      <c r="A367" s="55">
        <v>2</v>
      </c>
      <c r="B367" s="59" t="s">
        <v>106</v>
      </c>
      <c r="C367" s="59">
        <f t="shared" si="106"/>
        <v>364</v>
      </c>
      <c r="D367" s="59">
        <f t="shared" si="86"/>
        <v>29.998170000000002</v>
      </c>
      <c r="E367" s="59">
        <f t="shared" si="107"/>
        <v>13.41</v>
      </c>
      <c r="F367" s="91">
        <f>($C$4/E367)+F366</f>
        <v>44.658235358080468</v>
      </c>
      <c r="G367" s="59">
        <v>7000</v>
      </c>
      <c r="H367" s="59">
        <v>3</v>
      </c>
      <c r="I367" s="91">
        <f>E367-E366</f>
        <v>0</v>
      </c>
      <c r="J367" s="59">
        <f>(0.5*VEHICLE!$C$71*VEHICLE!$C$28*VEHICLE!$C$27*'Drive Cycle'!E367^2)</f>
        <v>159.97581505520998</v>
      </c>
      <c r="K367" s="59">
        <f>IF(A367=1,VEHICLE!$S$5,IF(A367=2,VEHICLE!$Q$5,IF(A367=3,VEHICLE!$R$5,IF(A367=4,VEHICLE!$P$5,1))))</f>
        <v>278.27536500000002</v>
      </c>
      <c r="L367" s="59">
        <f t="shared" si="100"/>
        <v>0</v>
      </c>
      <c r="M367" s="59">
        <f t="shared" si="94"/>
        <v>0</v>
      </c>
      <c r="N367" s="59">
        <f t="shared" si="87"/>
        <v>0</v>
      </c>
      <c r="O367" s="59">
        <f t="shared" si="88"/>
        <v>0</v>
      </c>
      <c r="P367" s="59">
        <f t="shared" si="89"/>
        <v>438.25118005521</v>
      </c>
      <c r="Q367" s="59">
        <f>IF(H367=1,I367*VEHICLE!$C$69,IF(H367=2,VEHICLE!$C$70*I367,IF(H367=3,VEHICLE!$C$71*I367,0)))</f>
        <v>0</v>
      </c>
      <c r="R367" s="59">
        <f>(J367+K367+O367+Q367)</f>
        <v>438.25118005521</v>
      </c>
      <c r="S367" s="59">
        <f t="shared" si="90"/>
        <v>438.25118005521</v>
      </c>
      <c r="T367" s="59">
        <f>ABS((R367)/((2*PI()*G367)/60))</f>
        <v>0.59785578532836803</v>
      </c>
      <c r="U367" s="59">
        <f t="shared" si="91"/>
        <v>1</v>
      </c>
      <c r="V367" s="59">
        <f>INDEX(BSFC!$D$4:$AD$26,MATCH(U367,BSFC!$B$4:$B$26,0),MATCH(G367,BSFC!$D$2:$AD$2,0))</f>
        <v>920.25590927999997</v>
      </c>
      <c r="W367" s="59">
        <f t="shared" si="95"/>
        <v>0.11202867727631674</v>
      </c>
      <c r="X367" s="59">
        <f t="shared" si="92"/>
        <v>0.11202867727631674</v>
      </c>
      <c r="Y367" s="59">
        <f t="shared" si="93"/>
        <v>0.34616861278381872</v>
      </c>
      <c r="Z367" s="79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x14ac:dyDescent="0.3">
      <c r="A368" s="55">
        <v>2</v>
      </c>
      <c r="B368" s="59" t="s">
        <v>106</v>
      </c>
      <c r="C368" s="59">
        <f t="shared" si="106"/>
        <v>365</v>
      </c>
      <c r="D368" s="59">
        <f t="shared" si="86"/>
        <v>29.998170000000002</v>
      </c>
      <c r="E368" s="59">
        <f t="shared" si="107"/>
        <v>13.41</v>
      </c>
      <c r="F368" s="91">
        <f>($C$4/E368)+F367</f>
        <v>44.732806573591283</v>
      </c>
      <c r="G368" s="59">
        <v>7000</v>
      </c>
      <c r="H368" s="59">
        <v>3</v>
      </c>
      <c r="I368" s="91">
        <f>E368-E367</f>
        <v>0</v>
      </c>
      <c r="J368" s="59">
        <f>(0.5*VEHICLE!$C$71*VEHICLE!$C$28*VEHICLE!$C$27*'Drive Cycle'!E368^2)</f>
        <v>159.97581505520998</v>
      </c>
      <c r="K368" s="59">
        <f>IF(A368=1,VEHICLE!$S$5,IF(A368=2,VEHICLE!$Q$5,IF(A368=3,VEHICLE!$R$5,IF(A368=4,VEHICLE!$P$5,1))))</f>
        <v>278.27536500000002</v>
      </c>
      <c r="L368" s="59">
        <f t="shared" si="100"/>
        <v>0</v>
      </c>
      <c r="M368" s="59">
        <f t="shared" si="94"/>
        <v>0</v>
      </c>
      <c r="N368" s="59">
        <f t="shared" si="87"/>
        <v>0</v>
      </c>
      <c r="O368" s="59">
        <f t="shared" si="88"/>
        <v>0</v>
      </c>
      <c r="P368" s="59">
        <f t="shared" si="89"/>
        <v>438.25118005521</v>
      </c>
      <c r="Q368" s="59">
        <f>IF(H368=1,I368*VEHICLE!$C$69,IF(H368=2,VEHICLE!$C$70*I368,IF(H368=3,VEHICLE!$C$71*I368,0)))</f>
        <v>0</v>
      </c>
      <c r="R368" s="59">
        <f>(J368+K368+O368+Q368)</f>
        <v>438.25118005521</v>
      </c>
      <c r="S368" s="59">
        <f t="shared" si="90"/>
        <v>438.25118005521</v>
      </c>
      <c r="T368" s="59">
        <f>ABS((R368)/((2*PI()*G368)/60))</f>
        <v>0.59785578532836803</v>
      </c>
      <c r="U368" s="59">
        <f t="shared" si="91"/>
        <v>1</v>
      </c>
      <c r="V368" s="59">
        <f>INDEX(BSFC!$D$4:$AD$26,MATCH(U368,BSFC!$B$4:$B$26,0),MATCH(G368,BSFC!$D$2:$AD$2,0))</f>
        <v>920.25590927999997</v>
      </c>
      <c r="W368" s="59">
        <f t="shared" si="95"/>
        <v>0.11202867727631674</v>
      </c>
      <c r="X368" s="59">
        <f t="shared" si="92"/>
        <v>0.11202867727631674</v>
      </c>
      <c r="Y368" s="59">
        <f t="shared" si="93"/>
        <v>0.34616861278381872</v>
      </c>
      <c r="Z368" s="79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x14ac:dyDescent="0.3">
      <c r="A369" s="55">
        <v>2</v>
      </c>
      <c r="B369" s="59" t="s">
        <v>106</v>
      </c>
      <c r="C369" s="59">
        <f t="shared" si="106"/>
        <v>366</v>
      </c>
      <c r="D369" s="59">
        <f t="shared" si="86"/>
        <v>29.998170000000002</v>
      </c>
      <c r="E369" s="59">
        <f t="shared" si="107"/>
        <v>13.41</v>
      </c>
      <c r="F369" s="91">
        <f>($C$4/E369)+F368</f>
        <v>44.807377789102098</v>
      </c>
      <c r="G369" s="59">
        <v>7000</v>
      </c>
      <c r="H369" s="59">
        <v>3</v>
      </c>
      <c r="I369" s="91">
        <f>E369-E368</f>
        <v>0</v>
      </c>
      <c r="J369" s="59">
        <f>(0.5*VEHICLE!$C$71*VEHICLE!$C$28*VEHICLE!$C$27*'Drive Cycle'!E369^2)</f>
        <v>159.97581505520998</v>
      </c>
      <c r="K369" s="59">
        <f>IF(A369=1,VEHICLE!$S$5,IF(A369=2,VEHICLE!$Q$5,IF(A369=3,VEHICLE!$R$5,IF(A369=4,VEHICLE!$P$5,1))))</f>
        <v>278.27536500000002</v>
      </c>
      <c r="L369" s="59">
        <f t="shared" si="100"/>
        <v>0</v>
      </c>
      <c r="M369" s="59">
        <f t="shared" si="94"/>
        <v>0</v>
      </c>
      <c r="N369" s="59">
        <f t="shared" si="87"/>
        <v>0</v>
      </c>
      <c r="O369" s="59">
        <f t="shared" si="88"/>
        <v>0</v>
      </c>
      <c r="P369" s="59">
        <f t="shared" si="89"/>
        <v>438.25118005521</v>
      </c>
      <c r="Q369" s="59">
        <f>IF(H369=1,I369*VEHICLE!$C$69,IF(H369=2,VEHICLE!$C$70*I369,IF(H369=3,VEHICLE!$C$71*I369,0)))</f>
        <v>0</v>
      </c>
      <c r="R369" s="59">
        <f>(J369+K369+O369+Q369)</f>
        <v>438.25118005521</v>
      </c>
      <c r="S369" s="59">
        <f t="shared" si="90"/>
        <v>438.25118005521</v>
      </c>
      <c r="T369" s="59">
        <f>ABS((R369)/((2*PI()*G369)/60))</f>
        <v>0.59785578532836803</v>
      </c>
      <c r="U369" s="59">
        <f t="shared" si="91"/>
        <v>1</v>
      </c>
      <c r="V369" s="59">
        <f>INDEX(BSFC!$D$4:$AD$26,MATCH(U369,BSFC!$B$4:$B$26,0),MATCH(G369,BSFC!$D$2:$AD$2,0))</f>
        <v>920.25590927999997</v>
      </c>
      <c r="W369" s="59">
        <f t="shared" si="95"/>
        <v>0.11202867727631674</v>
      </c>
      <c r="X369" s="59">
        <f t="shared" si="92"/>
        <v>0.11202867727631674</v>
      </c>
      <c r="Y369" s="59">
        <f t="shared" si="93"/>
        <v>0.34616861278381872</v>
      </c>
      <c r="Z369" s="79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x14ac:dyDescent="0.3">
      <c r="A370" s="55">
        <v>2</v>
      </c>
      <c r="B370" s="59" t="s">
        <v>106</v>
      </c>
      <c r="C370" s="59">
        <f t="shared" si="106"/>
        <v>367</v>
      </c>
      <c r="D370" s="59">
        <f t="shared" si="86"/>
        <v>28.320420000000002</v>
      </c>
      <c r="E370" s="59">
        <f t="shared" ref="E370:E374" si="108">E369-0.75</f>
        <v>12.66</v>
      </c>
      <c r="F370" s="91">
        <f>($C$4/E370)+F369</f>
        <v>44.88636673065028</v>
      </c>
      <c r="G370" s="59">
        <f>G369-500</f>
        <v>6500</v>
      </c>
      <c r="H370" s="59">
        <v>2</v>
      </c>
      <c r="I370" s="91">
        <f>E370-E369</f>
        <v>-0.75</v>
      </c>
      <c r="J370" s="59">
        <f>(0.5*VEHICLE!$C$71*VEHICLE!$C$28*VEHICLE!$C$27*'Drive Cycle'!E370^2)</f>
        <v>142.58183088995997</v>
      </c>
      <c r="K370" s="59">
        <f>IF(A370=1,VEHICLE!$S$5,IF(A370=2,VEHICLE!$Q$5,IF(A370=3,VEHICLE!$R$5,IF(A370=4,VEHICLE!$P$5,1))))</f>
        <v>278.27536500000002</v>
      </c>
      <c r="L370" s="59">
        <f t="shared" si="100"/>
        <v>0</v>
      </c>
      <c r="M370" s="59">
        <f t="shared" si="94"/>
        <v>0</v>
      </c>
      <c r="N370" s="59">
        <f t="shared" si="87"/>
        <v>0</v>
      </c>
      <c r="O370" s="59">
        <f t="shared" si="88"/>
        <v>0</v>
      </c>
      <c r="P370" s="59">
        <f t="shared" si="89"/>
        <v>420.85719588996</v>
      </c>
      <c r="Q370" s="59">
        <f>IF(H370=1,I370*VEHICLE!$C$69,IF(H370=2,VEHICLE!$C$70*I370,IF(H370=3,VEHICLE!$C$71*I370,0)))</f>
        <v>-438.86136489758803</v>
      </c>
      <c r="R370" s="59">
        <f>(J370+K370+O370+Q370)</f>
        <v>-18.004169007628036</v>
      </c>
      <c r="S370" s="59">
        <f t="shared" si="90"/>
        <v>18.004169007628036</v>
      </c>
      <c r="T370" s="59">
        <f>ABS((R370)/((2*PI()*G370)/60))</f>
        <v>2.645033071223913E-2</v>
      </c>
      <c r="U370" s="59">
        <f t="shared" si="91"/>
        <v>1</v>
      </c>
      <c r="V370" s="59">
        <f>INDEX(BSFC!$D$4:$AD$26,MATCH(U370,BSFC!$B$4:$B$26,0),MATCH(G370,BSFC!$D$2:$AD$2,0))</f>
        <v>925.65735288000019</v>
      </c>
      <c r="W370" s="59">
        <f t="shared" si="95"/>
        <v>-4.6293587290014192E-3</v>
      </c>
      <c r="X370" s="59">
        <f t="shared" si="92"/>
        <v>4.6293587290014192E-3</v>
      </c>
      <c r="Y370" s="59">
        <f t="shared" si="93"/>
        <v>-1.4304718472614384E-2</v>
      </c>
      <c r="Z370" s="79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x14ac:dyDescent="0.3">
      <c r="A371" s="55">
        <v>2</v>
      </c>
      <c r="B371" s="59" t="s">
        <v>106</v>
      </c>
      <c r="C371" s="59">
        <f t="shared" si="106"/>
        <v>368</v>
      </c>
      <c r="D371" s="59">
        <f t="shared" si="86"/>
        <v>26.642670000000003</v>
      </c>
      <c r="E371" s="59">
        <f t="shared" si="108"/>
        <v>11.91</v>
      </c>
      <c r="F371" s="91">
        <f>($C$4/E371)+F370</f>
        <v>44.970329786905531</v>
      </c>
      <c r="G371" s="59">
        <f t="shared" ref="G371:G381" si="109">G370-500</f>
        <v>6000</v>
      </c>
      <c r="H371" s="59">
        <v>2</v>
      </c>
      <c r="I371" s="91">
        <f>E371-E370</f>
        <v>-0.75</v>
      </c>
      <c r="J371" s="59">
        <f>(0.5*VEHICLE!$C$71*VEHICLE!$C$28*VEHICLE!$C$27*'Drive Cycle'!E371^2)</f>
        <v>126.18865133721</v>
      </c>
      <c r="K371" s="59">
        <f>IF(A371=1,VEHICLE!$S$5,IF(A371=2,VEHICLE!$Q$5,IF(A371=3,VEHICLE!$R$5,IF(A371=4,VEHICLE!$P$5,1))))</f>
        <v>278.27536500000002</v>
      </c>
      <c r="L371" s="59">
        <f t="shared" si="100"/>
        <v>0</v>
      </c>
      <c r="M371" s="59">
        <f t="shared" si="94"/>
        <v>0</v>
      </c>
      <c r="N371" s="59">
        <f t="shared" si="87"/>
        <v>0</v>
      </c>
      <c r="O371" s="59">
        <f t="shared" si="88"/>
        <v>0</v>
      </c>
      <c r="P371" s="59">
        <f t="shared" si="89"/>
        <v>404.46401633721001</v>
      </c>
      <c r="Q371" s="59">
        <f>IF(H371=1,I371*VEHICLE!$C$69,IF(H371=2,VEHICLE!$C$70*I371,IF(H371=3,VEHICLE!$C$71*I371,0)))</f>
        <v>-438.86136489758803</v>
      </c>
      <c r="R371" s="59">
        <f>(J371+K371+O371+Q371)</f>
        <v>-34.39734856037802</v>
      </c>
      <c r="S371" s="59">
        <f t="shared" si="90"/>
        <v>34.39734856037802</v>
      </c>
      <c r="T371" s="59">
        <f>ABS((R371)/((2*PI()*G371)/60))</f>
        <v>5.4745080526390516E-2</v>
      </c>
      <c r="U371" s="59">
        <f t="shared" si="91"/>
        <v>1</v>
      </c>
      <c r="V371" s="59">
        <f>INDEX(BSFC!$D$4:$AD$26,MATCH(U371,BSFC!$B$4:$B$26,0),MATCH(G371,BSFC!$D$2:$AD$2,0))</f>
        <v>933.91499472000044</v>
      </c>
      <c r="W371" s="59">
        <f t="shared" si="95"/>
        <v>-8.9233887775409595E-3</v>
      </c>
      <c r="X371" s="59">
        <f t="shared" si="92"/>
        <v>8.9233887775409595E-3</v>
      </c>
      <c r="Y371" s="59">
        <f t="shared" si="93"/>
        <v>-2.7573271322601563E-2</v>
      </c>
      <c r="Z371" s="79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x14ac:dyDescent="0.3">
      <c r="A372" s="55">
        <v>2</v>
      </c>
      <c r="B372" s="59" t="s">
        <v>106</v>
      </c>
      <c r="C372" s="59">
        <f t="shared" si="106"/>
        <v>369</v>
      </c>
      <c r="D372" s="59">
        <f t="shared" si="86"/>
        <v>24.964920000000003</v>
      </c>
      <c r="E372" s="59">
        <f t="shared" si="108"/>
        <v>11.16</v>
      </c>
      <c r="F372" s="91">
        <f>($C$4/E372)+F371</f>
        <v>45.059935521672557</v>
      </c>
      <c r="G372" s="59">
        <f t="shared" si="109"/>
        <v>5500</v>
      </c>
      <c r="H372" s="59">
        <v>2</v>
      </c>
      <c r="I372" s="91">
        <f>E372-E371</f>
        <v>-0.75</v>
      </c>
      <c r="J372" s="59">
        <f>(0.5*VEHICLE!$C$71*VEHICLE!$C$28*VEHICLE!$C$27*'Drive Cycle'!E372^2)</f>
        <v>110.79627639696</v>
      </c>
      <c r="K372" s="59">
        <f>IF(A372=1,VEHICLE!$S$5,IF(A372=2,VEHICLE!$Q$5,IF(A372=3,VEHICLE!$R$5,IF(A372=4,VEHICLE!$P$5,1))))</f>
        <v>278.27536500000002</v>
      </c>
      <c r="L372" s="59">
        <f t="shared" si="100"/>
        <v>0</v>
      </c>
      <c r="M372" s="59">
        <f t="shared" si="94"/>
        <v>0</v>
      </c>
      <c r="N372" s="59">
        <f t="shared" si="87"/>
        <v>0</v>
      </c>
      <c r="O372" s="59">
        <f t="shared" si="88"/>
        <v>0</v>
      </c>
      <c r="P372" s="59">
        <f t="shared" si="89"/>
        <v>389.07164139695999</v>
      </c>
      <c r="Q372" s="59">
        <f>IF(H372=1,I372*VEHICLE!$C$69,IF(H372=2,VEHICLE!$C$70*I372,IF(H372=3,VEHICLE!$C$71*I372,0)))</f>
        <v>-438.86136489758803</v>
      </c>
      <c r="R372" s="59">
        <f>(J372+K372+O372+Q372)</f>
        <v>-49.789723500628043</v>
      </c>
      <c r="S372" s="59">
        <f t="shared" si="90"/>
        <v>49.789723500628043</v>
      </c>
      <c r="T372" s="59">
        <f>ABS((R372)/((2*PI()*G372)/60))</f>
        <v>8.6446697566949032E-2</v>
      </c>
      <c r="U372" s="59">
        <f t="shared" si="91"/>
        <v>1</v>
      </c>
      <c r="V372" s="59">
        <f>INDEX(BSFC!$D$4:$AD$26,MATCH(U372,BSFC!$B$4:$B$26,0),MATCH(G372,BSFC!$D$2:$AD$2,0))</f>
        <v>937.88833920000002</v>
      </c>
      <c r="W372" s="59">
        <f t="shared" si="95"/>
        <v>-1.2971444745342012E-2</v>
      </c>
      <c r="X372" s="59">
        <f t="shared" si="92"/>
        <v>1.2971444745342012E-2</v>
      </c>
      <c r="Y372" s="59">
        <f t="shared" si="93"/>
        <v>-4.008176426310682E-2</v>
      </c>
      <c r="Z372" s="79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x14ac:dyDescent="0.3">
      <c r="A373" s="55">
        <v>2</v>
      </c>
      <c r="B373" s="59" t="s">
        <v>106</v>
      </c>
      <c r="C373" s="59">
        <f t="shared" si="106"/>
        <v>370</v>
      </c>
      <c r="D373" s="59">
        <f t="shared" si="86"/>
        <v>23.28717</v>
      </c>
      <c r="E373" s="59">
        <f t="shared" si="108"/>
        <v>10.41</v>
      </c>
      <c r="F373" s="91">
        <f>($C$4/E373)+F372</f>
        <v>45.155997001019337</v>
      </c>
      <c r="G373" s="59">
        <f t="shared" si="109"/>
        <v>5000</v>
      </c>
      <c r="H373" s="59">
        <v>2</v>
      </c>
      <c r="I373" s="91">
        <f>E373-E372</f>
        <v>-0.75</v>
      </c>
      <c r="J373" s="59">
        <f>(0.5*VEHICLE!$C$71*VEHICLE!$C$28*VEHICLE!$C$27*'Drive Cycle'!E373^2)</f>
        <v>96.404706069209993</v>
      </c>
      <c r="K373" s="59">
        <f>IF(A373=1,VEHICLE!$S$5,IF(A373=2,VEHICLE!$Q$5,IF(A373=3,VEHICLE!$R$5,IF(A373=4,VEHICLE!$P$5,1))))</f>
        <v>278.27536500000002</v>
      </c>
      <c r="L373" s="59">
        <f t="shared" si="100"/>
        <v>0</v>
      </c>
      <c r="M373" s="59">
        <f t="shared" si="94"/>
        <v>0</v>
      </c>
      <c r="N373" s="59">
        <f t="shared" si="87"/>
        <v>0</v>
      </c>
      <c r="O373" s="59">
        <f t="shared" si="88"/>
        <v>0</v>
      </c>
      <c r="P373" s="59">
        <f t="shared" si="89"/>
        <v>374.68007106921004</v>
      </c>
      <c r="Q373" s="59">
        <f>IF(H373=1,I373*VEHICLE!$C$69,IF(H373=2,VEHICLE!$C$70*I373,IF(H373=3,VEHICLE!$C$71*I373,0)))</f>
        <v>-438.86136489758803</v>
      </c>
      <c r="R373" s="59">
        <f>(J373+K373+O373+Q373)</f>
        <v>-64.181293828377989</v>
      </c>
      <c r="S373" s="59">
        <f t="shared" si="90"/>
        <v>64.181293828377989</v>
      </c>
      <c r="T373" s="59">
        <f>ABS((R373)/((2*PI()*G373)/60))</f>
        <v>0.12257724200183655</v>
      </c>
      <c r="U373" s="59">
        <f t="shared" si="91"/>
        <v>1</v>
      </c>
      <c r="V373" s="59">
        <f>INDEX(BSFC!$D$4:$AD$26,MATCH(U373,BSFC!$B$4:$B$26,0),MATCH(G373,BSFC!$D$2:$AD$2,0))</f>
        <v>967.30583135999973</v>
      </c>
      <c r="W373" s="59">
        <f t="shared" si="95"/>
        <v>-1.7245261051227666E-2</v>
      </c>
      <c r="X373" s="59">
        <f t="shared" si="92"/>
        <v>1.7245261051227666E-2</v>
      </c>
      <c r="Y373" s="59">
        <f t="shared" si="93"/>
        <v>-5.3287856648293483E-2</v>
      </c>
      <c r="Z373" s="79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x14ac:dyDescent="0.3">
      <c r="A374" s="55">
        <v>2</v>
      </c>
      <c r="B374" s="59" t="s">
        <v>106</v>
      </c>
      <c r="C374" s="59">
        <f t="shared" si="106"/>
        <v>371</v>
      </c>
      <c r="D374" s="59">
        <f t="shared" si="86"/>
        <v>21.60942</v>
      </c>
      <c r="E374" s="59">
        <f t="shared" si="108"/>
        <v>9.66</v>
      </c>
      <c r="F374" s="91">
        <f>($C$4/E374)+F373</f>
        <v>45.259516669756394</v>
      </c>
      <c r="G374" s="59">
        <f t="shared" si="109"/>
        <v>4500</v>
      </c>
      <c r="H374" s="59">
        <v>2</v>
      </c>
      <c r="I374" s="91">
        <f>E374-E373</f>
        <v>-0.75</v>
      </c>
      <c r="J374" s="59">
        <f>(0.5*VEHICLE!$C$71*VEHICLE!$C$28*VEHICLE!$C$27*'Drive Cycle'!E374^2)</f>
        <v>83.013940353959995</v>
      </c>
      <c r="K374" s="59">
        <f>IF(A374=1,VEHICLE!$S$5,IF(A374=2,VEHICLE!$Q$5,IF(A374=3,VEHICLE!$R$5,IF(A374=4,VEHICLE!$P$5,1))))</f>
        <v>278.27536500000002</v>
      </c>
      <c r="L374" s="59">
        <f t="shared" si="100"/>
        <v>0</v>
      </c>
      <c r="M374" s="59">
        <f t="shared" si="94"/>
        <v>0</v>
      </c>
      <c r="N374" s="59">
        <f t="shared" si="87"/>
        <v>0</v>
      </c>
      <c r="O374" s="59">
        <f t="shared" si="88"/>
        <v>0</v>
      </c>
      <c r="P374" s="59">
        <f t="shared" si="89"/>
        <v>361.28930535396</v>
      </c>
      <c r="Q374" s="59">
        <f>IF(H374=1,I374*VEHICLE!$C$69,IF(H374=2,VEHICLE!$C$70*I374,IF(H374=3,VEHICLE!$C$71*I374,0)))</f>
        <v>-438.86136489758803</v>
      </c>
      <c r="R374" s="59">
        <f>(J374+K374+O374+Q374)</f>
        <v>-77.572059543628029</v>
      </c>
      <c r="S374" s="59">
        <f t="shared" si="90"/>
        <v>77.572059543628029</v>
      </c>
      <c r="T374" s="59">
        <f>ABS((R374)/((2*PI()*G374)/60))</f>
        <v>0.16461302296249647</v>
      </c>
      <c r="U374" s="59">
        <f t="shared" si="91"/>
        <v>1</v>
      </c>
      <c r="V374" s="59">
        <f>INDEX(BSFC!$D$4:$AD$26,MATCH(U374,BSFC!$B$4:$B$26,0),MATCH(G374,BSFC!$D$2:$AD$2,0))</f>
        <v>996.72332351999967</v>
      </c>
      <c r="W374" s="59">
        <f t="shared" si="95"/>
        <v>-2.1477189166837843E-2</v>
      </c>
      <c r="X374" s="59">
        <f t="shared" si="92"/>
        <v>2.1477189166837843E-2</v>
      </c>
      <c r="Y374" s="59">
        <f t="shared" si="93"/>
        <v>-6.6364514525528925E-2</v>
      </c>
      <c r="Z374" s="79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x14ac:dyDescent="0.3">
      <c r="A375" s="55">
        <v>2</v>
      </c>
      <c r="B375" s="59" t="s">
        <v>106</v>
      </c>
      <c r="C375" s="59">
        <f t="shared" si="106"/>
        <v>372</v>
      </c>
      <c r="D375" s="59">
        <f t="shared" si="86"/>
        <v>19.93167</v>
      </c>
      <c r="E375" s="59">
        <f>E374-0.75</f>
        <v>8.91</v>
      </c>
      <c r="F375" s="91">
        <f>($C$4/E375)+F374</f>
        <v>45.371750115323174</v>
      </c>
      <c r="G375" s="59">
        <f t="shared" si="109"/>
        <v>4000</v>
      </c>
      <c r="H375" s="59">
        <v>2</v>
      </c>
      <c r="I375" s="91">
        <f>E375-E374</f>
        <v>-0.75</v>
      </c>
      <c r="J375" s="59">
        <f>(0.5*VEHICLE!$C$71*VEHICLE!$C$28*VEHICLE!$C$27*'Drive Cycle'!E375^2)</f>
        <v>70.623979251210002</v>
      </c>
      <c r="K375" s="59">
        <f>IF(A375=1,VEHICLE!$S$5,IF(A375=2,VEHICLE!$Q$5,IF(A375=3,VEHICLE!$R$5,IF(A375=4,VEHICLE!$P$5,1))))</f>
        <v>278.27536500000002</v>
      </c>
      <c r="L375" s="59">
        <f t="shared" si="100"/>
        <v>0</v>
      </c>
      <c r="M375" s="59">
        <f t="shared" si="94"/>
        <v>0</v>
      </c>
      <c r="N375" s="59">
        <f t="shared" si="87"/>
        <v>0</v>
      </c>
      <c r="O375" s="59">
        <f t="shared" si="88"/>
        <v>0</v>
      </c>
      <c r="P375" s="59">
        <f t="shared" si="89"/>
        <v>348.89934425121004</v>
      </c>
      <c r="Q375" s="59">
        <f>IF(H375=1,I375*VEHICLE!$C$69,IF(H375=2,VEHICLE!$C$70*I375,IF(H375=3,VEHICLE!$C$71*I375,0)))</f>
        <v>-438.86136489758803</v>
      </c>
      <c r="R375" s="59">
        <f>(J375+K375+O375+Q375)</f>
        <v>-89.962020646377994</v>
      </c>
      <c r="S375" s="59">
        <f t="shared" si="90"/>
        <v>89.962020646377994</v>
      </c>
      <c r="T375" s="59">
        <f>ABS((R375)/((2*PI()*G375)/60))</f>
        <v>0.21476850414609305</v>
      </c>
      <c r="U375" s="59">
        <f t="shared" si="91"/>
        <v>1</v>
      </c>
      <c r="V375" s="59">
        <f>INDEX(BSFC!$D$4:$AD$26,MATCH(U375,BSFC!$B$4:$B$26,0),MATCH(G375,BSFC!$D$2:$AD$2,0))</f>
        <v>1026.1408156799998</v>
      </c>
      <c r="W375" s="59">
        <f t="shared" si="95"/>
        <v>-2.5642694790637584E-2</v>
      </c>
      <c r="X375" s="59">
        <f t="shared" si="92"/>
        <v>2.5642694790637584E-2</v>
      </c>
      <c r="Y375" s="59">
        <f t="shared" si="93"/>
        <v>-7.9235926903070131E-2</v>
      </c>
      <c r="Z375" s="79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x14ac:dyDescent="0.3">
      <c r="A376" s="55">
        <v>2</v>
      </c>
      <c r="B376" s="59" t="s">
        <v>106</v>
      </c>
      <c r="C376" s="59">
        <f t="shared" si="106"/>
        <v>373</v>
      </c>
      <c r="D376" s="59">
        <f t="shared" si="86"/>
        <v>18.253920000000001</v>
      </c>
      <c r="E376" s="59">
        <f t="shared" ref="E376:E383" si="110">E375-0.75</f>
        <v>8.16</v>
      </c>
      <c r="F376" s="91">
        <f>($C$4/E376)+F375</f>
        <v>45.494299134931019</v>
      </c>
      <c r="G376" s="59">
        <f t="shared" si="109"/>
        <v>3500</v>
      </c>
      <c r="H376" s="59">
        <v>2</v>
      </c>
      <c r="I376" s="91">
        <f>E376-E375</f>
        <v>-0.75</v>
      </c>
      <c r="J376" s="59">
        <f>(0.5*VEHICLE!$C$71*VEHICLE!$C$28*VEHICLE!$C$27*'Drive Cycle'!E376^2)</f>
        <v>59.234822760959993</v>
      </c>
      <c r="K376" s="59">
        <f>IF(A376=1,VEHICLE!$S$5,IF(A376=2,VEHICLE!$Q$5,IF(A376=3,VEHICLE!$R$5,IF(A376=4,VEHICLE!$P$5,1))))</f>
        <v>278.27536500000002</v>
      </c>
      <c r="L376" s="59">
        <f t="shared" si="100"/>
        <v>0</v>
      </c>
      <c r="M376" s="59">
        <f t="shared" si="94"/>
        <v>0</v>
      </c>
      <c r="N376" s="59">
        <f t="shared" si="87"/>
        <v>0</v>
      </c>
      <c r="O376" s="59">
        <f t="shared" si="88"/>
        <v>0</v>
      </c>
      <c r="P376" s="59">
        <f t="shared" si="89"/>
        <v>337.51018776096004</v>
      </c>
      <c r="Q376" s="59">
        <f>IF(H376=1,I376*VEHICLE!$C$69,IF(H376=2,VEHICLE!$C$70*I376,IF(H376=3,VEHICLE!$C$71*I376,0)))</f>
        <v>-438.86136489758803</v>
      </c>
      <c r="R376" s="59">
        <f>(J376+K376+O376+Q376)</f>
        <v>-101.351177136628</v>
      </c>
      <c r="S376" s="59">
        <f t="shared" si="90"/>
        <v>101.351177136628</v>
      </c>
      <c r="T376" s="59">
        <f>ABS((R376)/((2*PI()*G376)/60))</f>
        <v>0.27652355707674231</v>
      </c>
      <c r="U376" s="59">
        <f t="shared" si="91"/>
        <v>1</v>
      </c>
      <c r="V376" s="59">
        <f>INDEX(BSFC!$D$4:$AD$26,MATCH(U376,BSFC!$B$4:$B$26,0),MATCH(G376,BSFC!$D$2:$AD$2,0))</f>
        <v>1034.2259366399996</v>
      </c>
      <c r="W376" s="59">
        <f t="shared" si="95"/>
        <v>-2.9116671139915448E-2</v>
      </c>
      <c r="X376" s="59">
        <f t="shared" si="92"/>
        <v>2.9116671139915448E-2</v>
      </c>
      <c r="Y376" s="59">
        <f t="shared" si="93"/>
        <v>-8.9970513822338727E-2</v>
      </c>
      <c r="Z376" s="79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x14ac:dyDescent="0.3">
      <c r="A377" s="55">
        <v>2</v>
      </c>
      <c r="B377" s="59" t="s">
        <v>106</v>
      </c>
      <c r="C377" s="59">
        <f t="shared" si="106"/>
        <v>374</v>
      </c>
      <c r="D377" s="59">
        <f t="shared" si="86"/>
        <v>16.576170000000001</v>
      </c>
      <c r="E377" s="59">
        <f t="shared" si="110"/>
        <v>7.41</v>
      </c>
      <c r="F377" s="91">
        <f>($C$4/E377)+F376</f>
        <v>45.62925190146273</v>
      </c>
      <c r="G377" s="59">
        <f t="shared" si="109"/>
        <v>3000</v>
      </c>
      <c r="H377" s="59">
        <v>2</v>
      </c>
      <c r="I377" s="91">
        <f>E377-E376</f>
        <v>-0.75</v>
      </c>
      <c r="J377" s="59">
        <f>(0.5*VEHICLE!$C$71*VEHICLE!$C$28*VEHICLE!$C$27*'Drive Cycle'!E377^2)</f>
        <v>48.846470883209996</v>
      </c>
      <c r="K377" s="59">
        <f>IF(A377=1,VEHICLE!$S$5,IF(A377=2,VEHICLE!$Q$5,IF(A377=3,VEHICLE!$R$5,IF(A377=4,VEHICLE!$P$5,1))))</f>
        <v>278.27536500000002</v>
      </c>
      <c r="L377" s="59">
        <f t="shared" si="100"/>
        <v>0</v>
      </c>
      <c r="M377" s="59">
        <f t="shared" si="94"/>
        <v>0</v>
      </c>
      <c r="N377" s="59">
        <f t="shared" si="87"/>
        <v>0</v>
      </c>
      <c r="O377" s="59">
        <f t="shared" si="88"/>
        <v>0</v>
      </c>
      <c r="P377" s="59">
        <f t="shared" si="89"/>
        <v>327.12183588321</v>
      </c>
      <c r="Q377" s="59">
        <f>IF(H377=1,I377*VEHICLE!$C$69,IF(H377=2,VEHICLE!$C$70*I377,IF(H377=3,VEHICLE!$C$71*I377,0)))</f>
        <v>-438.86136489758803</v>
      </c>
      <c r="R377" s="59">
        <f>(J377+K377+O377+Q377)</f>
        <v>-111.73952901437804</v>
      </c>
      <c r="S377" s="59">
        <f t="shared" si="90"/>
        <v>111.73952901437804</v>
      </c>
      <c r="T377" s="59">
        <f>ABS((R377)/((2*PI()*G377)/60))</f>
        <v>0.35567796762797049</v>
      </c>
      <c r="U377" s="59">
        <f t="shared" si="91"/>
        <v>1</v>
      </c>
      <c r="V377" s="59">
        <f>INDEX(BSFC!$D$4:$AD$26,MATCH(U377,BSFC!$B$4:$B$26,0),MATCH(G377,BSFC!$D$2:$AD$2,0))</f>
        <v>1049.8371440000003</v>
      </c>
      <c r="W377" s="59">
        <f t="shared" si="95"/>
        <v>-3.2585641114544386E-2</v>
      </c>
      <c r="X377" s="59">
        <f t="shared" si="92"/>
        <v>3.2585641114544386E-2</v>
      </c>
      <c r="Y377" s="59">
        <f t="shared" si="93"/>
        <v>-0.10068963104394214</v>
      </c>
      <c r="Z377" s="79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x14ac:dyDescent="0.3">
      <c r="A378" s="55">
        <v>2</v>
      </c>
      <c r="B378" s="59" t="s">
        <v>106</v>
      </c>
      <c r="C378" s="59">
        <f t="shared" si="106"/>
        <v>375</v>
      </c>
      <c r="D378" s="59">
        <f t="shared" si="86"/>
        <v>14.898420000000002</v>
      </c>
      <c r="E378" s="59">
        <f t="shared" si="110"/>
        <v>6.66</v>
      </c>
      <c r="F378" s="91">
        <f>($C$4/E378)+F377</f>
        <v>45.779402051612884</v>
      </c>
      <c r="G378" s="59">
        <f t="shared" si="109"/>
        <v>2500</v>
      </c>
      <c r="H378" s="59">
        <v>2</v>
      </c>
      <c r="I378" s="91">
        <f>E378-E377</f>
        <v>-0.75</v>
      </c>
      <c r="J378" s="59">
        <f>(0.5*VEHICLE!$C$71*VEHICLE!$C$28*VEHICLE!$C$27*'Drive Cycle'!E378^2)</f>
        <v>39.458923617959996</v>
      </c>
      <c r="K378" s="59">
        <f>IF(A378=1,VEHICLE!$S$5,IF(A378=2,VEHICLE!$Q$5,IF(A378=3,VEHICLE!$R$5,IF(A378=4,VEHICLE!$P$5,1))))</f>
        <v>278.27536500000002</v>
      </c>
      <c r="L378" s="59">
        <f t="shared" si="100"/>
        <v>0</v>
      </c>
      <c r="M378" s="59">
        <f t="shared" si="94"/>
        <v>0</v>
      </c>
      <c r="N378" s="59">
        <f t="shared" si="87"/>
        <v>0</v>
      </c>
      <c r="O378" s="59">
        <f t="shared" si="88"/>
        <v>0</v>
      </c>
      <c r="P378" s="59">
        <f t="shared" si="89"/>
        <v>317.73428861796003</v>
      </c>
      <c r="Q378" s="59">
        <f>IF(H378=1,I378*VEHICLE!$C$69,IF(H378=2,VEHICLE!$C$70*I378,IF(H378=3,VEHICLE!$C$71*I378,0)))</f>
        <v>-438.86136489758803</v>
      </c>
      <c r="R378" s="59">
        <f>(J378+K378+O378+Q378)</f>
        <v>-121.127076279628</v>
      </c>
      <c r="S378" s="59">
        <f t="shared" si="90"/>
        <v>121.127076279628</v>
      </c>
      <c r="T378" s="59">
        <f>ABS((R378)/((2*PI()*G378)/60))</f>
        <v>0.46267135037212465</v>
      </c>
      <c r="U378" s="59">
        <f t="shared" si="91"/>
        <v>1</v>
      </c>
      <c r="V378" s="59">
        <f>INDEX(BSFC!$D$4:$AD$26,MATCH(U378,BSFC!$B$4:$B$26,0),MATCH(G378,BSFC!$D$2:$AD$2,0))</f>
        <v>1065.4483513600007</v>
      </c>
      <c r="W378" s="59">
        <f t="shared" si="95"/>
        <v>-3.5848512146440754E-2</v>
      </c>
      <c r="X378" s="59">
        <f t="shared" si="92"/>
        <v>3.5848512146440754E-2</v>
      </c>
      <c r="Y378" s="59">
        <f t="shared" si="93"/>
        <v>-0.11077190253250192</v>
      </c>
      <c r="Z378" s="79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x14ac:dyDescent="0.3">
      <c r="A379" s="55">
        <v>2</v>
      </c>
      <c r="B379" s="59" t="s">
        <v>106</v>
      </c>
      <c r="C379" s="59">
        <f t="shared" si="106"/>
        <v>376</v>
      </c>
      <c r="D379" s="59">
        <f t="shared" si="86"/>
        <v>13.22067</v>
      </c>
      <c r="E379" s="59">
        <f t="shared" si="110"/>
        <v>5.91</v>
      </c>
      <c r="F379" s="91">
        <f>($C$4/E379)+F378</f>
        <v>45.94860678934554</v>
      </c>
      <c r="G379" s="59">
        <f t="shared" si="109"/>
        <v>2000</v>
      </c>
      <c r="H379" s="59">
        <v>2</v>
      </c>
      <c r="I379" s="91">
        <f>E379-E378</f>
        <v>-0.75</v>
      </c>
      <c r="J379" s="59">
        <f>(0.5*VEHICLE!$C$71*VEHICLE!$C$28*VEHICLE!$C$27*'Drive Cycle'!E379^2)</f>
        <v>31.072180965209999</v>
      </c>
      <c r="K379" s="59">
        <f>IF(A379=1,VEHICLE!$S$5,IF(A379=2,VEHICLE!$Q$5,IF(A379=3,VEHICLE!$R$5,IF(A379=4,VEHICLE!$P$5,1))))</f>
        <v>278.27536500000002</v>
      </c>
      <c r="L379" s="59">
        <f t="shared" si="100"/>
        <v>0</v>
      </c>
      <c r="M379" s="59">
        <f t="shared" si="94"/>
        <v>0</v>
      </c>
      <c r="N379" s="59">
        <f t="shared" si="87"/>
        <v>0</v>
      </c>
      <c r="O379" s="59">
        <f t="shared" si="88"/>
        <v>0</v>
      </c>
      <c r="P379" s="59">
        <f t="shared" si="89"/>
        <v>309.34754596521003</v>
      </c>
      <c r="Q379" s="59">
        <f>IF(H379=1,I379*VEHICLE!$C$69,IF(H379=2,VEHICLE!$C$70*I379,IF(H379=3,VEHICLE!$C$71*I379,0)))</f>
        <v>-438.86136489758803</v>
      </c>
      <c r="R379" s="59">
        <f>(J379+K379+O379+Q379)</f>
        <v>-129.513818932378</v>
      </c>
      <c r="S379" s="59">
        <f t="shared" si="90"/>
        <v>129.513818932378</v>
      </c>
      <c r="T379" s="59">
        <f>ABS((R379)/((2*PI()*G379)/60))</f>
        <v>0.6183829344538998</v>
      </c>
      <c r="U379" s="59">
        <f t="shared" si="91"/>
        <v>1</v>
      </c>
      <c r="V379" s="59">
        <f>INDEX(BSFC!$D$4:$AD$26,MATCH(U379,BSFC!$B$4:$B$26,0),MATCH(G379,BSFC!$D$2:$AD$2,0))</f>
        <v>1081.059558720001</v>
      </c>
      <c r="W379" s="59">
        <f t="shared" si="95"/>
        <v>-3.8892264428660742E-2</v>
      </c>
      <c r="X379" s="59">
        <f t="shared" si="92"/>
        <v>3.8892264428660742E-2</v>
      </c>
      <c r="Y379" s="59">
        <f t="shared" si="93"/>
        <v>-0.12017709708456169</v>
      </c>
      <c r="Z379" s="79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x14ac:dyDescent="0.3">
      <c r="A380" s="55">
        <v>2</v>
      </c>
      <c r="B380" s="59" t="s">
        <v>106</v>
      </c>
      <c r="C380" s="59">
        <f t="shared" si="106"/>
        <v>377</v>
      </c>
      <c r="D380" s="59">
        <f t="shared" si="86"/>
        <v>11.542920000000001</v>
      </c>
      <c r="E380" s="59">
        <f t="shared" si="110"/>
        <v>5.16</v>
      </c>
      <c r="F380" s="91">
        <f>($C$4/E380)+F379</f>
        <v>46.142405238957942</v>
      </c>
      <c r="G380" s="59">
        <f t="shared" si="109"/>
        <v>1500</v>
      </c>
      <c r="H380" s="59">
        <v>2</v>
      </c>
      <c r="I380" s="91">
        <f>E380-E379</f>
        <v>-0.75</v>
      </c>
      <c r="J380" s="59">
        <f>(0.5*VEHICLE!$C$71*VEHICLE!$C$28*VEHICLE!$C$27*'Drive Cycle'!E380^2)</f>
        <v>23.686242924959998</v>
      </c>
      <c r="K380" s="59">
        <f>IF(A380=1,VEHICLE!$S$5,IF(A380=2,VEHICLE!$Q$5,IF(A380=3,VEHICLE!$R$5,IF(A380=4,VEHICLE!$P$5,1))))</f>
        <v>278.27536500000002</v>
      </c>
      <c r="L380" s="59">
        <f t="shared" si="100"/>
        <v>0</v>
      </c>
      <c r="M380" s="59">
        <f t="shared" si="94"/>
        <v>0</v>
      </c>
      <c r="N380" s="59">
        <f t="shared" si="87"/>
        <v>0</v>
      </c>
      <c r="O380" s="59">
        <f t="shared" si="88"/>
        <v>0</v>
      </c>
      <c r="P380" s="59">
        <f t="shared" si="89"/>
        <v>301.96160792496005</v>
      </c>
      <c r="Q380" s="59">
        <f>IF(H380=1,I380*VEHICLE!$C$69,IF(H380=2,VEHICLE!$C$70*I380,IF(H380=3,VEHICLE!$C$71*I380,0)))</f>
        <v>-438.86136489758803</v>
      </c>
      <c r="R380" s="59">
        <f>(J380+K380+O380+Q380)</f>
        <v>-136.89975697262798</v>
      </c>
      <c r="S380" s="59">
        <f t="shared" si="90"/>
        <v>136.89975697262798</v>
      </c>
      <c r="T380" s="59">
        <f>ABS((R380)/((2*PI()*G380)/60))</f>
        <v>0.87153092121091635</v>
      </c>
      <c r="U380" s="59">
        <f t="shared" si="91"/>
        <v>1</v>
      </c>
      <c r="V380" s="59">
        <f>INDEX(BSFC!$D$4:$AD$26,MATCH(U380,BSFC!$B$4:$B$26,0),MATCH(G380,BSFC!$D$2:$AD$2,0))</f>
        <v>1159.5484262400005</v>
      </c>
      <c r="W380" s="59">
        <f t="shared" si="95"/>
        <v>-4.4094971597291477E-2</v>
      </c>
      <c r="X380" s="59">
        <f t="shared" si="92"/>
        <v>4.4094971597291477E-2</v>
      </c>
      <c r="Y380" s="59">
        <f t="shared" si="93"/>
        <v>-0.13625346223563065</v>
      </c>
      <c r="Z380" s="79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x14ac:dyDescent="0.3">
      <c r="A381" s="55">
        <v>2</v>
      </c>
      <c r="B381" s="59" t="s">
        <v>106</v>
      </c>
      <c r="C381" s="59">
        <f t="shared" si="106"/>
        <v>378</v>
      </c>
      <c r="D381" s="59">
        <f t="shared" si="86"/>
        <v>9.8651700000000009</v>
      </c>
      <c r="E381" s="59">
        <f t="shared" si="110"/>
        <v>4.41</v>
      </c>
      <c r="F381" s="91">
        <f>($C$4/E381)+F380</f>
        <v>46.369162608572452</v>
      </c>
      <c r="G381" s="59">
        <f t="shared" si="109"/>
        <v>1000</v>
      </c>
      <c r="H381" s="59">
        <v>1</v>
      </c>
      <c r="I381" s="91">
        <f>E381-E380</f>
        <v>-0.75</v>
      </c>
      <c r="J381" s="59">
        <f>(0.5*VEHICLE!$C$71*VEHICLE!$C$28*VEHICLE!$C$27*'Drive Cycle'!E381^2)</f>
        <v>17.30110949721</v>
      </c>
      <c r="K381" s="59">
        <f>IF(A381=1,VEHICLE!$S$5,IF(A381=2,VEHICLE!$Q$5,IF(A381=3,VEHICLE!$R$5,IF(A381=4,VEHICLE!$P$5,1))))</f>
        <v>278.27536500000002</v>
      </c>
      <c r="L381" s="59">
        <f t="shared" si="100"/>
        <v>0</v>
      </c>
      <c r="M381" s="59">
        <f t="shared" si="94"/>
        <v>0</v>
      </c>
      <c r="N381" s="59">
        <f t="shared" si="87"/>
        <v>0</v>
      </c>
      <c r="O381" s="59">
        <f t="shared" si="88"/>
        <v>0</v>
      </c>
      <c r="P381" s="59">
        <f t="shared" si="89"/>
        <v>295.57647449721003</v>
      </c>
      <c r="Q381" s="59">
        <f>IF(H381=1,I381*VEHICLE!$C$69,IF(H381=2,VEHICLE!$C$70*I381,IF(H381=3,VEHICLE!$C$71*I381,0)))</f>
        <v>-440.49017657114598</v>
      </c>
      <c r="R381" s="59">
        <f>(J381+K381+O381+Q381)</f>
        <v>-144.91370207393595</v>
      </c>
      <c r="S381" s="59">
        <f t="shared" si="90"/>
        <v>144.91370207393595</v>
      </c>
      <c r="T381" s="59">
        <f>ABS((R381)/((2*PI()*G381)/60))</f>
        <v>1.3838239204087892</v>
      </c>
      <c r="U381" s="59">
        <f t="shared" si="91"/>
        <v>2</v>
      </c>
      <c r="V381" s="59">
        <f>INDEX(BSFC!$D$4:$AD$26,MATCH(U381,BSFC!$B$4:$B$26,0),MATCH(G381,BSFC!$D$2:$AD$2,0))</f>
        <v>1081.7276661600004</v>
      </c>
      <c r="W381" s="59">
        <f t="shared" si="95"/>
        <v>-4.3543655760845651E-2</v>
      </c>
      <c r="X381" s="59">
        <f t="shared" si="92"/>
        <v>4.3543655760845651E-2</v>
      </c>
      <c r="Y381" s="59">
        <f t="shared" si="93"/>
        <v>-0.13454989630101305</v>
      </c>
      <c r="Z381" s="79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x14ac:dyDescent="0.3">
      <c r="A382" s="55">
        <v>2</v>
      </c>
      <c r="B382" s="59" t="s">
        <v>106</v>
      </c>
      <c r="C382" s="59">
        <f t="shared" si="106"/>
        <v>379</v>
      </c>
      <c r="D382" s="59">
        <f t="shared" si="86"/>
        <v>8.1874200000000013</v>
      </c>
      <c r="E382" s="59">
        <f t="shared" si="110"/>
        <v>3.66</v>
      </c>
      <c r="F382" s="91">
        <f>($C$4/E382)+F381</f>
        <v>46.642386652288302</v>
      </c>
      <c r="G382" s="59">
        <f>G381</f>
        <v>1000</v>
      </c>
      <c r="H382" s="59">
        <v>1</v>
      </c>
      <c r="I382" s="91">
        <f>E382-E381</f>
        <v>-0.75</v>
      </c>
      <c r="J382" s="59">
        <f>(0.5*VEHICLE!$C$71*VEHICLE!$C$28*VEHICLE!$C$27*'Drive Cycle'!E382^2)</f>
        <v>11.916780681960001</v>
      </c>
      <c r="K382" s="59">
        <f>IF(A382=1,VEHICLE!$S$5,IF(A382=2,VEHICLE!$Q$5,IF(A382=3,VEHICLE!$R$5,IF(A382=4,VEHICLE!$P$5,1))))</f>
        <v>278.27536500000002</v>
      </c>
      <c r="L382" s="59">
        <f t="shared" si="100"/>
        <v>0</v>
      </c>
      <c r="M382" s="59">
        <f t="shared" si="94"/>
        <v>0</v>
      </c>
      <c r="N382" s="59">
        <f t="shared" si="87"/>
        <v>0</v>
      </c>
      <c r="O382" s="59">
        <f t="shared" si="88"/>
        <v>0</v>
      </c>
      <c r="P382" s="59">
        <f t="shared" si="89"/>
        <v>290.19214568196003</v>
      </c>
      <c r="Q382" s="59">
        <f>IF(H382=1,I382*VEHICLE!$C$69,IF(H382=2,VEHICLE!$C$70*I382,IF(H382=3,VEHICLE!$C$71*I382,0)))</f>
        <v>-440.49017657114598</v>
      </c>
      <c r="R382" s="59">
        <f>(J382+K382+O382+Q382)</f>
        <v>-150.29803088918595</v>
      </c>
      <c r="S382" s="59">
        <f t="shared" si="90"/>
        <v>150.29803088918595</v>
      </c>
      <c r="T382" s="59">
        <f>ABS((R382)/((2*PI()*G382)/60))</f>
        <v>1.4352404731795392</v>
      </c>
      <c r="U382" s="59">
        <f t="shared" si="91"/>
        <v>2</v>
      </c>
      <c r="V382" s="59">
        <f>INDEX(BSFC!$D$4:$AD$26,MATCH(U382,BSFC!$B$4:$B$26,0),MATCH(G382,BSFC!$D$2:$AD$2,0))</f>
        <v>1081.7276661600004</v>
      </c>
      <c r="W382" s="59">
        <f t="shared" si="95"/>
        <v>-4.5161538383945203E-2</v>
      </c>
      <c r="X382" s="59">
        <f t="shared" si="92"/>
        <v>4.5161538383945203E-2</v>
      </c>
      <c r="Y382" s="59">
        <f t="shared" si="93"/>
        <v>-0.13954915360639067</v>
      </c>
      <c r="Z382" s="79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x14ac:dyDescent="0.3">
      <c r="A383" s="55">
        <v>2</v>
      </c>
      <c r="B383" s="59" t="s">
        <v>106</v>
      </c>
      <c r="C383" s="59">
        <f t="shared" si="106"/>
        <v>380</v>
      </c>
      <c r="D383" s="59">
        <f t="shared" si="86"/>
        <v>6.5096700000000007</v>
      </c>
      <c r="E383" s="59">
        <f t="shared" si="110"/>
        <v>2.91</v>
      </c>
      <c r="F383" s="91">
        <f>($C$4/E383)+F382</f>
        <v>46.986029263972149</v>
      </c>
      <c r="G383" s="59">
        <f t="shared" ref="G383:G393" si="111">G382</f>
        <v>1000</v>
      </c>
      <c r="H383" s="59">
        <v>1</v>
      </c>
      <c r="I383" s="91">
        <f>E383-E382</f>
        <v>-0.75</v>
      </c>
      <c r="J383" s="59">
        <f>(0.5*VEHICLE!$C$71*VEHICLE!$C$28*VEHICLE!$C$27*'Drive Cycle'!E383^2)</f>
        <v>7.5332564792100003</v>
      </c>
      <c r="K383" s="59">
        <f>IF(A383=1,VEHICLE!$S$5,IF(A383=2,VEHICLE!$Q$5,IF(A383=3,VEHICLE!$R$5,IF(A383=4,VEHICLE!$P$5,1))))</f>
        <v>278.27536500000002</v>
      </c>
      <c r="L383" s="59">
        <f t="shared" si="100"/>
        <v>0</v>
      </c>
      <c r="M383" s="59">
        <f t="shared" si="94"/>
        <v>0</v>
      </c>
      <c r="N383" s="59">
        <f t="shared" si="87"/>
        <v>0</v>
      </c>
      <c r="O383" s="59">
        <f t="shared" si="88"/>
        <v>0</v>
      </c>
      <c r="P383" s="59">
        <f t="shared" si="89"/>
        <v>285.80862147921005</v>
      </c>
      <c r="Q383" s="59">
        <f>IF(H383=1,I383*VEHICLE!$C$69,IF(H383=2,VEHICLE!$C$70*I383,IF(H383=3,VEHICLE!$C$71*I383,0)))</f>
        <v>-440.49017657114598</v>
      </c>
      <c r="R383" s="59">
        <f>(J383+K383+O383+Q383)</f>
        <v>-154.68155509193593</v>
      </c>
      <c r="S383" s="59">
        <f t="shared" si="90"/>
        <v>154.68155509193593</v>
      </c>
      <c r="T383" s="59">
        <f>ABS((R383)/((2*PI()*G383)/60))</f>
        <v>1.4771000458813763</v>
      </c>
      <c r="U383" s="59">
        <f t="shared" si="91"/>
        <v>2</v>
      </c>
      <c r="V383" s="59">
        <f>INDEX(BSFC!$D$4:$AD$26,MATCH(U383,BSFC!$B$4:$B$26,0),MATCH(G383,BSFC!$D$2:$AD$2,0))</f>
        <v>1081.7276661600004</v>
      </c>
      <c r="W383" s="59">
        <f t="shared" si="95"/>
        <v>-4.6478699329888719E-2</v>
      </c>
      <c r="X383" s="59">
        <f t="shared" si="92"/>
        <v>4.6478699329888719E-2</v>
      </c>
      <c r="Y383" s="59">
        <f t="shared" si="93"/>
        <v>-0.14361918092935613</v>
      </c>
      <c r="Z383" s="79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x14ac:dyDescent="0.3">
      <c r="A384" s="55">
        <v>2</v>
      </c>
      <c r="B384" s="58" t="s">
        <v>121</v>
      </c>
      <c r="C384" s="58">
        <f t="shared" si="106"/>
        <v>381</v>
      </c>
      <c r="D384" s="58">
        <f t="shared" si="86"/>
        <v>6.5096700000000007</v>
      </c>
      <c r="E384" s="58">
        <f>E383</f>
        <v>2.91</v>
      </c>
      <c r="F384" s="90">
        <f>($C$4/E384)+F383</f>
        <v>47.329671875655997</v>
      </c>
      <c r="G384" s="58">
        <f t="shared" si="111"/>
        <v>1000</v>
      </c>
      <c r="H384" s="58">
        <v>1</v>
      </c>
      <c r="I384" s="90">
        <f>E384-E383</f>
        <v>0</v>
      </c>
      <c r="J384" s="58">
        <f>(0.5*VEHICLE!$C$71*VEHICLE!$C$28*VEHICLE!$C$27*'Drive Cycle'!E384^2)</f>
        <v>7.5332564792100003</v>
      </c>
      <c r="K384" s="58">
        <f>IF(A384=1,VEHICLE!$S$5,IF(A384=2,VEHICLE!$Q$5,IF(A384=3,VEHICLE!$R$5,IF(A384=4,VEHICLE!$P$5,1))))</f>
        <v>278.27536500000002</v>
      </c>
      <c r="L384" s="58">
        <f t="shared" si="100"/>
        <v>0</v>
      </c>
      <c r="M384" s="58">
        <f t="shared" si="94"/>
        <v>0</v>
      </c>
      <c r="N384" s="58">
        <f t="shared" si="87"/>
        <v>0</v>
      </c>
      <c r="O384" s="58">
        <f t="shared" si="88"/>
        <v>0</v>
      </c>
      <c r="P384" s="58">
        <f t="shared" si="89"/>
        <v>285.80862147921005</v>
      </c>
      <c r="Q384" s="58">
        <f>IF(H384=1,I384*VEHICLE!$C$69,IF(H384=2,VEHICLE!$C$70*I384,IF(H384=3,VEHICLE!$C$71*I384,0)))</f>
        <v>0</v>
      </c>
      <c r="R384" s="58">
        <f>(J384+K384+O384+Q384)</f>
        <v>285.80862147921005</v>
      </c>
      <c r="S384" s="58">
        <f t="shared" si="90"/>
        <v>285.80862147921005</v>
      </c>
      <c r="T384" s="58">
        <f>ABS((R384)/((2*PI()*G384)/60))</f>
        <v>2.7292712932018039</v>
      </c>
      <c r="U384" s="58">
        <f t="shared" si="91"/>
        <v>3</v>
      </c>
      <c r="V384" s="58">
        <f>INDEX(BSFC!$D$4:$AD$26,MATCH(U384,BSFC!$B$4:$B$26,0),MATCH(G384,BSFC!$D$2:$AD$2,0))</f>
        <v>927.64713984000002</v>
      </c>
      <c r="W384" s="58">
        <f t="shared" si="95"/>
        <v>7.364709729355623E-2</v>
      </c>
      <c r="X384" s="58">
        <f t="shared" si="92"/>
        <v>7.364709729355623E-2</v>
      </c>
      <c r="Y384" s="58">
        <f t="shared" si="93"/>
        <v>0.22756953063708873</v>
      </c>
      <c r="Z384" s="79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x14ac:dyDescent="0.3">
      <c r="A385" s="55">
        <v>2</v>
      </c>
      <c r="B385" s="58" t="s">
        <v>121</v>
      </c>
      <c r="C385" s="58">
        <f t="shared" si="106"/>
        <v>382</v>
      </c>
      <c r="D385" s="58">
        <f t="shared" si="86"/>
        <v>6.5096700000000007</v>
      </c>
      <c r="E385" s="58">
        <f t="shared" ref="E385:E393" si="112">E384</f>
        <v>2.91</v>
      </c>
      <c r="F385" s="90">
        <f>($C$4/E385)+F384</f>
        <v>47.673314487339844</v>
      </c>
      <c r="G385" s="58">
        <f t="shared" si="111"/>
        <v>1000</v>
      </c>
      <c r="H385" s="58">
        <v>1</v>
      </c>
      <c r="I385" s="90">
        <f>E385-E384</f>
        <v>0</v>
      </c>
      <c r="J385" s="58">
        <f>(0.5*VEHICLE!$C$71*VEHICLE!$C$28*VEHICLE!$C$27*'Drive Cycle'!E385^2)</f>
        <v>7.5332564792100003</v>
      </c>
      <c r="K385" s="58">
        <f>IF(A385=1,VEHICLE!$S$5,IF(A385=2,VEHICLE!$Q$5,IF(A385=3,VEHICLE!$R$5,IF(A385=4,VEHICLE!$P$5,1))))</f>
        <v>278.27536500000002</v>
      </c>
      <c r="L385" s="58">
        <f t="shared" si="100"/>
        <v>0</v>
      </c>
      <c r="M385" s="58">
        <f t="shared" si="94"/>
        <v>0</v>
      </c>
      <c r="N385" s="58">
        <f t="shared" si="87"/>
        <v>0</v>
      </c>
      <c r="O385" s="58">
        <f t="shared" si="88"/>
        <v>0</v>
      </c>
      <c r="P385" s="58">
        <f t="shared" si="89"/>
        <v>285.80862147921005</v>
      </c>
      <c r="Q385" s="58">
        <f>IF(H385=1,I385*VEHICLE!$C$69,IF(H385=2,VEHICLE!$C$70*I385,IF(H385=3,VEHICLE!$C$71*I385,0)))</f>
        <v>0</v>
      </c>
      <c r="R385" s="58">
        <f>(J385+K385+O385+Q385)</f>
        <v>285.80862147921005</v>
      </c>
      <c r="S385" s="58">
        <f t="shared" si="90"/>
        <v>285.80862147921005</v>
      </c>
      <c r="T385" s="58">
        <f>ABS((R385)/((2*PI()*G385)/60))</f>
        <v>2.7292712932018039</v>
      </c>
      <c r="U385" s="58">
        <f t="shared" si="91"/>
        <v>3</v>
      </c>
      <c r="V385" s="58">
        <f>INDEX(BSFC!$D$4:$AD$26,MATCH(U385,BSFC!$B$4:$B$26,0),MATCH(G385,BSFC!$D$2:$AD$2,0))</f>
        <v>927.64713984000002</v>
      </c>
      <c r="W385" s="58">
        <f t="shared" si="95"/>
        <v>7.364709729355623E-2</v>
      </c>
      <c r="X385" s="58">
        <f t="shared" si="92"/>
        <v>7.364709729355623E-2</v>
      </c>
      <c r="Y385" s="58">
        <f t="shared" si="93"/>
        <v>0.22756953063708873</v>
      </c>
      <c r="Z385" s="79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x14ac:dyDescent="0.3">
      <c r="A386" s="55">
        <v>2</v>
      </c>
      <c r="B386" s="58" t="s">
        <v>121</v>
      </c>
      <c r="C386" s="58">
        <f t="shared" si="106"/>
        <v>383</v>
      </c>
      <c r="D386" s="58">
        <f t="shared" si="86"/>
        <v>6.5096700000000007</v>
      </c>
      <c r="E386" s="58">
        <f t="shared" si="112"/>
        <v>2.91</v>
      </c>
      <c r="F386" s="90">
        <f>($C$4/E386)+F385</f>
        <v>48.016957099023692</v>
      </c>
      <c r="G386" s="58">
        <f t="shared" si="111"/>
        <v>1000</v>
      </c>
      <c r="H386" s="58">
        <v>1</v>
      </c>
      <c r="I386" s="90">
        <f>E386-E385</f>
        <v>0</v>
      </c>
      <c r="J386" s="58">
        <f>(0.5*VEHICLE!$C$71*VEHICLE!$C$28*VEHICLE!$C$27*'Drive Cycle'!E386^2)</f>
        <v>7.5332564792100003</v>
      </c>
      <c r="K386" s="58">
        <f>IF(A386=1,VEHICLE!$S$5,IF(A386=2,VEHICLE!$Q$5,IF(A386=3,VEHICLE!$R$5,IF(A386=4,VEHICLE!$P$5,1))))</f>
        <v>278.27536500000002</v>
      </c>
      <c r="L386" s="58">
        <f t="shared" si="100"/>
        <v>0</v>
      </c>
      <c r="M386" s="58">
        <f t="shared" si="94"/>
        <v>0</v>
      </c>
      <c r="N386" s="58">
        <f t="shared" si="87"/>
        <v>0</v>
      </c>
      <c r="O386" s="58">
        <f t="shared" si="88"/>
        <v>0</v>
      </c>
      <c r="P386" s="58">
        <f t="shared" si="89"/>
        <v>285.80862147921005</v>
      </c>
      <c r="Q386" s="58">
        <f>IF(H386=1,I386*VEHICLE!$C$69,IF(H386=2,VEHICLE!$C$70*I386,IF(H386=3,VEHICLE!$C$71*I386,0)))</f>
        <v>0</v>
      </c>
      <c r="R386" s="58">
        <f>(J386+K386+O386+Q386)</f>
        <v>285.80862147921005</v>
      </c>
      <c r="S386" s="58">
        <f t="shared" si="90"/>
        <v>285.80862147921005</v>
      </c>
      <c r="T386" s="58">
        <f>ABS((R386)/((2*PI()*G386)/60))</f>
        <v>2.7292712932018039</v>
      </c>
      <c r="U386" s="58">
        <f t="shared" si="91"/>
        <v>3</v>
      </c>
      <c r="V386" s="58">
        <f>INDEX(BSFC!$D$4:$AD$26,MATCH(U386,BSFC!$B$4:$B$26,0),MATCH(G386,BSFC!$D$2:$AD$2,0))</f>
        <v>927.64713984000002</v>
      </c>
      <c r="W386" s="58">
        <f t="shared" si="95"/>
        <v>7.364709729355623E-2</v>
      </c>
      <c r="X386" s="58">
        <f t="shared" si="92"/>
        <v>7.364709729355623E-2</v>
      </c>
      <c r="Y386" s="58">
        <f t="shared" si="93"/>
        <v>0.22756953063708873</v>
      </c>
      <c r="Z386" s="79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x14ac:dyDescent="0.3">
      <c r="A387" s="55">
        <v>2</v>
      </c>
      <c r="B387" s="58" t="s">
        <v>121</v>
      </c>
      <c r="C387" s="58">
        <f t="shared" si="106"/>
        <v>384</v>
      </c>
      <c r="D387" s="58">
        <f t="shared" si="86"/>
        <v>6.5096700000000007</v>
      </c>
      <c r="E387" s="58">
        <f t="shared" si="112"/>
        <v>2.91</v>
      </c>
      <c r="F387" s="90">
        <f>($C$4/E387)+F386</f>
        <v>48.36059971070754</v>
      </c>
      <c r="G387" s="58">
        <f t="shared" si="111"/>
        <v>1000</v>
      </c>
      <c r="H387" s="58">
        <v>1</v>
      </c>
      <c r="I387" s="90">
        <f>E387-E386</f>
        <v>0</v>
      </c>
      <c r="J387" s="58">
        <f>(0.5*VEHICLE!$C$71*VEHICLE!$C$28*VEHICLE!$C$27*'Drive Cycle'!E387^2)</f>
        <v>7.5332564792100003</v>
      </c>
      <c r="K387" s="58">
        <f>IF(A387=1,VEHICLE!$S$5,IF(A387=2,VEHICLE!$Q$5,IF(A387=3,VEHICLE!$R$5,IF(A387=4,VEHICLE!$P$5,1))))</f>
        <v>278.27536500000002</v>
      </c>
      <c r="L387" s="58">
        <f t="shared" si="100"/>
        <v>0</v>
      </c>
      <c r="M387" s="58">
        <f t="shared" si="94"/>
        <v>0</v>
      </c>
      <c r="N387" s="58">
        <f t="shared" si="87"/>
        <v>0</v>
      </c>
      <c r="O387" s="58">
        <f t="shared" si="88"/>
        <v>0</v>
      </c>
      <c r="P387" s="58">
        <f t="shared" si="89"/>
        <v>285.80862147921005</v>
      </c>
      <c r="Q387" s="58">
        <f>IF(H387=1,I387*VEHICLE!$C$69,IF(H387=2,VEHICLE!$C$70*I387,IF(H387=3,VEHICLE!$C$71*I387,0)))</f>
        <v>0</v>
      </c>
      <c r="R387" s="58">
        <f>(J387+K387+O387+Q387)</f>
        <v>285.80862147921005</v>
      </c>
      <c r="S387" s="58">
        <f t="shared" si="90"/>
        <v>285.80862147921005</v>
      </c>
      <c r="T387" s="58">
        <f>ABS((R387)/((2*PI()*G387)/60))</f>
        <v>2.7292712932018039</v>
      </c>
      <c r="U387" s="58">
        <f t="shared" si="91"/>
        <v>3</v>
      </c>
      <c r="V387" s="58">
        <f>INDEX(BSFC!$D$4:$AD$26,MATCH(U387,BSFC!$B$4:$B$26,0),MATCH(G387,BSFC!$D$2:$AD$2,0))</f>
        <v>927.64713984000002</v>
      </c>
      <c r="W387" s="58">
        <f t="shared" si="95"/>
        <v>7.364709729355623E-2</v>
      </c>
      <c r="X387" s="58">
        <f t="shared" si="92"/>
        <v>7.364709729355623E-2</v>
      </c>
      <c r="Y387" s="58">
        <f t="shared" si="93"/>
        <v>0.22756953063708873</v>
      </c>
      <c r="Z387" s="79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x14ac:dyDescent="0.3">
      <c r="A388" s="55">
        <v>2</v>
      </c>
      <c r="B388" s="58" t="s">
        <v>121</v>
      </c>
      <c r="C388" s="58">
        <f t="shared" si="106"/>
        <v>385</v>
      </c>
      <c r="D388" s="58">
        <f t="shared" ref="D388:D451" si="113">E388*2.237</f>
        <v>6.5096700000000007</v>
      </c>
      <c r="E388" s="58">
        <f t="shared" si="112"/>
        <v>2.91</v>
      </c>
      <c r="F388" s="90">
        <f>($C$4/E388)+F387</f>
        <v>48.704242322391387</v>
      </c>
      <c r="G388" s="58">
        <f t="shared" si="111"/>
        <v>1000</v>
      </c>
      <c r="H388" s="58">
        <v>1</v>
      </c>
      <c r="I388" s="90">
        <f>E388-E387</f>
        <v>0</v>
      </c>
      <c r="J388" s="58">
        <f>(0.5*VEHICLE!$C$71*VEHICLE!$C$28*VEHICLE!$C$27*'Drive Cycle'!E388^2)</f>
        <v>7.5332564792100003</v>
      </c>
      <c r="K388" s="58">
        <f>IF(A388=1,VEHICLE!$S$5,IF(A388=2,VEHICLE!$Q$5,IF(A388=3,VEHICLE!$R$5,IF(A388=4,VEHICLE!$P$5,1))))</f>
        <v>278.27536500000002</v>
      </c>
      <c r="L388" s="58">
        <f t="shared" si="100"/>
        <v>0</v>
      </c>
      <c r="M388" s="58">
        <f t="shared" si="94"/>
        <v>0</v>
      </c>
      <c r="N388" s="58">
        <f t="shared" ref="N388:N451" si="114">DEGREES(ATAN(M388/$C$4))</f>
        <v>0</v>
      </c>
      <c r="O388" s="58">
        <f t="shared" ref="O388:O451" si="115">9.81*SIN(RADIANS(N388))*($C$47)</f>
        <v>0</v>
      </c>
      <c r="P388" s="58">
        <f t="shared" ref="P388:P451" si="116">J388+K388+O388</f>
        <v>285.80862147921005</v>
      </c>
      <c r="Q388" s="58">
        <f>IF(H388=1,I388*VEHICLE!$C$69,IF(H388=2,VEHICLE!$C$70*I388,IF(H388=3,VEHICLE!$C$71*I388,0)))</f>
        <v>0</v>
      </c>
      <c r="R388" s="58">
        <f>(J388+K388+O388+Q388)</f>
        <v>285.80862147921005</v>
      </c>
      <c r="S388" s="58">
        <f t="shared" ref="S388:S451" si="117">ABS(R388)</f>
        <v>285.80862147921005</v>
      </c>
      <c r="T388" s="58">
        <f>ABS((R388)/((2*PI()*G388)/60))</f>
        <v>2.7292712932018039</v>
      </c>
      <c r="U388" s="58">
        <f t="shared" ref="U388:U451" si="118">ROUNDUP(T388,0)</f>
        <v>3</v>
      </c>
      <c r="V388" s="58">
        <f>INDEX(BSFC!$D$4:$AD$26,MATCH(U388,BSFC!$B$4:$B$26,0),MATCH(G388,BSFC!$D$2:$AD$2,0))</f>
        <v>927.64713984000002</v>
      </c>
      <c r="W388" s="58">
        <f t="shared" si="95"/>
        <v>7.364709729355623E-2</v>
      </c>
      <c r="X388" s="58">
        <f t="shared" ref="X388:X451" si="119">ABS(W388)</f>
        <v>7.364709729355623E-2</v>
      </c>
      <c r="Y388" s="58">
        <f t="shared" ref="Y388:Y451" si="120">W388*3.09</f>
        <v>0.22756953063708873</v>
      </c>
      <c r="Z388" s="79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x14ac:dyDescent="0.3">
      <c r="A389" s="55">
        <v>2</v>
      </c>
      <c r="B389" s="58" t="s">
        <v>121</v>
      </c>
      <c r="C389" s="58">
        <f t="shared" si="106"/>
        <v>386</v>
      </c>
      <c r="D389" s="58">
        <f t="shared" si="113"/>
        <v>6.5096700000000007</v>
      </c>
      <c r="E389" s="58">
        <f t="shared" si="112"/>
        <v>2.91</v>
      </c>
      <c r="F389" s="90">
        <f>($C$4/E389)+F388</f>
        <v>49.047884934075235</v>
      </c>
      <c r="G389" s="58">
        <f t="shared" si="111"/>
        <v>1000</v>
      </c>
      <c r="H389" s="58">
        <v>1</v>
      </c>
      <c r="I389" s="90">
        <f>E389-E388</f>
        <v>0</v>
      </c>
      <c r="J389" s="58">
        <f>(0.5*VEHICLE!$C$71*VEHICLE!$C$28*VEHICLE!$C$27*'Drive Cycle'!E389^2)</f>
        <v>7.5332564792100003</v>
      </c>
      <c r="K389" s="58">
        <f>IF(A389=1,VEHICLE!$S$5,IF(A389=2,VEHICLE!$Q$5,IF(A389=3,VEHICLE!$R$5,IF(A389=4,VEHICLE!$P$5,1))))</f>
        <v>278.27536500000002</v>
      </c>
      <c r="L389" s="58">
        <f t="shared" si="100"/>
        <v>0</v>
      </c>
      <c r="M389" s="58">
        <f t="shared" ref="M389:M452" si="121">L389-L388</f>
        <v>0</v>
      </c>
      <c r="N389" s="58">
        <f t="shared" si="114"/>
        <v>0</v>
      </c>
      <c r="O389" s="58">
        <f t="shared" si="115"/>
        <v>0</v>
      </c>
      <c r="P389" s="58">
        <f t="shared" si="116"/>
        <v>285.80862147921005</v>
      </c>
      <c r="Q389" s="58">
        <f>IF(H389=1,I389*VEHICLE!$C$69,IF(H389=2,VEHICLE!$C$70*I389,IF(H389=3,VEHICLE!$C$71*I389,0)))</f>
        <v>0</v>
      </c>
      <c r="R389" s="58">
        <f>(J389+K389+O389+Q389)</f>
        <v>285.80862147921005</v>
      </c>
      <c r="S389" s="58">
        <f t="shared" si="117"/>
        <v>285.80862147921005</v>
      </c>
      <c r="T389" s="58">
        <f>ABS((R389)/((2*PI()*G389)/60))</f>
        <v>2.7292712932018039</v>
      </c>
      <c r="U389" s="58">
        <f t="shared" si="118"/>
        <v>3</v>
      </c>
      <c r="V389" s="58">
        <f>INDEX(BSFC!$D$4:$AD$26,MATCH(U389,BSFC!$B$4:$B$26,0),MATCH(G389,BSFC!$D$2:$AD$2,0))</f>
        <v>927.64713984000002</v>
      </c>
      <c r="W389" s="58">
        <f t="shared" ref="W389:W452" si="122">(R389*V389/3600)/1000</f>
        <v>7.364709729355623E-2</v>
      </c>
      <c r="X389" s="58">
        <f t="shared" si="119"/>
        <v>7.364709729355623E-2</v>
      </c>
      <c r="Y389" s="58">
        <f t="shared" si="120"/>
        <v>0.22756953063708873</v>
      </c>
      <c r="Z389" s="79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x14ac:dyDescent="0.3">
      <c r="A390" s="55">
        <v>2</v>
      </c>
      <c r="B390" s="58" t="s">
        <v>121</v>
      </c>
      <c r="C390" s="58">
        <f t="shared" si="106"/>
        <v>387</v>
      </c>
      <c r="D390" s="58">
        <f t="shared" si="113"/>
        <v>6.5096700000000007</v>
      </c>
      <c r="E390" s="58">
        <f t="shared" si="112"/>
        <v>2.91</v>
      </c>
      <c r="F390" s="90">
        <f>($C$4/E390)+F389</f>
        <v>49.391527545759082</v>
      </c>
      <c r="G390" s="58">
        <f t="shared" si="111"/>
        <v>1000</v>
      </c>
      <c r="H390" s="58">
        <v>1</v>
      </c>
      <c r="I390" s="90">
        <f>E390-E389</f>
        <v>0</v>
      </c>
      <c r="J390" s="58">
        <f>(0.5*VEHICLE!$C$71*VEHICLE!$C$28*VEHICLE!$C$27*'Drive Cycle'!E390^2)</f>
        <v>7.5332564792100003</v>
      </c>
      <c r="K390" s="58">
        <f>IF(A390=1,VEHICLE!$S$5,IF(A390=2,VEHICLE!$Q$5,IF(A390=3,VEHICLE!$R$5,IF(A390=4,VEHICLE!$P$5,1))))</f>
        <v>278.27536500000002</v>
      </c>
      <c r="L390" s="58">
        <f t="shared" si="100"/>
        <v>0</v>
      </c>
      <c r="M390" s="58">
        <f t="shared" si="121"/>
        <v>0</v>
      </c>
      <c r="N390" s="58">
        <f t="shared" si="114"/>
        <v>0</v>
      </c>
      <c r="O390" s="58">
        <f t="shared" si="115"/>
        <v>0</v>
      </c>
      <c r="P390" s="58">
        <f t="shared" si="116"/>
        <v>285.80862147921005</v>
      </c>
      <c r="Q390" s="58">
        <f>IF(H390=1,I390*VEHICLE!$C$69,IF(H390=2,VEHICLE!$C$70*I390,IF(H390=3,VEHICLE!$C$71*I390,0)))</f>
        <v>0</v>
      </c>
      <c r="R390" s="58">
        <f>(J390+K390+O390+Q390)</f>
        <v>285.80862147921005</v>
      </c>
      <c r="S390" s="58">
        <f t="shared" si="117"/>
        <v>285.80862147921005</v>
      </c>
      <c r="T390" s="58">
        <f>ABS((R390)/((2*PI()*G390)/60))</f>
        <v>2.7292712932018039</v>
      </c>
      <c r="U390" s="58">
        <f t="shared" si="118"/>
        <v>3</v>
      </c>
      <c r="V390" s="58">
        <f>INDEX(BSFC!$D$4:$AD$26,MATCH(U390,BSFC!$B$4:$B$26,0),MATCH(G390,BSFC!$D$2:$AD$2,0))</f>
        <v>927.64713984000002</v>
      </c>
      <c r="W390" s="58">
        <f t="shared" si="122"/>
        <v>7.364709729355623E-2</v>
      </c>
      <c r="X390" s="58">
        <f t="shared" si="119"/>
        <v>7.364709729355623E-2</v>
      </c>
      <c r="Y390" s="58">
        <f t="shared" si="120"/>
        <v>0.22756953063708873</v>
      </c>
      <c r="Z390" s="79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x14ac:dyDescent="0.3">
      <c r="A391" s="55">
        <v>2</v>
      </c>
      <c r="B391" s="58" t="s">
        <v>121</v>
      </c>
      <c r="C391" s="58">
        <f t="shared" si="106"/>
        <v>388</v>
      </c>
      <c r="D391" s="58">
        <f t="shared" si="113"/>
        <v>6.5096700000000007</v>
      </c>
      <c r="E391" s="58">
        <f t="shared" si="112"/>
        <v>2.91</v>
      </c>
      <c r="F391" s="90">
        <f>($C$4/E391)+F390</f>
        <v>49.73517015744293</v>
      </c>
      <c r="G391" s="58">
        <f t="shared" si="111"/>
        <v>1000</v>
      </c>
      <c r="H391" s="58">
        <v>1</v>
      </c>
      <c r="I391" s="90">
        <f>E391-E390</f>
        <v>0</v>
      </c>
      <c r="J391" s="58">
        <f>(0.5*VEHICLE!$C$71*VEHICLE!$C$28*VEHICLE!$C$27*'Drive Cycle'!E391^2)</f>
        <v>7.5332564792100003</v>
      </c>
      <c r="K391" s="58">
        <f>IF(A391=1,VEHICLE!$S$5,IF(A391=2,VEHICLE!$Q$5,IF(A391=3,VEHICLE!$R$5,IF(A391=4,VEHICLE!$P$5,1))))</f>
        <v>278.27536500000002</v>
      </c>
      <c r="L391" s="58">
        <f t="shared" si="100"/>
        <v>0</v>
      </c>
      <c r="M391" s="58">
        <f t="shared" si="121"/>
        <v>0</v>
      </c>
      <c r="N391" s="58">
        <f t="shared" si="114"/>
        <v>0</v>
      </c>
      <c r="O391" s="58">
        <f t="shared" si="115"/>
        <v>0</v>
      </c>
      <c r="P391" s="58">
        <f t="shared" si="116"/>
        <v>285.80862147921005</v>
      </c>
      <c r="Q391" s="58">
        <f>IF(H391=1,I391*VEHICLE!$C$69,IF(H391=2,VEHICLE!$C$70*I391,IF(H391=3,VEHICLE!$C$71*I391,0)))</f>
        <v>0</v>
      </c>
      <c r="R391" s="58">
        <f>(J391+K391+O391+Q391)</f>
        <v>285.80862147921005</v>
      </c>
      <c r="S391" s="58">
        <f t="shared" si="117"/>
        <v>285.80862147921005</v>
      </c>
      <c r="T391" s="58">
        <f>ABS((R391)/((2*PI()*G391)/60))</f>
        <v>2.7292712932018039</v>
      </c>
      <c r="U391" s="58">
        <f t="shared" si="118"/>
        <v>3</v>
      </c>
      <c r="V391" s="58">
        <f>INDEX(BSFC!$D$4:$AD$26,MATCH(U391,BSFC!$B$4:$B$26,0),MATCH(G391,BSFC!$D$2:$AD$2,0))</f>
        <v>927.64713984000002</v>
      </c>
      <c r="W391" s="58">
        <f t="shared" si="122"/>
        <v>7.364709729355623E-2</v>
      </c>
      <c r="X391" s="58">
        <f t="shared" si="119"/>
        <v>7.364709729355623E-2</v>
      </c>
      <c r="Y391" s="58">
        <f t="shared" si="120"/>
        <v>0.22756953063708873</v>
      </c>
      <c r="Z391" s="79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x14ac:dyDescent="0.3">
      <c r="A392" s="55">
        <v>2</v>
      </c>
      <c r="B392" s="58" t="s">
        <v>121</v>
      </c>
      <c r="C392" s="58">
        <f t="shared" si="106"/>
        <v>389</v>
      </c>
      <c r="D392" s="58">
        <f t="shared" si="113"/>
        <v>6.5096700000000007</v>
      </c>
      <c r="E392" s="58">
        <f t="shared" si="112"/>
        <v>2.91</v>
      </c>
      <c r="F392" s="90">
        <f>($C$4/E392)+F391</f>
        <v>50.078812769126777</v>
      </c>
      <c r="G392" s="58">
        <f t="shared" si="111"/>
        <v>1000</v>
      </c>
      <c r="H392" s="58">
        <v>1</v>
      </c>
      <c r="I392" s="90">
        <f>E392-E391</f>
        <v>0</v>
      </c>
      <c r="J392" s="58">
        <f>(0.5*VEHICLE!$C$71*VEHICLE!$C$28*VEHICLE!$C$27*'Drive Cycle'!E392^2)</f>
        <v>7.5332564792100003</v>
      </c>
      <c r="K392" s="58">
        <f>IF(A392=1,VEHICLE!$S$5,IF(A392=2,VEHICLE!$Q$5,IF(A392=3,VEHICLE!$R$5,IF(A392=4,VEHICLE!$P$5,1))))</f>
        <v>278.27536500000002</v>
      </c>
      <c r="L392" s="58">
        <f t="shared" si="100"/>
        <v>0</v>
      </c>
      <c r="M392" s="58">
        <f t="shared" si="121"/>
        <v>0</v>
      </c>
      <c r="N392" s="58">
        <f t="shared" si="114"/>
        <v>0</v>
      </c>
      <c r="O392" s="58">
        <f t="shared" si="115"/>
        <v>0</v>
      </c>
      <c r="P392" s="58">
        <f t="shared" si="116"/>
        <v>285.80862147921005</v>
      </c>
      <c r="Q392" s="58">
        <f>IF(H392=1,I392*VEHICLE!$C$69,IF(H392=2,VEHICLE!$C$70*I392,IF(H392=3,VEHICLE!$C$71*I392,0)))</f>
        <v>0</v>
      </c>
      <c r="R392" s="58">
        <f>(J392+K392+O392+Q392)</f>
        <v>285.80862147921005</v>
      </c>
      <c r="S392" s="58">
        <f t="shared" si="117"/>
        <v>285.80862147921005</v>
      </c>
      <c r="T392" s="58">
        <f>ABS((R392)/((2*PI()*G392)/60))</f>
        <v>2.7292712932018039</v>
      </c>
      <c r="U392" s="58">
        <f t="shared" si="118"/>
        <v>3</v>
      </c>
      <c r="V392" s="58">
        <f>INDEX(BSFC!$D$4:$AD$26,MATCH(U392,BSFC!$B$4:$B$26,0),MATCH(G392,BSFC!$D$2:$AD$2,0))</f>
        <v>927.64713984000002</v>
      </c>
      <c r="W392" s="58">
        <f t="shared" si="122"/>
        <v>7.364709729355623E-2</v>
      </c>
      <c r="X392" s="58">
        <f t="shared" si="119"/>
        <v>7.364709729355623E-2</v>
      </c>
      <c r="Y392" s="58">
        <f t="shared" si="120"/>
        <v>0.22756953063708873</v>
      </c>
      <c r="Z392" s="79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x14ac:dyDescent="0.3">
      <c r="A393" s="55">
        <v>2</v>
      </c>
      <c r="B393" s="58" t="s">
        <v>121</v>
      </c>
      <c r="C393" s="58">
        <f t="shared" si="106"/>
        <v>390</v>
      </c>
      <c r="D393" s="58">
        <f t="shared" si="113"/>
        <v>6.5096700000000007</v>
      </c>
      <c r="E393" s="58">
        <f t="shared" si="112"/>
        <v>2.91</v>
      </c>
      <c r="F393" s="90">
        <f>($C$4/E393)+F392</f>
        <v>50.422455380810625</v>
      </c>
      <c r="G393" s="58">
        <f t="shared" si="111"/>
        <v>1000</v>
      </c>
      <c r="H393" s="58">
        <v>1</v>
      </c>
      <c r="I393" s="90">
        <f>E393-E392</f>
        <v>0</v>
      </c>
      <c r="J393" s="58">
        <f>(0.5*VEHICLE!$C$71*VEHICLE!$C$28*VEHICLE!$C$27*'Drive Cycle'!E393^2)</f>
        <v>7.5332564792100003</v>
      </c>
      <c r="K393" s="58">
        <f>IF(A393=1,VEHICLE!$S$5,IF(A393=2,VEHICLE!$Q$5,IF(A393=3,VEHICLE!$R$5,IF(A393=4,VEHICLE!$P$5,1))))</f>
        <v>278.27536500000002</v>
      </c>
      <c r="L393" s="58">
        <f t="shared" si="100"/>
        <v>0</v>
      </c>
      <c r="M393" s="58">
        <f t="shared" si="121"/>
        <v>0</v>
      </c>
      <c r="N393" s="58">
        <f t="shared" si="114"/>
        <v>0</v>
      </c>
      <c r="O393" s="58">
        <f t="shared" si="115"/>
        <v>0</v>
      </c>
      <c r="P393" s="58">
        <f t="shared" si="116"/>
        <v>285.80862147921005</v>
      </c>
      <c r="Q393" s="58">
        <f>IF(H393=1,I393*VEHICLE!$C$69,IF(H393=2,VEHICLE!$C$70*I393,IF(H393=3,VEHICLE!$C$71*I393,0)))</f>
        <v>0</v>
      </c>
      <c r="R393" s="58">
        <f>(J393+K393+O393+Q393)</f>
        <v>285.80862147921005</v>
      </c>
      <c r="S393" s="58">
        <f t="shared" si="117"/>
        <v>285.80862147921005</v>
      </c>
      <c r="T393" s="58">
        <f>ABS((R393)/((2*PI()*G393)/60))</f>
        <v>2.7292712932018039</v>
      </c>
      <c r="U393" s="58">
        <f t="shared" si="118"/>
        <v>3</v>
      </c>
      <c r="V393" s="58">
        <f>INDEX(BSFC!$D$4:$AD$26,MATCH(U393,BSFC!$B$4:$B$26,0),MATCH(G393,BSFC!$D$2:$AD$2,0))</f>
        <v>927.64713984000002</v>
      </c>
      <c r="W393" s="58">
        <f t="shared" si="122"/>
        <v>7.364709729355623E-2</v>
      </c>
      <c r="X393" s="58">
        <f t="shared" si="119"/>
        <v>7.364709729355623E-2</v>
      </c>
      <c r="Y393" s="58">
        <f t="shared" si="120"/>
        <v>0.22756953063708873</v>
      </c>
      <c r="Z393" s="79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x14ac:dyDescent="0.3">
      <c r="A394" s="55">
        <v>2</v>
      </c>
      <c r="B394" s="58" t="s">
        <v>121</v>
      </c>
      <c r="C394" s="58">
        <f t="shared" si="106"/>
        <v>391</v>
      </c>
      <c r="D394" s="58">
        <f t="shared" si="113"/>
        <v>8.1874200000000013</v>
      </c>
      <c r="E394" s="58">
        <f>E393+0.75</f>
        <v>3.66</v>
      </c>
      <c r="F394" s="90">
        <f>($C$4/E394)+F393</f>
        <v>50.695679424526475</v>
      </c>
      <c r="G394" s="58">
        <f>G393+500</f>
        <v>1500</v>
      </c>
      <c r="H394" s="58">
        <v>1</v>
      </c>
      <c r="I394" s="90">
        <f>E394-E393</f>
        <v>0.75</v>
      </c>
      <c r="J394" s="58">
        <f>(0.5*VEHICLE!$C$71*VEHICLE!$C$28*VEHICLE!$C$27*'Drive Cycle'!E394^2)</f>
        <v>11.916780681960001</v>
      </c>
      <c r="K394" s="58">
        <f>IF(A394=1,VEHICLE!$S$5,IF(A394=2,VEHICLE!$Q$5,IF(A394=3,VEHICLE!$R$5,IF(A394=4,VEHICLE!$P$5,1))))</f>
        <v>278.27536500000002</v>
      </c>
      <c r="L394" s="58">
        <f t="shared" si="100"/>
        <v>0</v>
      </c>
      <c r="M394" s="58">
        <f t="shared" si="121"/>
        <v>0</v>
      </c>
      <c r="N394" s="58">
        <f t="shared" si="114"/>
        <v>0</v>
      </c>
      <c r="O394" s="58">
        <f t="shared" si="115"/>
        <v>0</v>
      </c>
      <c r="P394" s="58">
        <f t="shared" si="116"/>
        <v>290.19214568196003</v>
      </c>
      <c r="Q394" s="58">
        <f>IF(H394=1,I394*VEHICLE!$C$69,IF(H394=2,VEHICLE!$C$70*I394,IF(H394=3,VEHICLE!$C$71*I394,0)))</f>
        <v>440.49017657114598</v>
      </c>
      <c r="R394" s="58">
        <f>(J394+K394+O394+Q394)</f>
        <v>730.68232225310601</v>
      </c>
      <c r="S394" s="58">
        <f t="shared" si="117"/>
        <v>730.68232225310601</v>
      </c>
      <c r="T394" s="58">
        <f>ABS((R394)/((2*PI()*G394)/60))</f>
        <v>4.6516681366578805</v>
      </c>
      <c r="U394" s="58">
        <f t="shared" si="118"/>
        <v>5</v>
      </c>
      <c r="V394" s="58">
        <f>INDEX(BSFC!$D$4:$AD$26,MATCH(U394,BSFC!$B$4:$B$26,0),MATCH(G394,BSFC!$D$2:$AD$2,0))</f>
        <v>750.31367136000006</v>
      </c>
      <c r="W394" s="58">
        <f t="shared" si="122"/>
        <v>0.15228914883543851</v>
      </c>
      <c r="X394" s="58">
        <f t="shared" si="119"/>
        <v>0.15228914883543851</v>
      </c>
      <c r="Y394" s="58">
        <f t="shared" si="120"/>
        <v>0.47057346990150495</v>
      </c>
      <c r="Z394" s="79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x14ac:dyDescent="0.3">
      <c r="A395" s="55">
        <v>2</v>
      </c>
      <c r="B395" s="58" t="s">
        <v>121</v>
      </c>
      <c r="C395" s="58">
        <f t="shared" si="106"/>
        <v>392</v>
      </c>
      <c r="D395" s="58">
        <f t="shared" si="113"/>
        <v>9.8651700000000009</v>
      </c>
      <c r="E395" s="58">
        <f t="shared" ref="E395:E398" si="123">E394+0.75</f>
        <v>4.41</v>
      </c>
      <c r="F395" s="90">
        <f>($C$4/E395)+F394</f>
        <v>50.922436794140985</v>
      </c>
      <c r="G395" s="58">
        <f t="shared" ref="G395:G399" si="124">G394+500</f>
        <v>2000</v>
      </c>
      <c r="H395" s="58">
        <v>1</v>
      </c>
      <c r="I395" s="90">
        <f>E395-E394</f>
        <v>0.75</v>
      </c>
      <c r="J395" s="58">
        <f>(0.5*VEHICLE!$C$71*VEHICLE!$C$28*VEHICLE!$C$27*'Drive Cycle'!E395^2)</f>
        <v>17.30110949721</v>
      </c>
      <c r="K395" s="58">
        <f>IF(A395=1,VEHICLE!$S$5,IF(A395=2,VEHICLE!$Q$5,IF(A395=3,VEHICLE!$R$5,IF(A395=4,VEHICLE!$P$5,1))))</f>
        <v>278.27536500000002</v>
      </c>
      <c r="L395" s="58">
        <f t="shared" si="100"/>
        <v>0</v>
      </c>
      <c r="M395" s="58">
        <f t="shared" si="121"/>
        <v>0</v>
      </c>
      <c r="N395" s="58">
        <f t="shared" si="114"/>
        <v>0</v>
      </c>
      <c r="O395" s="58">
        <f t="shared" si="115"/>
        <v>0</v>
      </c>
      <c r="P395" s="58">
        <f t="shared" si="116"/>
        <v>295.57647449721003</v>
      </c>
      <c r="Q395" s="58">
        <f>IF(H395=1,I395*VEHICLE!$C$69,IF(H395=2,VEHICLE!$C$70*I395,IF(H395=3,VEHICLE!$C$71*I395,0)))</f>
        <v>440.49017657114598</v>
      </c>
      <c r="R395" s="58">
        <f>(J395+K395+O395+Q395)</f>
        <v>736.06665106835601</v>
      </c>
      <c r="S395" s="58">
        <f t="shared" si="117"/>
        <v>736.06665106835601</v>
      </c>
      <c r="T395" s="58">
        <f>ABS((R395)/((2*PI()*G395)/60))</f>
        <v>3.5144593788787857</v>
      </c>
      <c r="U395" s="58">
        <f t="shared" si="118"/>
        <v>4</v>
      </c>
      <c r="V395" s="58">
        <f>INDEX(BSFC!$D$4:$AD$26,MATCH(U395,BSFC!$B$4:$B$26,0),MATCH(G395,BSFC!$D$2:$AD$2,0))</f>
        <v>841.28841311999997</v>
      </c>
      <c r="W395" s="58">
        <f t="shared" si="122"/>
        <v>0.17201231800773609</v>
      </c>
      <c r="X395" s="58">
        <f t="shared" si="119"/>
        <v>0.17201231800773609</v>
      </c>
      <c r="Y395" s="58">
        <f t="shared" si="120"/>
        <v>0.53151806264390444</v>
      </c>
      <c r="Z395" s="79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x14ac:dyDescent="0.3">
      <c r="A396" s="55">
        <v>2</v>
      </c>
      <c r="B396" s="58" t="s">
        <v>121</v>
      </c>
      <c r="C396" s="58">
        <f t="shared" si="106"/>
        <v>393</v>
      </c>
      <c r="D396" s="58">
        <f t="shared" si="113"/>
        <v>11.542920000000001</v>
      </c>
      <c r="E396" s="58">
        <f t="shared" si="123"/>
        <v>5.16</v>
      </c>
      <c r="F396" s="90">
        <f>($C$4/E396)+F395</f>
        <v>51.116235243753387</v>
      </c>
      <c r="G396" s="58">
        <f t="shared" si="124"/>
        <v>2500</v>
      </c>
      <c r="H396" s="58">
        <v>1</v>
      </c>
      <c r="I396" s="90">
        <f>E396-E395</f>
        <v>0.75</v>
      </c>
      <c r="J396" s="58">
        <f>(0.5*VEHICLE!$C$71*VEHICLE!$C$28*VEHICLE!$C$27*'Drive Cycle'!E396^2)</f>
        <v>23.686242924959998</v>
      </c>
      <c r="K396" s="58">
        <f>IF(A396=1,VEHICLE!$S$5,IF(A396=2,VEHICLE!$Q$5,IF(A396=3,VEHICLE!$R$5,IF(A396=4,VEHICLE!$P$5,1))))</f>
        <v>278.27536500000002</v>
      </c>
      <c r="L396" s="58">
        <f t="shared" si="100"/>
        <v>0</v>
      </c>
      <c r="M396" s="58">
        <f t="shared" si="121"/>
        <v>0</v>
      </c>
      <c r="N396" s="58">
        <f t="shared" si="114"/>
        <v>0</v>
      </c>
      <c r="O396" s="58">
        <f t="shared" si="115"/>
        <v>0</v>
      </c>
      <c r="P396" s="58">
        <f t="shared" si="116"/>
        <v>301.96160792496005</v>
      </c>
      <c r="Q396" s="58">
        <f>IF(H396=1,I396*VEHICLE!$C$69,IF(H396=2,VEHICLE!$C$70*I396,IF(H396=3,VEHICLE!$C$71*I396,0)))</f>
        <v>440.49017657114598</v>
      </c>
      <c r="R396" s="58">
        <f>(J396+K396+O396+Q396)</f>
        <v>742.45178449610603</v>
      </c>
      <c r="S396" s="58">
        <f t="shared" si="117"/>
        <v>742.45178449610603</v>
      </c>
      <c r="T396" s="58">
        <f>ABS((R396)/((2*PI()*G396)/60))</f>
        <v>2.8359569162388936</v>
      </c>
      <c r="U396" s="58">
        <f t="shared" si="118"/>
        <v>3</v>
      </c>
      <c r="V396" s="58">
        <f>INDEX(BSFC!$D$4:$AD$26,MATCH(U396,BSFC!$B$4:$B$26,0),MATCH(G396,BSFC!$D$2:$AD$2,0))</f>
        <v>898.36185024000031</v>
      </c>
      <c r="W396" s="58">
        <f t="shared" si="122"/>
        <v>0.18527509967608663</v>
      </c>
      <c r="X396" s="58">
        <f t="shared" si="119"/>
        <v>0.18527509967608663</v>
      </c>
      <c r="Y396" s="58">
        <f t="shared" si="120"/>
        <v>0.57250005799910764</v>
      </c>
      <c r="Z396" s="79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x14ac:dyDescent="0.3">
      <c r="A397" s="55">
        <v>2</v>
      </c>
      <c r="B397" s="59" t="s">
        <v>107</v>
      </c>
      <c r="C397" s="59">
        <f t="shared" si="106"/>
        <v>394</v>
      </c>
      <c r="D397" s="59">
        <f t="shared" si="113"/>
        <v>13.22067</v>
      </c>
      <c r="E397" s="59">
        <f t="shared" si="123"/>
        <v>5.91</v>
      </c>
      <c r="F397" s="91">
        <f>($C$4/E397)+F396</f>
        <v>51.285439981486043</v>
      </c>
      <c r="G397" s="59">
        <f t="shared" si="124"/>
        <v>3000</v>
      </c>
      <c r="H397" s="59">
        <v>1</v>
      </c>
      <c r="I397" s="91">
        <f>E397-E396</f>
        <v>0.75</v>
      </c>
      <c r="J397" s="59">
        <f>(0.5*VEHICLE!$C$71*VEHICLE!$C$28*VEHICLE!$C$27*'Drive Cycle'!E397^2)</f>
        <v>31.072180965209999</v>
      </c>
      <c r="K397" s="59">
        <f>IF(A397=1,VEHICLE!$S$5,IF(A397=2,VEHICLE!$Q$5,IF(A397=3,VEHICLE!$R$5,IF(A397=4,VEHICLE!$P$5,1))))</f>
        <v>278.27536500000002</v>
      </c>
      <c r="L397" s="59">
        <f t="shared" si="100"/>
        <v>0</v>
      </c>
      <c r="M397" s="59">
        <f t="shared" si="121"/>
        <v>0</v>
      </c>
      <c r="N397" s="59">
        <f t="shared" si="114"/>
        <v>0</v>
      </c>
      <c r="O397" s="59">
        <f t="shared" si="115"/>
        <v>0</v>
      </c>
      <c r="P397" s="59">
        <f t="shared" si="116"/>
        <v>309.34754596521003</v>
      </c>
      <c r="Q397" s="59">
        <f>IF(H397=1,I397*VEHICLE!$C$69,IF(H397=2,VEHICLE!$C$70*I397,IF(H397=3,VEHICLE!$C$71*I397,0)))</f>
        <v>440.49017657114598</v>
      </c>
      <c r="R397" s="59">
        <f>(J397+K397+O397+Q397)</f>
        <v>749.83772253635607</v>
      </c>
      <c r="S397" s="59">
        <f t="shared" si="117"/>
        <v>749.83772253635607</v>
      </c>
      <c r="T397" s="59">
        <f>ABS((R397)/((2*PI()*G397)/60))</f>
        <v>2.386807601168603</v>
      </c>
      <c r="U397" s="59">
        <f t="shared" si="118"/>
        <v>3</v>
      </c>
      <c r="V397" s="59">
        <f>INDEX(BSFC!$D$4:$AD$26,MATCH(U397,BSFC!$B$4:$B$26,0),MATCH(G397,BSFC!$D$2:$AD$2,0))</f>
        <v>875.83654128000001</v>
      </c>
      <c r="W397" s="59">
        <f t="shared" si="122"/>
        <v>0.18242646595208734</v>
      </c>
      <c r="X397" s="59">
        <f t="shared" si="119"/>
        <v>0.18242646595208734</v>
      </c>
      <c r="Y397" s="59">
        <f t="shared" si="120"/>
        <v>0.56369777979194979</v>
      </c>
      <c r="Z397" s="79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x14ac:dyDescent="0.3">
      <c r="A398" s="55">
        <v>2</v>
      </c>
      <c r="B398" s="59" t="s">
        <v>107</v>
      </c>
      <c r="C398" s="59">
        <f t="shared" si="106"/>
        <v>395</v>
      </c>
      <c r="D398" s="59">
        <f t="shared" si="113"/>
        <v>14.898420000000002</v>
      </c>
      <c r="E398" s="59">
        <f t="shared" si="123"/>
        <v>6.66</v>
      </c>
      <c r="F398" s="91">
        <f>($C$4/E398)+F397</f>
        <v>51.435590131636197</v>
      </c>
      <c r="G398" s="59">
        <f t="shared" si="124"/>
        <v>3500</v>
      </c>
      <c r="H398" s="59">
        <v>2</v>
      </c>
      <c r="I398" s="91">
        <f>E398-E397</f>
        <v>0.75</v>
      </c>
      <c r="J398" s="59">
        <f>(0.5*VEHICLE!$C$71*VEHICLE!$C$28*VEHICLE!$C$27*'Drive Cycle'!E398^2)</f>
        <v>39.458923617959996</v>
      </c>
      <c r="K398" s="59">
        <f>IF(A398=1,VEHICLE!$S$5,IF(A398=2,VEHICLE!$Q$5,IF(A398=3,VEHICLE!$R$5,IF(A398=4,VEHICLE!$P$5,1))))</f>
        <v>278.27536500000002</v>
      </c>
      <c r="L398" s="59">
        <f t="shared" si="100"/>
        <v>0</v>
      </c>
      <c r="M398" s="59">
        <f t="shared" si="121"/>
        <v>0</v>
      </c>
      <c r="N398" s="59">
        <f t="shared" si="114"/>
        <v>0</v>
      </c>
      <c r="O398" s="59">
        <f t="shared" si="115"/>
        <v>0</v>
      </c>
      <c r="P398" s="59">
        <f t="shared" si="116"/>
        <v>317.73428861796003</v>
      </c>
      <c r="Q398" s="59">
        <f>IF(H398=1,I398*VEHICLE!$C$69,IF(H398=2,VEHICLE!$C$70*I398,IF(H398=3,VEHICLE!$C$71*I398,0)))</f>
        <v>438.86136489758803</v>
      </c>
      <c r="R398" s="59">
        <f>(J398+K398+O398+Q398)</f>
        <v>756.59565351554807</v>
      </c>
      <c r="S398" s="59">
        <f t="shared" si="117"/>
        <v>756.59565351554807</v>
      </c>
      <c r="T398" s="59">
        <f>ABS((R398)/((2*PI()*G398)/60))</f>
        <v>2.0642732259230132</v>
      </c>
      <c r="U398" s="59">
        <f t="shared" si="118"/>
        <v>3</v>
      </c>
      <c r="V398" s="59">
        <f>INDEX(BSFC!$D$4:$AD$26,MATCH(U398,BSFC!$B$4:$B$26,0),MATCH(G398,BSFC!$D$2:$AD$2,0))</f>
        <v>819.92766336000011</v>
      </c>
      <c r="W398" s="59">
        <f t="shared" si="122"/>
        <v>0.17232047397092654</v>
      </c>
      <c r="X398" s="59">
        <f t="shared" si="119"/>
        <v>0.17232047397092654</v>
      </c>
      <c r="Y398" s="59">
        <f t="shared" si="120"/>
        <v>0.532470264570163</v>
      </c>
      <c r="Z398" s="79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x14ac:dyDescent="0.3">
      <c r="A399" s="55">
        <v>2</v>
      </c>
      <c r="B399" s="59" t="s">
        <v>107</v>
      </c>
      <c r="C399" s="59">
        <f t="shared" si="106"/>
        <v>396</v>
      </c>
      <c r="D399" s="59">
        <f t="shared" si="113"/>
        <v>17.13542</v>
      </c>
      <c r="E399" s="59">
        <f>E398+1</f>
        <v>7.66</v>
      </c>
      <c r="F399" s="91">
        <f>($C$4/E399)+F398</f>
        <v>51.566138434508261</v>
      </c>
      <c r="G399" s="59">
        <f t="shared" si="124"/>
        <v>4000</v>
      </c>
      <c r="H399" s="59">
        <v>2</v>
      </c>
      <c r="I399" s="91">
        <f>E399-E398</f>
        <v>1</v>
      </c>
      <c r="J399" s="59">
        <f>(0.5*VEHICLE!$C$71*VEHICLE!$C$28*VEHICLE!$C$27*'Drive Cycle'!E399^2)</f>
        <v>52.198054329959994</v>
      </c>
      <c r="K399" s="59">
        <f>IF(A399=1,VEHICLE!$S$5,IF(A399=2,VEHICLE!$Q$5,IF(A399=3,VEHICLE!$R$5,IF(A399=4,VEHICLE!$P$5,1))))</f>
        <v>278.27536500000002</v>
      </c>
      <c r="L399" s="59">
        <f t="shared" si="100"/>
        <v>0</v>
      </c>
      <c r="M399" s="59">
        <f t="shared" si="121"/>
        <v>0</v>
      </c>
      <c r="N399" s="59">
        <f t="shared" si="114"/>
        <v>0</v>
      </c>
      <c r="O399" s="59">
        <f t="shared" si="115"/>
        <v>0</v>
      </c>
      <c r="P399" s="59">
        <f t="shared" si="116"/>
        <v>330.47341932996</v>
      </c>
      <c r="Q399" s="59">
        <f>IF(H399=1,I399*VEHICLE!$C$69,IF(H399=2,VEHICLE!$C$70*I399,IF(H399=3,VEHICLE!$C$71*I399,0)))</f>
        <v>585.14848653011734</v>
      </c>
      <c r="R399" s="59">
        <f>(J399+K399+O399+Q399)</f>
        <v>915.62190586007728</v>
      </c>
      <c r="S399" s="59">
        <f t="shared" si="117"/>
        <v>915.62190586007728</v>
      </c>
      <c r="T399" s="59">
        <f>ABS((R399)/((2*PI()*G399)/60))</f>
        <v>2.1858862848128005</v>
      </c>
      <c r="U399" s="59">
        <f t="shared" si="118"/>
        <v>3</v>
      </c>
      <c r="V399" s="59">
        <f>INDEX(BSFC!$D$4:$AD$26,MATCH(U399,BSFC!$B$4:$B$26,0),MATCH(G399,BSFC!$D$2:$AD$2,0))</f>
        <v>811.6487376</v>
      </c>
      <c r="W399" s="59">
        <f t="shared" si="122"/>
        <v>0.20643426778062157</v>
      </c>
      <c r="X399" s="59">
        <f t="shared" si="119"/>
        <v>0.20643426778062157</v>
      </c>
      <c r="Y399" s="59">
        <f t="shared" si="120"/>
        <v>0.6378818874421206</v>
      </c>
      <c r="Z399" s="79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x14ac:dyDescent="0.3">
      <c r="A400" s="55">
        <v>2</v>
      </c>
      <c r="B400" s="59" t="s">
        <v>107</v>
      </c>
      <c r="C400" s="59">
        <f t="shared" si="106"/>
        <v>397</v>
      </c>
      <c r="D400" s="59">
        <f t="shared" si="113"/>
        <v>19.372420000000002</v>
      </c>
      <c r="E400" s="59">
        <f t="shared" ref="E400:E404" si="125">E399+1</f>
        <v>8.66</v>
      </c>
      <c r="F400" s="91">
        <f>($C$4/E400)+F399</f>
        <v>51.681611875616809</v>
      </c>
      <c r="G400" s="59">
        <f>G399+1000</f>
        <v>5000</v>
      </c>
      <c r="H400" s="59">
        <v>2</v>
      </c>
      <c r="I400" s="91">
        <f>E400-E399</f>
        <v>1</v>
      </c>
      <c r="J400" s="59">
        <f>(0.5*VEHICLE!$C$71*VEHICLE!$C$28*VEHICLE!$C$27*'Drive Cycle'!E400^2)</f>
        <v>66.716393241959992</v>
      </c>
      <c r="K400" s="59">
        <f>IF(A400=1,VEHICLE!$S$5,IF(A400=2,VEHICLE!$Q$5,IF(A400=3,VEHICLE!$R$5,IF(A400=4,VEHICLE!$P$5,1))))</f>
        <v>278.27536500000002</v>
      </c>
      <c r="L400" s="59">
        <f t="shared" si="100"/>
        <v>0</v>
      </c>
      <c r="M400" s="59">
        <f t="shared" si="121"/>
        <v>0</v>
      </c>
      <c r="N400" s="59">
        <f t="shared" si="114"/>
        <v>0</v>
      </c>
      <c r="O400" s="59">
        <f t="shared" si="115"/>
        <v>0</v>
      </c>
      <c r="P400" s="59">
        <f t="shared" si="116"/>
        <v>344.99175824196004</v>
      </c>
      <c r="Q400" s="59">
        <f>IF(H400=1,I400*VEHICLE!$C$69,IF(H400=2,VEHICLE!$C$70*I400,IF(H400=3,VEHICLE!$C$71*I400,0)))</f>
        <v>585.14848653011734</v>
      </c>
      <c r="R400" s="59">
        <f>(J400+K400+O400+Q400)</f>
        <v>930.14024477207738</v>
      </c>
      <c r="S400" s="59">
        <f t="shared" si="117"/>
        <v>930.14024477207738</v>
      </c>
      <c r="T400" s="59">
        <f>ABS((R400)/((2*PI()*G400)/60))</f>
        <v>1.776437012690179</v>
      </c>
      <c r="U400" s="59">
        <f t="shared" si="118"/>
        <v>2</v>
      </c>
      <c r="V400" s="59">
        <f>INDEX(BSFC!$D$4:$AD$26,MATCH(U400,BSFC!$B$4:$B$26,0),MATCH(G400,BSFC!$D$2:$AD$2,0))</f>
        <v>881.19835871999999</v>
      </c>
      <c r="W400" s="59">
        <f t="shared" si="122"/>
        <v>0.22767723807571491</v>
      </c>
      <c r="X400" s="59">
        <f t="shared" si="119"/>
        <v>0.22767723807571491</v>
      </c>
      <c r="Y400" s="59">
        <f t="shared" si="120"/>
        <v>0.70352266565395905</v>
      </c>
      <c r="Z400" s="79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x14ac:dyDescent="0.3">
      <c r="A401" s="55">
        <v>2</v>
      </c>
      <c r="B401" s="59" t="s">
        <v>107</v>
      </c>
      <c r="C401" s="59">
        <f t="shared" si="106"/>
        <v>398</v>
      </c>
      <c r="D401" s="59">
        <f t="shared" si="113"/>
        <v>21.60942</v>
      </c>
      <c r="E401" s="59">
        <f t="shared" si="125"/>
        <v>9.66</v>
      </c>
      <c r="F401" s="91">
        <f>($C$4/E401)+F400</f>
        <v>51.785131544353867</v>
      </c>
      <c r="G401" s="59">
        <f t="shared" ref="G401:G402" si="126">G400+1000</f>
        <v>6000</v>
      </c>
      <c r="H401" s="59">
        <v>2</v>
      </c>
      <c r="I401" s="91">
        <f>E401-E400</f>
        <v>1</v>
      </c>
      <c r="J401" s="59">
        <f>(0.5*VEHICLE!$C$71*VEHICLE!$C$28*VEHICLE!$C$27*'Drive Cycle'!E401^2)</f>
        <v>83.013940353959995</v>
      </c>
      <c r="K401" s="59">
        <f>IF(A401=1,VEHICLE!$S$5,IF(A401=2,VEHICLE!$Q$5,IF(A401=3,VEHICLE!$R$5,IF(A401=4,VEHICLE!$P$5,1))))</f>
        <v>278.27536500000002</v>
      </c>
      <c r="L401" s="59">
        <f t="shared" si="100"/>
        <v>0</v>
      </c>
      <c r="M401" s="59">
        <f t="shared" si="121"/>
        <v>0</v>
      </c>
      <c r="N401" s="59">
        <f t="shared" si="114"/>
        <v>0</v>
      </c>
      <c r="O401" s="59">
        <f t="shared" si="115"/>
        <v>0</v>
      </c>
      <c r="P401" s="59">
        <f t="shared" si="116"/>
        <v>361.28930535396</v>
      </c>
      <c r="Q401" s="59">
        <f>IF(H401=1,I401*VEHICLE!$C$69,IF(H401=2,VEHICLE!$C$70*I401,IF(H401=3,VEHICLE!$C$71*I401,0)))</f>
        <v>585.14848653011734</v>
      </c>
      <c r="R401" s="59">
        <f>(J401+K401+O401+Q401)</f>
        <v>946.43779188407734</v>
      </c>
      <c r="S401" s="59">
        <f t="shared" si="117"/>
        <v>946.43779188407734</v>
      </c>
      <c r="T401" s="59">
        <f>ABS((R401)/((2*PI()*G401)/60))</f>
        <v>1.5063025290732941</v>
      </c>
      <c r="U401" s="59">
        <f t="shared" si="118"/>
        <v>2</v>
      </c>
      <c r="V401" s="59">
        <f>INDEX(BSFC!$D$4:$AD$26,MATCH(U401,BSFC!$B$4:$B$26,0),MATCH(G401,BSFC!$D$2:$AD$2,0))</f>
        <v>881.66816232000019</v>
      </c>
      <c r="W401" s="59">
        <f t="shared" si="122"/>
        <v>0.2317900190890648</v>
      </c>
      <c r="X401" s="59">
        <f t="shared" si="119"/>
        <v>0.2317900190890648</v>
      </c>
      <c r="Y401" s="59">
        <f t="shared" si="120"/>
        <v>0.71623115898521017</v>
      </c>
      <c r="Z401" s="79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x14ac:dyDescent="0.3">
      <c r="A402" s="55">
        <v>2</v>
      </c>
      <c r="B402" s="59" t="s">
        <v>107</v>
      </c>
      <c r="C402" s="59">
        <f t="shared" si="106"/>
        <v>399</v>
      </c>
      <c r="D402" s="59">
        <f t="shared" si="113"/>
        <v>23.846420000000002</v>
      </c>
      <c r="E402" s="59">
        <f t="shared" si="125"/>
        <v>10.66</v>
      </c>
      <c r="F402" s="91">
        <f>($C$4/E402)+F401</f>
        <v>51.878940174747861</v>
      </c>
      <c r="G402" s="59">
        <f t="shared" si="126"/>
        <v>7000</v>
      </c>
      <c r="H402" s="59">
        <v>2</v>
      </c>
      <c r="I402" s="91">
        <f>E402-E401</f>
        <v>1</v>
      </c>
      <c r="J402" s="59">
        <f>(0.5*VEHICLE!$C$71*VEHICLE!$C$28*VEHICLE!$C$27*'Drive Cycle'!E402^2)</f>
        <v>101.09069566595998</v>
      </c>
      <c r="K402" s="59">
        <f>IF(A402=1,VEHICLE!$S$5,IF(A402=2,VEHICLE!$Q$5,IF(A402=3,VEHICLE!$R$5,IF(A402=4,VEHICLE!$P$5,1))))</f>
        <v>278.27536500000002</v>
      </c>
      <c r="L402" s="59">
        <f t="shared" si="100"/>
        <v>0</v>
      </c>
      <c r="M402" s="59">
        <f t="shared" si="121"/>
        <v>0</v>
      </c>
      <c r="N402" s="59">
        <f t="shared" si="114"/>
        <v>0</v>
      </c>
      <c r="O402" s="59">
        <f t="shared" si="115"/>
        <v>0</v>
      </c>
      <c r="P402" s="59">
        <f t="shared" si="116"/>
        <v>379.36606066595999</v>
      </c>
      <c r="Q402" s="59">
        <f>IF(H402=1,I402*VEHICLE!$C$69,IF(H402=2,VEHICLE!$C$70*I402,IF(H402=3,VEHICLE!$C$71*I402,0)))</f>
        <v>585.14848653011734</v>
      </c>
      <c r="R402" s="59">
        <f>(J402+K402+O402+Q402)</f>
        <v>964.51454719607727</v>
      </c>
      <c r="S402" s="59">
        <f t="shared" si="117"/>
        <v>964.51454719607727</v>
      </c>
      <c r="T402" s="59">
        <f>ABS((R402)/((2*PI()*G402)/60))</f>
        <v>1.3157764960311162</v>
      </c>
      <c r="U402" s="59">
        <f t="shared" si="118"/>
        <v>2</v>
      </c>
      <c r="V402" s="59">
        <f>INDEX(BSFC!$D$4:$AD$26,MATCH(U402,BSFC!$B$4:$B$26,0),MATCH(G402,BSFC!$D$2:$AD$2,0))</f>
        <v>911.73559271999989</v>
      </c>
      <c r="W402" s="59">
        <f t="shared" si="122"/>
        <v>0.24427284510413272</v>
      </c>
      <c r="X402" s="59">
        <f t="shared" si="119"/>
        <v>0.24427284510413272</v>
      </c>
      <c r="Y402" s="59">
        <f t="shared" si="120"/>
        <v>0.75480309137177004</v>
      </c>
      <c r="Z402" s="79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x14ac:dyDescent="0.3">
      <c r="A403" s="55">
        <v>2</v>
      </c>
      <c r="B403" s="59" t="s">
        <v>107</v>
      </c>
      <c r="C403" s="59">
        <f t="shared" si="106"/>
        <v>400</v>
      </c>
      <c r="D403" s="59">
        <f t="shared" si="113"/>
        <v>26.08342</v>
      </c>
      <c r="E403" s="59">
        <f t="shared" si="125"/>
        <v>11.66</v>
      </c>
      <c r="F403" s="91">
        <f>($C$4/E403)+F402</f>
        <v>51.964703468058325</v>
      </c>
      <c r="G403" s="59">
        <v>7000</v>
      </c>
      <c r="H403" s="59">
        <v>2</v>
      </c>
      <c r="I403" s="91">
        <f>E403-E402</f>
        <v>1</v>
      </c>
      <c r="J403" s="59">
        <f>(0.5*VEHICLE!$C$71*VEHICLE!$C$28*VEHICLE!$C$27*'Drive Cycle'!E403^2)</f>
        <v>120.94665917795999</v>
      </c>
      <c r="K403" s="59">
        <f>IF(A403=1,VEHICLE!$S$5,IF(A403=2,VEHICLE!$Q$5,IF(A403=3,VEHICLE!$R$5,IF(A403=4,VEHICLE!$P$5,1))))</f>
        <v>278.27536500000002</v>
      </c>
      <c r="L403" s="59">
        <f t="shared" si="100"/>
        <v>0</v>
      </c>
      <c r="M403" s="59">
        <f t="shared" si="121"/>
        <v>0</v>
      </c>
      <c r="N403" s="59">
        <f t="shared" si="114"/>
        <v>0</v>
      </c>
      <c r="O403" s="59">
        <f t="shared" si="115"/>
        <v>0</v>
      </c>
      <c r="P403" s="59">
        <f t="shared" si="116"/>
        <v>399.22202417796001</v>
      </c>
      <c r="Q403" s="59">
        <f>IF(H403=1,I403*VEHICLE!$C$69,IF(H403=2,VEHICLE!$C$70*I403,IF(H403=3,VEHICLE!$C$71*I403,0)))</f>
        <v>585.14848653011734</v>
      </c>
      <c r="R403" s="59">
        <f>(J403+K403+O403+Q403)</f>
        <v>984.37051070807729</v>
      </c>
      <c r="S403" s="59">
        <f t="shared" si="117"/>
        <v>984.37051070807729</v>
      </c>
      <c r="T403" s="59">
        <f>ABS((R403)/((2*PI()*G403)/60))</f>
        <v>1.3428637081121486</v>
      </c>
      <c r="U403" s="59">
        <f t="shared" si="118"/>
        <v>2</v>
      </c>
      <c r="V403" s="59">
        <f>INDEX(BSFC!$D$4:$AD$26,MATCH(U403,BSFC!$B$4:$B$26,0),MATCH(G403,BSFC!$D$2:$AD$2,0))</f>
        <v>911.73559271999989</v>
      </c>
      <c r="W403" s="59">
        <f t="shared" si="122"/>
        <v>0.24930156417681051</v>
      </c>
      <c r="X403" s="59">
        <f t="shared" si="119"/>
        <v>0.24930156417681051</v>
      </c>
      <c r="Y403" s="59">
        <f t="shared" si="120"/>
        <v>0.77034183330634443</v>
      </c>
      <c r="Z403" s="79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x14ac:dyDescent="0.3">
      <c r="A404" s="55">
        <v>2</v>
      </c>
      <c r="B404" s="59" t="s">
        <v>107</v>
      </c>
      <c r="C404" s="59">
        <f t="shared" si="106"/>
        <v>401</v>
      </c>
      <c r="D404" s="59">
        <f t="shared" si="113"/>
        <v>28.320420000000002</v>
      </c>
      <c r="E404" s="59">
        <f t="shared" si="125"/>
        <v>12.66</v>
      </c>
      <c r="F404" s="91">
        <f>($C$4/E404)+F403</f>
        <v>52.043692409606507</v>
      </c>
      <c r="G404" s="59">
        <v>7000</v>
      </c>
      <c r="H404" s="59">
        <v>2</v>
      </c>
      <c r="I404" s="91">
        <f>E404-E403</f>
        <v>1</v>
      </c>
      <c r="J404" s="59">
        <f>(0.5*VEHICLE!$C$71*VEHICLE!$C$28*VEHICLE!$C$27*'Drive Cycle'!E404^2)</f>
        <v>142.58183088995997</v>
      </c>
      <c r="K404" s="59">
        <f>IF(A404=1,VEHICLE!$S$5,IF(A404=2,VEHICLE!$Q$5,IF(A404=3,VEHICLE!$R$5,IF(A404=4,VEHICLE!$P$5,1))))</f>
        <v>278.27536500000002</v>
      </c>
      <c r="L404" s="59">
        <f t="shared" ref="L404:L467" si="127">L403</f>
        <v>0</v>
      </c>
      <c r="M404" s="59">
        <f t="shared" si="121"/>
        <v>0</v>
      </c>
      <c r="N404" s="59">
        <f t="shared" si="114"/>
        <v>0</v>
      </c>
      <c r="O404" s="59">
        <f t="shared" si="115"/>
        <v>0</v>
      </c>
      <c r="P404" s="59">
        <f t="shared" si="116"/>
        <v>420.85719588996</v>
      </c>
      <c r="Q404" s="59">
        <f>IF(H404=1,I404*VEHICLE!$C$69,IF(H404=2,VEHICLE!$C$70*I404,IF(H404=3,VEHICLE!$C$71*I404,0)))</f>
        <v>585.14848653011734</v>
      </c>
      <c r="R404" s="59">
        <f>(J404+K404+O404+Q404)</f>
        <v>1006.0056824200774</v>
      </c>
      <c r="S404" s="59">
        <f t="shared" si="117"/>
        <v>1006.0056824200774</v>
      </c>
      <c r="T404" s="59">
        <f>ABS((R404)/((2*PI()*G404)/60))</f>
        <v>1.3723780897344924</v>
      </c>
      <c r="U404" s="59">
        <f t="shared" si="118"/>
        <v>2</v>
      </c>
      <c r="V404" s="59">
        <f>INDEX(BSFC!$D$4:$AD$26,MATCH(U404,BSFC!$B$4:$B$26,0),MATCH(G404,BSFC!$D$2:$AD$2,0))</f>
        <v>911.73559271999989</v>
      </c>
      <c r="W404" s="59">
        <f t="shared" si="122"/>
        <v>0.25478088531693255</v>
      </c>
      <c r="X404" s="59">
        <f t="shared" si="119"/>
        <v>0.25478088531693255</v>
      </c>
      <c r="Y404" s="59">
        <f t="shared" si="120"/>
        <v>0.78727293562932155</v>
      </c>
      <c r="Z404" s="79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x14ac:dyDescent="0.3">
      <c r="A405" s="55">
        <v>2</v>
      </c>
      <c r="B405" s="59" t="s">
        <v>107</v>
      </c>
      <c r="C405" s="59">
        <f t="shared" si="106"/>
        <v>402</v>
      </c>
      <c r="D405" s="59">
        <f t="shared" si="113"/>
        <v>29.998170000000002</v>
      </c>
      <c r="E405" s="59">
        <v>13.41</v>
      </c>
      <c r="F405" s="91">
        <f>($C$4/E405)+F404</f>
        <v>52.118263625117322</v>
      </c>
      <c r="G405" s="59">
        <f>G404-250</f>
        <v>6750</v>
      </c>
      <c r="H405" s="59">
        <v>2</v>
      </c>
      <c r="I405" s="91">
        <f>E405-E404</f>
        <v>0.75</v>
      </c>
      <c r="J405" s="59">
        <f>(0.5*VEHICLE!$C$71*VEHICLE!$C$28*VEHICLE!$C$27*'Drive Cycle'!E405^2)</f>
        <v>159.97581505520998</v>
      </c>
      <c r="K405" s="59">
        <f>IF(A405=1,VEHICLE!$S$5,IF(A405=2,VEHICLE!$Q$5,IF(A405=3,VEHICLE!$R$5,IF(A405=4,VEHICLE!$P$5,1))))</f>
        <v>278.27536500000002</v>
      </c>
      <c r="L405" s="59">
        <f t="shared" si="127"/>
        <v>0</v>
      </c>
      <c r="M405" s="59">
        <f t="shared" si="121"/>
        <v>0</v>
      </c>
      <c r="N405" s="59">
        <f t="shared" si="114"/>
        <v>0</v>
      </c>
      <c r="O405" s="59">
        <f t="shared" si="115"/>
        <v>0</v>
      </c>
      <c r="P405" s="59">
        <f t="shared" si="116"/>
        <v>438.25118005521</v>
      </c>
      <c r="Q405" s="59">
        <f>IF(H405=1,I405*VEHICLE!$C$69,IF(H405=2,VEHICLE!$C$70*I405,IF(H405=3,VEHICLE!$C$71*I405,0)))</f>
        <v>438.86136489758803</v>
      </c>
      <c r="R405" s="59">
        <f>(J405+K405+O405+Q405)</f>
        <v>877.11254495279809</v>
      </c>
      <c r="S405" s="59">
        <f t="shared" si="117"/>
        <v>877.11254495279809</v>
      </c>
      <c r="T405" s="59">
        <f>ABS((R405)/((2*PI()*G405)/60))</f>
        <v>1.2408604193524451</v>
      </c>
      <c r="U405" s="59">
        <f t="shared" si="118"/>
        <v>2</v>
      </c>
      <c r="V405" s="59">
        <f>INDEX(BSFC!$D$4:$AD$26,MATCH(U405,BSFC!$B$4:$B$26,0),MATCH(G405,BSFC!$D$2:$AD$2,0))</f>
        <v>914.12972883999998</v>
      </c>
      <c r="W405" s="59">
        <f t="shared" si="122"/>
        <v>0.22272073691107322</v>
      </c>
      <c r="X405" s="59">
        <f t="shared" si="119"/>
        <v>0.22272073691107322</v>
      </c>
      <c r="Y405" s="59">
        <f t="shared" si="120"/>
        <v>0.68820707705521622</v>
      </c>
      <c r="Z405" s="79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x14ac:dyDescent="0.3">
      <c r="A406" s="55">
        <v>2</v>
      </c>
      <c r="B406" s="59" t="s">
        <v>107</v>
      </c>
      <c r="C406" s="59">
        <f t="shared" si="106"/>
        <v>403</v>
      </c>
      <c r="D406" s="59">
        <f t="shared" si="113"/>
        <v>28.320420000000002</v>
      </c>
      <c r="E406" s="59">
        <f>E405-0.75</f>
        <v>12.66</v>
      </c>
      <c r="F406" s="91">
        <f>($C$4/E406)+F405</f>
        <v>52.197252566665505</v>
      </c>
      <c r="G406" s="59">
        <f t="shared" ref="G406:G413" si="128">G405-250</f>
        <v>6500</v>
      </c>
      <c r="H406" s="59">
        <v>2</v>
      </c>
      <c r="I406" s="91">
        <f>E406-E405</f>
        <v>-0.75</v>
      </c>
      <c r="J406" s="59">
        <f>(0.5*VEHICLE!$C$71*VEHICLE!$C$28*VEHICLE!$C$27*'Drive Cycle'!E406^2)</f>
        <v>142.58183088995997</v>
      </c>
      <c r="K406" s="59">
        <f>IF(A406=1,VEHICLE!$S$5,IF(A406=2,VEHICLE!$Q$5,IF(A406=3,VEHICLE!$R$5,IF(A406=4,VEHICLE!$P$5,1))))</f>
        <v>278.27536500000002</v>
      </c>
      <c r="L406" s="59">
        <f t="shared" si="127"/>
        <v>0</v>
      </c>
      <c r="M406" s="59">
        <f t="shared" si="121"/>
        <v>0</v>
      </c>
      <c r="N406" s="59">
        <f t="shared" si="114"/>
        <v>0</v>
      </c>
      <c r="O406" s="59">
        <f t="shared" si="115"/>
        <v>0</v>
      </c>
      <c r="P406" s="59">
        <f t="shared" si="116"/>
        <v>420.85719588996</v>
      </c>
      <c r="Q406" s="59">
        <f>IF(H406=1,I406*VEHICLE!$C$69,IF(H406=2,VEHICLE!$C$70*I406,IF(H406=3,VEHICLE!$C$71*I406,0)))</f>
        <v>-438.86136489758803</v>
      </c>
      <c r="R406" s="59">
        <f>(J406+K406+O406+Q406)</f>
        <v>-18.004169007628036</v>
      </c>
      <c r="S406" s="59">
        <f t="shared" si="117"/>
        <v>18.004169007628036</v>
      </c>
      <c r="T406" s="59">
        <f>ABS((R406)/((2*PI()*G406)/60))</f>
        <v>2.645033071223913E-2</v>
      </c>
      <c r="U406" s="59">
        <f t="shared" si="118"/>
        <v>1</v>
      </c>
      <c r="V406" s="59">
        <f>INDEX(BSFC!$D$4:$AD$26,MATCH(U406,BSFC!$B$4:$B$26,0),MATCH(G406,BSFC!$D$2:$AD$2,0))</f>
        <v>925.65735288000019</v>
      </c>
      <c r="W406" s="59">
        <f t="shared" si="122"/>
        <v>-4.6293587290014192E-3</v>
      </c>
      <c r="X406" s="59">
        <f t="shared" si="119"/>
        <v>4.6293587290014192E-3</v>
      </c>
      <c r="Y406" s="59">
        <f t="shared" si="120"/>
        <v>-1.4304718472614384E-2</v>
      </c>
      <c r="Z406" s="79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x14ac:dyDescent="0.3">
      <c r="A407" s="55">
        <v>2</v>
      </c>
      <c r="B407" s="59" t="s">
        <v>107</v>
      </c>
      <c r="C407" s="59">
        <f t="shared" si="106"/>
        <v>404</v>
      </c>
      <c r="D407" s="59">
        <f t="shared" si="113"/>
        <v>26.642670000000003</v>
      </c>
      <c r="E407" s="59">
        <f>E406-0.75</f>
        <v>11.91</v>
      </c>
      <c r="F407" s="91">
        <f>($C$4/E407)+F406</f>
        <v>52.281215622920755</v>
      </c>
      <c r="G407" s="59">
        <f t="shared" si="128"/>
        <v>6250</v>
      </c>
      <c r="H407" s="59">
        <v>2</v>
      </c>
      <c r="I407" s="91">
        <f>E407-E406</f>
        <v>-0.75</v>
      </c>
      <c r="J407" s="59">
        <f>(0.5*VEHICLE!$C$71*VEHICLE!$C$28*VEHICLE!$C$27*'Drive Cycle'!E407^2)</f>
        <v>126.18865133721</v>
      </c>
      <c r="K407" s="59">
        <f>IF(A407=1,VEHICLE!$S$5,IF(A407=2,VEHICLE!$Q$5,IF(A407=3,VEHICLE!$R$5,IF(A407=4,VEHICLE!$P$5,1))))</f>
        <v>278.27536500000002</v>
      </c>
      <c r="L407" s="59">
        <f t="shared" si="127"/>
        <v>0</v>
      </c>
      <c r="M407" s="59">
        <f t="shared" si="121"/>
        <v>0</v>
      </c>
      <c r="N407" s="59">
        <f t="shared" si="114"/>
        <v>0</v>
      </c>
      <c r="O407" s="59">
        <f t="shared" si="115"/>
        <v>0</v>
      </c>
      <c r="P407" s="59">
        <f t="shared" si="116"/>
        <v>404.46401633721001</v>
      </c>
      <c r="Q407" s="59">
        <f>IF(H407=1,I407*VEHICLE!$C$69,IF(H407=2,VEHICLE!$C$70*I407,IF(H407=3,VEHICLE!$C$71*I407,0)))</f>
        <v>-438.86136489758803</v>
      </c>
      <c r="R407" s="59">
        <f>(J407+K407+O407+Q407)</f>
        <v>-34.39734856037802</v>
      </c>
      <c r="S407" s="59">
        <f t="shared" si="117"/>
        <v>34.39734856037802</v>
      </c>
      <c r="T407" s="59">
        <f>ABS((R407)/((2*PI()*G407)/60))</f>
        <v>5.2555277305334901E-2</v>
      </c>
      <c r="U407" s="59">
        <f t="shared" si="118"/>
        <v>1</v>
      </c>
      <c r="V407" s="59">
        <f>INDEX(BSFC!$D$4:$AD$26,MATCH(U407,BSFC!$B$4:$B$26,0),MATCH(G407,BSFC!$D$2:$AD$2,0))</f>
        <v>964.16094472000054</v>
      </c>
      <c r="W407" s="59">
        <f t="shared" si="122"/>
        <v>-9.2123833566214522E-3</v>
      </c>
      <c r="X407" s="59">
        <f t="shared" si="119"/>
        <v>9.2123833566214522E-3</v>
      </c>
      <c r="Y407" s="59">
        <f t="shared" si="120"/>
        <v>-2.8466264571960286E-2</v>
      </c>
      <c r="Z407" s="79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x14ac:dyDescent="0.3">
      <c r="A408" s="55">
        <v>2</v>
      </c>
      <c r="B408" s="59" t="s">
        <v>107</v>
      </c>
      <c r="C408" s="59">
        <f t="shared" si="106"/>
        <v>405</v>
      </c>
      <c r="D408" s="59">
        <f t="shared" si="113"/>
        <v>24.964920000000003</v>
      </c>
      <c r="E408" s="59">
        <f>E407-0.75</f>
        <v>11.16</v>
      </c>
      <c r="F408" s="91">
        <f>($C$4/E408)+F407</f>
        <v>52.370821357687781</v>
      </c>
      <c r="G408" s="59">
        <f t="shared" si="128"/>
        <v>6000</v>
      </c>
      <c r="H408" s="59">
        <v>2</v>
      </c>
      <c r="I408" s="91">
        <f>E408-E407</f>
        <v>-0.75</v>
      </c>
      <c r="J408" s="59">
        <f>(0.5*VEHICLE!$C$71*VEHICLE!$C$28*VEHICLE!$C$27*'Drive Cycle'!E408^2)</f>
        <v>110.79627639696</v>
      </c>
      <c r="K408" s="59">
        <f>IF(A408=1,VEHICLE!$S$5,IF(A408=2,VEHICLE!$Q$5,IF(A408=3,VEHICLE!$R$5,IF(A408=4,VEHICLE!$P$5,1))))</f>
        <v>278.27536500000002</v>
      </c>
      <c r="L408" s="59">
        <f t="shared" si="127"/>
        <v>0</v>
      </c>
      <c r="M408" s="59">
        <f t="shared" si="121"/>
        <v>0</v>
      </c>
      <c r="N408" s="59">
        <f t="shared" si="114"/>
        <v>0</v>
      </c>
      <c r="O408" s="59">
        <f t="shared" si="115"/>
        <v>0</v>
      </c>
      <c r="P408" s="59">
        <f t="shared" si="116"/>
        <v>389.07164139695999</v>
      </c>
      <c r="Q408" s="59">
        <f>IF(H408=1,I408*VEHICLE!$C$69,IF(H408=2,VEHICLE!$C$70*I408,IF(H408=3,VEHICLE!$C$71*I408,0)))</f>
        <v>-438.86136489758803</v>
      </c>
      <c r="R408" s="59">
        <f>(J408+K408+O408+Q408)</f>
        <v>-49.789723500628043</v>
      </c>
      <c r="S408" s="59">
        <f t="shared" si="117"/>
        <v>49.789723500628043</v>
      </c>
      <c r="T408" s="59">
        <f>ABS((R408)/((2*PI()*G408)/60))</f>
        <v>7.9242806103036592E-2</v>
      </c>
      <c r="U408" s="59">
        <f t="shared" si="118"/>
        <v>1</v>
      </c>
      <c r="V408" s="59">
        <f>INDEX(BSFC!$D$4:$AD$26,MATCH(U408,BSFC!$B$4:$B$26,0),MATCH(G408,BSFC!$D$2:$AD$2,0))</f>
        <v>933.91499472000044</v>
      </c>
      <c r="W408" s="59">
        <f t="shared" si="122"/>
        <v>-1.2916491488944257E-2</v>
      </c>
      <c r="X408" s="59">
        <f t="shared" si="119"/>
        <v>1.2916491488944257E-2</v>
      </c>
      <c r="Y408" s="59">
        <f t="shared" si="120"/>
        <v>-3.9911958700837753E-2</v>
      </c>
      <c r="Z408" s="79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x14ac:dyDescent="0.3">
      <c r="A409" s="55">
        <v>2</v>
      </c>
      <c r="B409" s="59" t="s">
        <v>107</v>
      </c>
      <c r="C409" s="59">
        <f t="shared" si="106"/>
        <v>406</v>
      </c>
      <c r="D409" s="59">
        <f t="shared" si="113"/>
        <v>23.28717</v>
      </c>
      <c r="E409" s="59">
        <f t="shared" ref="E409:E413" si="129">E408-0.75</f>
        <v>10.41</v>
      </c>
      <c r="F409" s="91">
        <f>($C$4/E409)+F408</f>
        <v>52.466882837034561</v>
      </c>
      <c r="G409" s="59">
        <f t="shared" si="128"/>
        <v>5750</v>
      </c>
      <c r="H409" s="59">
        <v>2</v>
      </c>
      <c r="I409" s="91">
        <f>E409-E408</f>
        <v>-0.75</v>
      </c>
      <c r="J409" s="59">
        <f>(0.5*VEHICLE!$C$71*VEHICLE!$C$28*VEHICLE!$C$27*'Drive Cycle'!E409^2)</f>
        <v>96.404706069209993</v>
      </c>
      <c r="K409" s="59">
        <f>IF(A409=1,VEHICLE!$S$5,IF(A409=2,VEHICLE!$Q$5,IF(A409=3,VEHICLE!$R$5,IF(A409=4,VEHICLE!$P$5,1))))</f>
        <v>278.27536500000002</v>
      </c>
      <c r="L409" s="59">
        <f t="shared" si="127"/>
        <v>0</v>
      </c>
      <c r="M409" s="59">
        <f t="shared" si="121"/>
        <v>0</v>
      </c>
      <c r="N409" s="59">
        <f t="shared" si="114"/>
        <v>0</v>
      </c>
      <c r="O409" s="59">
        <f t="shared" si="115"/>
        <v>0</v>
      </c>
      <c r="P409" s="59">
        <f t="shared" si="116"/>
        <v>374.68007106921004</v>
      </c>
      <c r="Q409" s="59">
        <f>IF(H409=1,I409*VEHICLE!$C$69,IF(H409=2,VEHICLE!$C$70*I409,IF(H409=3,VEHICLE!$C$71*I409,0)))</f>
        <v>-438.86136489758803</v>
      </c>
      <c r="R409" s="59">
        <f>(J409+K409+O409+Q409)</f>
        <v>-64.181293828377989</v>
      </c>
      <c r="S409" s="59">
        <f t="shared" si="117"/>
        <v>64.181293828377989</v>
      </c>
      <c r="T409" s="59">
        <f>ABS((R409)/((2*PI()*G409)/60))</f>
        <v>0.10658890608855351</v>
      </c>
      <c r="U409" s="59">
        <f t="shared" si="118"/>
        <v>1</v>
      </c>
      <c r="V409" s="59">
        <f>INDEX(BSFC!$D$4:$AD$26,MATCH(U409,BSFC!$B$4:$B$26,0),MATCH(G409,BSFC!$D$2:$AD$2,0))</f>
        <v>963.78871919999995</v>
      </c>
      <c r="W409" s="59">
        <f t="shared" si="122"/>
        <v>-1.7182557493180914E-2</v>
      </c>
      <c r="X409" s="59">
        <f t="shared" si="119"/>
        <v>1.7182557493180914E-2</v>
      </c>
      <c r="Y409" s="59">
        <f t="shared" si="120"/>
        <v>-5.3094102653929019E-2</v>
      </c>
      <c r="Z409" s="79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x14ac:dyDescent="0.3">
      <c r="A410" s="55">
        <v>2</v>
      </c>
      <c r="B410" s="59" t="s">
        <v>107</v>
      </c>
      <c r="C410" s="59">
        <f t="shared" si="106"/>
        <v>407</v>
      </c>
      <c r="D410" s="59">
        <f t="shared" si="113"/>
        <v>21.60942</v>
      </c>
      <c r="E410" s="59">
        <f t="shared" si="129"/>
        <v>9.66</v>
      </c>
      <c r="F410" s="91">
        <f>($C$4/E410)+F409</f>
        <v>52.570402505771618</v>
      </c>
      <c r="G410" s="59">
        <f t="shared" si="128"/>
        <v>5500</v>
      </c>
      <c r="H410" s="59">
        <v>2</v>
      </c>
      <c r="I410" s="91">
        <f>E410-E409</f>
        <v>-0.75</v>
      </c>
      <c r="J410" s="59">
        <f>(0.5*VEHICLE!$C$71*VEHICLE!$C$28*VEHICLE!$C$27*'Drive Cycle'!E410^2)</f>
        <v>83.013940353959995</v>
      </c>
      <c r="K410" s="59">
        <f>IF(A410=1,VEHICLE!$S$5,IF(A410=2,VEHICLE!$Q$5,IF(A410=3,VEHICLE!$R$5,IF(A410=4,VEHICLE!$P$5,1))))</f>
        <v>278.27536500000002</v>
      </c>
      <c r="L410" s="59">
        <f t="shared" si="127"/>
        <v>0</v>
      </c>
      <c r="M410" s="59">
        <f t="shared" si="121"/>
        <v>0</v>
      </c>
      <c r="N410" s="59">
        <f t="shared" si="114"/>
        <v>0</v>
      </c>
      <c r="O410" s="59">
        <f t="shared" si="115"/>
        <v>0</v>
      </c>
      <c r="P410" s="59">
        <f t="shared" si="116"/>
        <v>361.28930535396</v>
      </c>
      <c r="Q410" s="59">
        <f>IF(H410=1,I410*VEHICLE!$C$69,IF(H410=2,VEHICLE!$C$70*I410,IF(H410=3,VEHICLE!$C$71*I410,0)))</f>
        <v>-438.86136489758803</v>
      </c>
      <c r="R410" s="59">
        <f>(J410+K410+O410+Q410)</f>
        <v>-77.572059543628029</v>
      </c>
      <c r="S410" s="59">
        <f t="shared" si="117"/>
        <v>77.572059543628029</v>
      </c>
      <c r="T410" s="59">
        <f>ABS((R410)/((2*PI()*G410)/60))</f>
        <v>0.13468338242386077</v>
      </c>
      <c r="U410" s="59">
        <f t="shared" si="118"/>
        <v>1</v>
      </c>
      <c r="V410" s="59">
        <f>INDEX(BSFC!$D$4:$AD$26,MATCH(U410,BSFC!$B$4:$B$26,0),MATCH(G410,BSFC!$D$2:$AD$2,0))</f>
        <v>937.88833920000002</v>
      </c>
      <c r="W410" s="59">
        <f t="shared" si="122"/>
        <v>-2.0209425026026892E-2</v>
      </c>
      <c r="X410" s="59">
        <f t="shared" si="119"/>
        <v>2.0209425026026892E-2</v>
      </c>
      <c r="Y410" s="59">
        <f t="shared" si="120"/>
        <v>-6.2447123330423092E-2</v>
      </c>
      <c r="Z410" s="79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x14ac:dyDescent="0.3">
      <c r="A411" s="55">
        <v>2</v>
      </c>
      <c r="B411" s="59" t="s">
        <v>107</v>
      </c>
      <c r="C411" s="59">
        <f t="shared" si="106"/>
        <v>408</v>
      </c>
      <c r="D411" s="59">
        <f t="shared" si="113"/>
        <v>19.93167</v>
      </c>
      <c r="E411" s="59">
        <f t="shared" si="129"/>
        <v>8.91</v>
      </c>
      <c r="F411" s="91">
        <f>($C$4/E411)+F410</f>
        <v>52.682635951338398</v>
      </c>
      <c r="G411" s="59">
        <f t="shared" si="128"/>
        <v>5250</v>
      </c>
      <c r="H411" s="59">
        <v>2</v>
      </c>
      <c r="I411" s="91">
        <f>E411-E410</f>
        <v>-0.75</v>
      </c>
      <c r="J411" s="59">
        <f>(0.5*VEHICLE!$C$71*VEHICLE!$C$28*VEHICLE!$C$27*'Drive Cycle'!E411^2)</f>
        <v>70.623979251210002</v>
      </c>
      <c r="K411" s="59">
        <f>IF(A411=1,VEHICLE!$S$5,IF(A411=2,VEHICLE!$Q$5,IF(A411=3,VEHICLE!$R$5,IF(A411=4,VEHICLE!$P$5,1))))</f>
        <v>278.27536500000002</v>
      </c>
      <c r="L411" s="59">
        <f t="shared" si="127"/>
        <v>0</v>
      </c>
      <c r="M411" s="59">
        <f t="shared" si="121"/>
        <v>0</v>
      </c>
      <c r="N411" s="59">
        <f t="shared" si="114"/>
        <v>0</v>
      </c>
      <c r="O411" s="59">
        <f t="shared" si="115"/>
        <v>0</v>
      </c>
      <c r="P411" s="59">
        <f t="shared" si="116"/>
        <v>348.89934425121004</v>
      </c>
      <c r="Q411" s="59">
        <f>IF(H411=1,I411*VEHICLE!$C$69,IF(H411=2,VEHICLE!$C$70*I411,IF(H411=3,VEHICLE!$C$71*I411,0)))</f>
        <v>-438.86136489758803</v>
      </c>
      <c r="R411" s="59">
        <f>(J411+K411+O411+Q411)</f>
        <v>-89.962020646377994</v>
      </c>
      <c r="S411" s="59">
        <f t="shared" si="117"/>
        <v>89.962020646377994</v>
      </c>
      <c r="T411" s="59">
        <f>ABS((R411)/((2*PI()*G411)/60))</f>
        <v>0.1636331460160709</v>
      </c>
      <c r="U411" s="59">
        <f t="shared" si="118"/>
        <v>1</v>
      </c>
      <c r="V411" s="59">
        <f>INDEX(BSFC!$D$4:$AD$26,MATCH(U411,BSFC!$B$4:$B$26,0),MATCH(G411,BSFC!$D$2:$AD$2,0))</f>
        <v>959.82391135999978</v>
      </c>
      <c r="W411" s="59">
        <f t="shared" si="122"/>
        <v>-2.3985471814070999E-2</v>
      </c>
      <c r="X411" s="59">
        <f t="shared" si="119"/>
        <v>2.3985471814070999E-2</v>
      </c>
      <c r="Y411" s="59">
        <f t="shared" si="120"/>
        <v>-7.4115107905479385E-2</v>
      </c>
      <c r="Z411" s="79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x14ac:dyDescent="0.3">
      <c r="A412" s="55">
        <v>2</v>
      </c>
      <c r="B412" s="59" t="s">
        <v>107</v>
      </c>
      <c r="C412" s="59">
        <f t="shared" si="106"/>
        <v>409</v>
      </c>
      <c r="D412" s="59">
        <f t="shared" si="113"/>
        <v>18.253920000000001</v>
      </c>
      <c r="E412" s="59">
        <f t="shared" si="129"/>
        <v>8.16</v>
      </c>
      <c r="F412" s="91">
        <f>($C$4/E412)+F411</f>
        <v>52.805184970946243</v>
      </c>
      <c r="G412" s="59">
        <f t="shared" si="128"/>
        <v>5000</v>
      </c>
      <c r="H412" s="59">
        <v>2</v>
      </c>
      <c r="I412" s="91">
        <f>E412-E411</f>
        <v>-0.75</v>
      </c>
      <c r="J412" s="59">
        <f>(0.5*VEHICLE!$C$71*VEHICLE!$C$28*VEHICLE!$C$27*'Drive Cycle'!E412^2)</f>
        <v>59.234822760959993</v>
      </c>
      <c r="K412" s="59">
        <f>IF(A412=1,VEHICLE!$S$5,IF(A412=2,VEHICLE!$Q$5,IF(A412=3,VEHICLE!$R$5,IF(A412=4,VEHICLE!$P$5,1))))</f>
        <v>278.27536500000002</v>
      </c>
      <c r="L412" s="59">
        <f t="shared" si="127"/>
        <v>0</v>
      </c>
      <c r="M412" s="59">
        <f t="shared" si="121"/>
        <v>0</v>
      </c>
      <c r="N412" s="59">
        <f t="shared" si="114"/>
        <v>0</v>
      </c>
      <c r="O412" s="59">
        <f t="shared" si="115"/>
        <v>0</v>
      </c>
      <c r="P412" s="59">
        <f t="shared" si="116"/>
        <v>337.51018776096004</v>
      </c>
      <c r="Q412" s="59">
        <f>IF(H412=1,I412*VEHICLE!$C$69,IF(H412=2,VEHICLE!$C$70*I412,IF(H412=3,VEHICLE!$C$71*I412,0)))</f>
        <v>-438.86136489758803</v>
      </c>
      <c r="R412" s="59">
        <f>(J412+K412+O412+Q412)</f>
        <v>-101.351177136628</v>
      </c>
      <c r="S412" s="59">
        <f t="shared" si="117"/>
        <v>101.351177136628</v>
      </c>
      <c r="T412" s="59">
        <f>ABS((R412)/((2*PI()*G412)/60))</f>
        <v>0.19356648995371958</v>
      </c>
      <c r="U412" s="59">
        <f t="shared" si="118"/>
        <v>1</v>
      </c>
      <c r="V412" s="59">
        <f>INDEX(BSFC!$D$4:$AD$26,MATCH(U412,BSFC!$B$4:$B$26,0),MATCH(G412,BSFC!$D$2:$AD$2,0))</f>
        <v>967.30583135999973</v>
      </c>
      <c r="W412" s="59">
        <f t="shared" si="122"/>
        <v>-2.7232662405405703E-2</v>
      </c>
      <c r="X412" s="59">
        <f t="shared" si="119"/>
        <v>2.7232662405405703E-2</v>
      </c>
      <c r="Y412" s="59">
        <f t="shared" si="120"/>
        <v>-8.4148926832703613E-2</v>
      </c>
      <c r="Z412" s="79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x14ac:dyDescent="0.3">
      <c r="A413" s="55">
        <v>2</v>
      </c>
      <c r="B413" s="59" t="s">
        <v>107</v>
      </c>
      <c r="C413" s="59">
        <f t="shared" si="106"/>
        <v>410</v>
      </c>
      <c r="D413" s="59">
        <f t="shared" si="113"/>
        <v>16.576170000000001</v>
      </c>
      <c r="E413" s="59">
        <f t="shared" si="129"/>
        <v>7.41</v>
      </c>
      <c r="F413" s="91">
        <f>($C$4/E413)+F412</f>
        <v>52.940137737477954</v>
      </c>
      <c r="G413" s="59">
        <f t="shared" si="128"/>
        <v>4750</v>
      </c>
      <c r="H413" s="59">
        <v>2</v>
      </c>
      <c r="I413" s="91">
        <f>E413-E412</f>
        <v>-0.75</v>
      </c>
      <c r="J413" s="59">
        <f>(0.5*VEHICLE!$C$71*VEHICLE!$C$28*VEHICLE!$C$27*'Drive Cycle'!E413^2)</f>
        <v>48.846470883209996</v>
      </c>
      <c r="K413" s="59">
        <f>IF(A413=1,VEHICLE!$S$5,IF(A413=2,VEHICLE!$Q$5,IF(A413=3,VEHICLE!$R$5,IF(A413=4,VEHICLE!$P$5,1))))</f>
        <v>278.27536500000002</v>
      </c>
      <c r="L413" s="59">
        <f t="shared" si="127"/>
        <v>0</v>
      </c>
      <c r="M413" s="59">
        <f t="shared" si="121"/>
        <v>0</v>
      </c>
      <c r="N413" s="59">
        <f t="shared" si="114"/>
        <v>0</v>
      </c>
      <c r="O413" s="59">
        <f t="shared" si="115"/>
        <v>0</v>
      </c>
      <c r="P413" s="59">
        <f t="shared" si="116"/>
        <v>327.12183588321</v>
      </c>
      <c r="Q413" s="59">
        <f>IF(H413=1,I413*VEHICLE!$C$69,IF(H413=2,VEHICLE!$C$70*I413,IF(H413=3,VEHICLE!$C$71*I413,0)))</f>
        <v>-438.86136489758803</v>
      </c>
      <c r="R413" s="59">
        <f>(J413+K413+O413+Q413)</f>
        <v>-111.73952901437804</v>
      </c>
      <c r="S413" s="59">
        <f t="shared" si="117"/>
        <v>111.73952901437804</v>
      </c>
      <c r="T413" s="59">
        <f>ABS((R413)/((2*PI()*G413)/60))</f>
        <v>0.22463871639661295</v>
      </c>
      <c r="U413" s="59">
        <f t="shared" si="118"/>
        <v>1</v>
      </c>
      <c r="V413" s="59">
        <f>INDEX(BSFC!$D$4:$AD$26,MATCH(U413,BSFC!$B$4:$B$26,0),MATCH(G413,BSFC!$D$2:$AD$2,0))</f>
        <v>989.10544351999977</v>
      </c>
      <c r="W413" s="59">
        <f t="shared" si="122"/>
        <v>-3.0700604556800626E-2</v>
      </c>
      <c r="X413" s="59">
        <f t="shared" si="119"/>
        <v>3.0700604556800626E-2</v>
      </c>
      <c r="Y413" s="59">
        <f t="shared" si="120"/>
        <v>-9.4864868080513934E-2</v>
      </c>
      <c r="Z413" s="79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x14ac:dyDescent="0.3">
      <c r="A414" s="55">
        <v>2</v>
      </c>
      <c r="B414" s="58" t="s">
        <v>122</v>
      </c>
      <c r="C414" s="58">
        <f t="shared" si="106"/>
        <v>411</v>
      </c>
      <c r="D414" s="58">
        <f t="shared" si="113"/>
        <v>16.576170000000001</v>
      </c>
      <c r="E414" s="58">
        <f>E413</f>
        <v>7.41</v>
      </c>
      <c r="F414" s="90">
        <f>($C$4/E414)+F413</f>
        <v>53.075090504009665</v>
      </c>
      <c r="G414" s="58">
        <f>G413-250</f>
        <v>4500</v>
      </c>
      <c r="H414" s="58">
        <v>2</v>
      </c>
      <c r="I414" s="90">
        <f>E414-E413</f>
        <v>0</v>
      </c>
      <c r="J414" s="58">
        <f>(0.5*VEHICLE!$C$71*VEHICLE!$C$28*VEHICLE!$C$27*'Drive Cycle'!E414^2)</f>
        <v>48.846470883209996</v>
      </c>
      <c r="K414" s="58">
        <f>IF(A414=1,VEHICLE!$S$5,IF(A414=2,VEHICLE!$Q$5,IF(A414=3,VEHICLE!$R$5,IF(A414=4,VEHICLE!$P$5,1))))</f>
        <v>278.27536500000002</v>
      </c>
      <c r="L414" s="58">
        <f t="shared" si="127"/>
        <v>0</v>
      </c>
      <c r="M414" s="58">
        <f t="shared" si="121"/>
        <v>0</v>
      </c>
      <c r="N414" s="58">
        <f t="shared" si="114"/>
        <v>0</v>
      </c>
      <c r="O414" s="58">
        <f t="shared" si="115"/>
        <v>0</v>
      </c>
      <c r="P414" s="58">
        <f t="shared" si="116"/>
        <v>327.12183588321</v>
      </c>
      <c r="Q414" s="58">
        <f>IF(H414=1,I414*VEHICLE!$C$69,IF(H414=2,VEHICLE!$C$70*I414,IF(H414=3,VEHICLE!$C$71*I414,0)))</f>
        <v>0</v>
      </c>
      <c r="R414" s="58">
        <f>(J414+K414+O414+Q414)</f>
        <v>327.12183588321</v>
      </c>
      <c r="S414" s="58">
        <f t="shared" si="117"/>
        <v>327.12183588321</v>
      </c>
      <c r="T414" s="58">
        <f>ABS((R414)/((2*PI()*G414)/60))</f>
        <v>0.6941740956547815</v>
      </c>
      <c r="U414" s="58">
        <f t="shared" si="118"/>
        <v>1</v>
      </c>
      <c r="V414" s="58">
        <f>INDEX(BSFC!$D$4:$AD$26,MATCH(U414,BSFC!$B$4:$B$26,0),MATCH(G414,BSFC!$D$2:$AD$2,0))</f>
        <v>996.72332351999967</v>
      </c>
      <c r="W414" s="58">
        <f t="shared" si="122"/>
        <v>9.0569434293743603E-2</v>
      </c>
      <c r="X414" s="58">
        <f t="shared" si="119"/>
        <v>9.0569434293743603E-2</v>
      </c>
      <c r="Y414" s="58">
        <f t="shared" si="120"/>
        <v>0.27985955196766771</v>
      </c>
      <c r="Z414" s="79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x14ac:dyDescent="0.3">
      <c r="A415" s="55">
        <v>2</v>
      </c>
      <c r="B415" s="58" t="s">
        <v>122</v>
      </c>
      <c r="C415" s="58">
        <f t="shared" si="106"/>
        <v>412</v>
      </c>
      <c r="D415" s="58">
        <f t="shared" si="113"/>
        <v>16.576170000000001</v>
      </c>
      <c r="E415" s="58">
        <f t="shared" ref="E415:E419" si="130">E414</f>
        <v>7.41</v>
      </c>
      <c r="F415" s="90">
        <f>($C$4/E415)+F414</f>
        <v>53.210043270541377</v>
      </c>
      <c r="G415" s="58">
        <f>G414</f>
        <v>4500</v>
      </c>
      <c r="H415" s="58">
        <v>2</v>
      </c>
      <c r="I415" s="90">
        <f>E415-E414</f>
        <v>0</v>
      </c>
      <c r="J415" s="58">
        <f>(0.5*VEHICLE!$C$71*VEHICLE!$C$28*VEHICLE!$C$27*'Drive Cycle'!E415^2)</f>
        <v>48.846470883209996</v>
      </c>
      <c r="K415" s="58">
        <f>IF(A415=1,VEHICLE!$S$5,IF(A415=2,VEHICLE!$Q$5,IF(A415=3,VEHICLE!$R$5,IF(A415=4,VEHICLE!$P$5,1))))</f>
        <v>278.27536500000002</v>
      </c>
      <c r="L415" s="58">
        <f t="shared" si="127"/>
        <v>0</v>
      </c>
      <c r="M415" s="58">
        <f t="shared" si="121"/>
        <v>0</v>
      </c>
      <c r="N415" s="58">
        <f t="shared" si="114"/>
        <v>0</v>
      </c>
      <c r="O415" s="58">
        <f t="shared" si="115"/>
        <v>0</v>
      </c>
      <c r="P415" s="58">
        <f t="shared" si="116"/>
        <v>327.12183588321</v>
      </c>
      <c r="Q415" s="58">
        <f>IF(H415=1,I415*VEHICLE!$C$69,IF(H415=2,VEHICLE!$C$70*I415,IF(H415=3,VEHICLE!$C$71*I415,0)))</f>
        <v>0</v>
      </c>
      <c r="R415" s="58">
        <f>(J415+K415+O415+Q415)</f>
        <v>327.12183588321</v>
      </c>
      <c r="S415" s="58">
        <f t="shared" si="117"/>
        <v>327.12183588321</v>
      </c>
      <c r="T415" s="58">
        <f>ABS((R415)/((2*PI()*G415)/60))</f>
        <v>0.6941740956547815</v>
      </c>
      <c r="U415" s="58">
        <f t="shared" si="118"/>
        <v>1</v>
      </c>
      <c r="V415" s="58">
        <f>INDEX(BSFC!$D$4:$AD$26,MATCH(U415,BSFC!$B$4:$B$26,0),MATCH(G415,BSFC!$D$2:$AD$2,0))</f>
        <v>996.72332351999967</v>
      </c>
      <c r="W415" s="58">
        <f t="shared" si="122"/>
        <v>9.0569434293743603E-2</v>
      </c>
      <c r="X415" s="58">
        <f t="shared" si="119"/>
        <v>9.0569434293743603E-2</v>
      </c>
      <c r="Y415" s="58">
        <f t="shared" si="120"/>
        <v>0.27985955196766771</v>
      </c>
      <c r="Z415" s="79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x14ac:dyDescent="0.3">
      <c r="A416" s="55">
        <v>2</v>
      </c>
      <c r="B416" s="58" t="s">
        <v>122</v>
      </c>
      <c r="C416" s="58">
        <f t="shared" si="106"/>
        <v>413</v>
      </c>
      <c r="D416" s="58">
        <f t="shared" si="113"/>
        <v>16.576170000000001</v>
      </c>
      <c r="E416" s="58">
        <f t="shared" si="130"/>
        <v>7.41</v>
      </c>
      <c r="F416" s="90">
        <f>($C$4/E416)+F415</f>
        <v>53.344996037073088</v>
      </c>
      <c r="G416" s="58">
        <f t="shared" ref="G416:G420" si="131">G415</f>
        <v>4500</v>
      </c>
      <c r="H416" s="58">
        <v>2</v>
      </c>
      <c r="I416" s="90">
        <f>E416-E415</f>
        <v>0</v>
      </c>
      <c r="J416" s="58">
        <f>(0.5*VEHICLE!$C$71*VEHICLE!$C$28*VEHICLE!$C$27*'Drive Cycle'!E416^2)</f>
        <v>48.846470883209996</v>
      </c>
      <c r="K416" s="58">
        <f>IF(A416=1,VEHICLE!$S$5,IF(A416=2,VEHICLE!$Q$5,IF(A416=3,VEHICLE!$R$5,IF(A416=4,VEHICLE!$P$5,1))))</f>
        <v>278.27536500000002</v>
      </c>
      <c r="L416" s="58">
        <f t="shared" si="127"/>
        <v>0</v>
      </c>
      <c r="M416" s="58">
        <f t="shared" si="121"/>
        <v>0</v>
      </c>
      <c r="N416" s="58">
        <f t="shared" si="114"/>
        <v>0</v>
      </c>
      <c r="O416" s="58">
        <f t="shared" si="115"/>
        <v>0</v>
      </c>
      <c r="P416" s="58">
        <f t="shared" si="116"/>
        <v>327.12183588321</v>
      </c>
      <c r="Q416" s="58">
        <f>IF(H416=1,I416*VEHICLE!$C$69,IF(H416=2,VEHICLE!$C$70*I416,IF(H416=3,VEHICLE!$C$71*I416,0)))</f>
        <v>0</v>
      </c>
      <c r="R416" s="58">
        <f>(J416+K416+O416+Q416)</f>
        <v>327.12183588321</v>
      </c>
      <c r="S416" s="58">
        <f t="shared" si="117"/>
        <v>327.12183588321</v>
      </c>
      <c r="T416" s="58">
        <f>ABS((R416)/((2*PI()*G416)/60))</f>
        <v>0.6941740956547815</v>
      </c>
      <c r="U416" s="58">
        <f t="shared" si="118"/>
        <v>1</v>
      </c>
      <c r="V416" s="58">
        <f>INDEX(BSFC!$D$4:$AD$26,MATCH(U416,BSFC!$B$4:$B$26,0),MATCH(G416,BSFC!$D$2:$AD$2,0))</f>
        <v>996.72332351999967</v>
      </c>
      <c r="W416" s="58">
        <f t="shared" si="122"/>
        <v>9.0569434293743603E-2</v>
      </c>
      <c r="X416" s="58">
        <f t="shared" si="119"/>
        <v>9.0569434293743603E-2</v>
      </c>
      <c r="Y416" s="58">
        <f t="shared" si="120"/>
        <v>0.27985955196766771</v>
      </c>
      <c r="Z416" s="79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x14ac:dyDescent="0.3">
      <c r="A417" s="55">
        <v>2</v>
      </c>
      <c r="B417" s="58" t="s">
        <v>122</v>
      </c>
      <c r="C417" s="58">
        <f t="shared" si="106"/>
        <v>414</v>
      </c>
      <c r="D417" s="58">
        <f t="shared" si="113"/>
        <v>16.576170000000001</v>
      </c>
      <c r="E417" s="58">
        <f t="shared" si="130"/>
        <v>7.41</v>
      </c>
      <c r="F417" s="90">
        <f>($C$4/E417)+F416</f>
        <v>53.479948803604799</v>
      </c>
      <c r="G417" s="58">
        <f t="shared" si="131"/>
        <v>4500</v>
      </c>
      <c r="H417" s="58">
        <v>2</v>
      </c>
      <c r="I417" s="90">
        <f>E417-E416</f>
        <v>0</v>
      </c>
      <c r="J417" s="58">
        <f>(0.5*VEHICLE!$C$71*VEHICLE!$C$28*VEHICLE!$C$27*'Drive Cycle'!E417^2)</f>
        <v>48.846470883209996</v>
      </c>
      <c r="K417" s="58">
        <f>IF(A417=1,VEHICLE!$S$5,IF(A417=2,VEHICLE!$Q$5,IF(A417=3,VEHICLE!$R$5,IF(A417=4,VEHICLE!$P$5,1))))</f>
        <v>278.27536500000002</v>
      </c>
      <c r="L417" s="58">
        <f t="shared" si="127"/>
        <v>0</v>
      </c>
      <c r="M417" s="58">
        <f t="shared" si="121"/>
        <v>0</v>
      </c>
      <c r="N417" s="58">
        <f t="shared" si="114"/>
        <v>0</v>
      </c>
      <c r="O417" s="58">
        <f t="shared" si="115"/>
        <v>0</v>
      </c>
      <c r="P417" s="58">
        <f t="shared" si="116"/>
        <v>327.12183588321</v>
      </c>
      <c r="Q417" s="58">
        <f>IF(H417=1,I417*VEHICLE!$C$69,IF(H417=2,VEHICLE!$C$70*I417,IF(H417=3,VEHICLE!$C$71*I417,0)))</f>
        <v>0</v>
      </c>
      <c r="R417" s="58">
        <f>(J417+K417+O417+Q417)</f>
        <v>327.12183588321</v>
      </c>
      <c r="S417" s="58">
        <f t="shared" si="117"/>
        <v>327.12183588321</v>
      </c>
      <c r="T417" s="58">
        <f>ABS((R417)/((2*PI()*G417)/60))</f>
        <v>0.6941740956547815</v>
      </c>
      <c r="U417" s="58">
        <f t="shared" si="118"/>
        <v>1</v>
      </c>
      <c r="V417" s="58">
        <f>INDEX(BSFC!$D$4:$AD$26,MATCH(U417,BSFC!$B$4:$B$26,0),MATCH(G417,BSFC!$D$2:$AD$2,0))</f>
        <v>996.72332351999967</v>
      </c>
      <c r="W417" s="58">
        <f t="shared" si="122"/>
        <v>9.0569434293743603E-2</v>
      </c>
      <c r="X417" s="58">
        <f t="shared" si="119"/>
        <v>9.0569434293743603E-2</v>
      </c>
      <c r="Y417" s="58">
        <f t="shared" si="120"/>
        <v>0.27985955196766771</v>
      </c>
      <c r="Z417" s="79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x14ac:dyDescent="0.3">
      <c r="A418" s="55">
        <v>2</v>
      </c>
      <c r="B418" s="58" t="s">
        <v>122</v>
      </c>
      <c r="C418" s="58">
        <f t="shared" si="106"/>
        <v>415</v>
      </c>
      <c r="D418" s="58">
        <f t="shared" si="113"/>
        <v>16.576170000000001</v>
      </c>
      <c r="E418" s="58">
        <f t="shared" si="130"/>
        <v>7.41</v>
      </c>
      <c r="F418" s="90">
        <f>($C$4/E418)+F417</f>
        <v>53.61490157013651</v>
      </c>
      <c r="G418" s="58">
        <f t="shared" si="131"/>
        <v>4500</v>
      </c>
      <c r="H418" s="58">
        <v>2</v>
      </c>
      <c r="I418" s="90">
        <f>E418-E417</f>
        <v>0</v>
      </c>
      <c r="J418" s="58">
        <f>(0.5*VEHICLE!$C$71*VEHICLE!$C$28*VEHICLE!$C$27*'Drive Cycle'!E418^2)</f>
        <v>48.846470883209996</v>
      </c>
      <c r="K418" s="58">
        <f>IF(A418=1,VEHICLE!$S$5,IF(A418=2,VEHICLE!$Q$5,IF(A418=3,VEHICLE!$R$5,IF(A418=4,VEHICLE!$P$5,1))))</f>
        <v>278.27536500000002</v>
      </c>
      <c r="L418" s="58">
        <f t="shared" si="127"/>
        <v>0</v>
      </c>
      <c r="M418" s="58">
        <f t="shared" si="121"/>
        <v>0</v>
      </c>
      <c r="N418" s="58">
        <f t="shared" si="114"/>
        <v>0</v>
      </c>
      <c r="O418" s="58">
        <f t="shared" si="115"/>
        <v>0</v>
      </c>
      <c r="P418" s="58">
        <f t="shared" si="116"/>
        <v>327.12183588321</v>
      </c>
      <c r="Q418" s="58">
        <f>IF(H418=1,I418*VEHICLE!$C$69,IF(H418=2,VEHICLE!$C$70*I418,IF(H418=3,VEHICLE!$C$71*I418,0)))</f>
        <v>0</v>
      </c>
      <c r="R418" s="58">
        <f>(J418+K418+O418+Q418)</f>
        <v>327.12183588321</v>
      </c>
      <c r="S418" s="58">
        <f t="shared" si="117"/>
        <v>327.12183588321</v>
      </c>
      <c r="T418" s="58">
        <f>ABS((R418)/((2*PI()*G418)/60))</f>
        <v>0.6941740956547815</v>
      </c>
      <c r="U418" s="58">
        <f t="shared" si="118"/>
        <v>1</v>
      </c>
      <c r="V418" s="58">
        <f>INDEX(BSFC!$D$4:$AD$26,MATCH(U418,BSFC!$B$4:$B$26,0),MATCH(G418,BSFC!$D$2:$AD$2,0))</f>
        <v>996.72332351999967</v>
      </c>
      <c r="W418" s="58">
        <f t="shared" si="122"/>
        <v>9.0569434293743603E-2</v>
      </c>
      <c r="X418" s="58">
        <f t="shared" si="119"/>
        <v>9.0569434293743603E-2</v>
      </c>
      <c r="Y418" s="58">
        <f t="shared" si="120"/>
        <v>0.27985955196766771</v>
      </c>
      <c r="Z418" s="79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x14ac:dyDescent="0.3">
      <c r="A419" s="55">
        <v>2</v>
      </c>
      <c r="B419" s="58" t="s">
        <v>122</v>
      </c>
      <c r="C419" s="58">
        <f t="shared" si="106"/>
        <v>416</v>
      </c>
      <c r="D419" s="58">
        <f t="shared" si="113"/>
        <v>16.576170000000001</v>
      </c>
      <c r="E419" s="58">
        <f t="shared" si="130"/>
        <v>7.41</v>
      </c>
      <c r="F419" s="90">
        <f>($C$4/E419)+F418</f>
        <v>53.749854336668221</v>
      </c>
      <c r="G419" s="58">
        <f t="shared" si="131"/>
        <v>4500</v>
      </c>
      <c r="H419" s="58">
        <v>2</v>
      </c>
      <c r="I419" s="90">
        <f>E419-E418</f>
        <v>0</v>
      </c>
      <c r="J419" s="58">
        <f>(0.5*VEHICLE!$C$71*VEHICLE!$C$28*VEHICLE!$C$27*'Drive Cycle'!E419^2)</f>
        <v>48.846470883209996</v>
      </c>
      <c r="K419" s="58">
        <f>IF(A419=1,VEHICLE!$S$5,IF(A419=2,VEHICLE!$Q$5,IF(A419=3,VEHICLE!$R$5,IF(A419=4,VEHICLE!$P$5,1))))</f>
        <v>278.27536500000002</v>
      </c>
      <c r="L419" s="58">
        <f t="shared" si="127"/>
        <v>0</v>
      </c>
      <c r="M419" s="58">
        <f t="shared" si="121"/>
        <v>0</v>
      </c>
      <c r="N419" s="58">
        <f t="shared" si="114"/>
        <v>0</v>
      </c>
      <c r="O419" s="58">
        <f t="shared" si="115"/>
        <v>0</v>
      </c>
      <c r="P419" s="58">
        <f t="shared" si="116"/>
        <v>327.12183588321</v>
      </c>
      <c r="Q419" s="58">
        <f>IF(H419=1,I419*VEHICLE!$C$69,IF(H419=2,VEHICLE!$C$70*I419,IF(H419=3,VEHICLE!$C$71*I419,0)))</f>
        <v>0</v>
      </c>
      <c r="R419" s="58">
        <f>(J419+K419+O419+Q419)</f>
        <v>327.12183588321</v>
      </c>
      <c r="S419" s="58">
        <f t="shared" si="117"/>
        <v>327.12183588321</v>
      </c>
      <c r="T419" s="58">
        <f>ABS((R419)/((2*PI()*G419)/60))</f>
        <v>0.6941740956547815</v>
      </c>
      <c r="U419" s="58">
        <f t="shared" si="118"/>
        <v>1</v>
      </c>
      <c r="V419" s="58">
        <f>INDEX(BSFC!$D$4:$AD$26,MATCH(U419,BSFC!$B$4:$B$26,0),MATCH(G419,BSFC!$D$2:$AD$2,0))</f>
        <v>996.72332351999967</v>
      </c>
      <c r="W419" s="58">
        <f t="shared" si="122"/>
        <v>9.0569434293743603E-2</v>
      </c>
      <c r="X419" s="58">
        <f t="shared" si="119"/>
        <v>9.0569434293743603E-2</v>
      </c>
      <c r="Y419" s="58">
        <f t="shared" si="120"/>
        <v>0.27985955196766771</v>
      </c>
      <c r="Z419" s="79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x14ac:dyDescent="0.3">
      <c r="A420" s="55">
        <v>2</v>
      </c>
      <c r="B420" s="58" t="s">
        <v>122</v>
      </c>
      <c r="C420" s="58">
        <f t="shared" si="106"/>
        <v>417</v>
      </c>
      <c r="D420" s="58">
        <f t="shared" si="113"/>
        <v>18.253920000000001</v>
      </c>
      <c r="E420" s="58">
        <f>E419+0.75</f>
        <v>8.16</v>
      </c>
      <c r="F420" s="90">
        <f>($C$4/E420)+F419</f>
        <v>53.872403356276067</v>
      </c>
      <c r="G420" s="58">
        <f t="shared" si="131"/>
        <v>4500</v>
      </c>
      <c r="H420" s="58">
        <v>2</v>
      </c>
      <c r="I420" s="90">
        <f>E420-E419</f>
        <v>0.75</v>
      </c>
      <c r="J420" s="58">
        <f>(0.5*VEHICLE!$C$71*VEHICLE!$C$28*VEHICLE!$C$27*'Drive Cycle'!E420^2)</f>
        <v>59.234822760959993</v>
      </c>
      <c r="K420" s="58">
        <f>IF(A420=1,VEHICLE!$S$5,IF(A420=2,VEHICLE!$Q$5,IF(A420=3,VEHICLE!$R$5,IF(A420=4,VEHICLE!$P$5,1))))</f>
        <v>278.27536500000002</v>
      </c>
      <c r="L420" s="58">
        <f t="shared" si="127"/>
        <v>0</v>
      </c>
      <c r="M420" s="58">
        <f t="shared" si="121"/>
        <v>0</v>
      </c>
      <c r="N420" s="58">
        <f t="shared" si="114"/>
        <v>0</v>
      </c>
      <c r="O420" s="58">
        <f t="shared" si="115"/>
        <v>0</v>
      </c>
      <c r="P420" s="58">
        <f t="shared" si="116"/>
        <v>337.51018776096004</v>
      </c>
      <c r="Q420" s="58">
        <f>IF(H420=1,I420*VEHICLE!$C$69,IF(H420=2,VEHICLE!$C$70*I420,IF(H420=3,VEHICLE!$C$71*I420,0)))</f>
        <v>438.86136489758803</v>
      </c>
      <c r="R420" s="58">
        <f>(J420+K420+O420+Q420)</f>
        <v>776.37155265854813</v>
      </c>
      <c r="S420" s="58">
        <f t="shared" si="117"/>
        <v>776.37155265854813</v>
      </c>
      <c r="T420" s="58">
        <f>ABS((R420)/((2*PI()*G420)/60))</f>
        <v>1.6475116037538353</v>
      </c>
      <c r="U420" s="58">
        <f t="shared" si="118"/>
        <v>2</v>
      </c>
      <c r="V420" s="58">
        <f>INDEX(BSFC!$D$4:$AD$26,MATCH(U420,BSFC!$B$4:$B$26,0),MATCH(G420,BSFC!$D$2:$AD$2,0))</f>
        <v>900.04656767999984</v>
      </c>
      <c r="W420" s="58">
        <f t="shared" si="122"/>
        <v>0.19410293089297737</v>
      </c>
      <c r="X420" s="58">
        <f t="shared" si="119"/>
        <v>0.19410293089297737</v>
      </c>
      <c r="Y420" s="58">
        <f t="shared" si="120"/>
        <v>0.59977805645930005</v>
      </c>
      <c r="Z420" s="79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x14ac:dyDescent="0.3">
      <c r="A421" s="55">
        <v>2</v>
      </c>
      <c r="B421" s="58" t="s">
        <v>122</v>
      </c>
      <c r="C421" s="58">
        <f t="shared" si="106"/>
        <v>418</v>
      </c>
      <c r="D421" s="58">
        <f t="shared" si="113"/>
        <v>19.93167</v>
      </c>
      <c r="E421" s="58">
        <f t="shared" ref="E421:E427" si="132">E420+0.75</f>
        <v>8.91</v>
      </c>
      <c r="F421" s="90">
        <f>($C$4/E421)+F420</f>
        <v>53.984636801842846</v>
      </c>
      <c r="G421" s="58">
        <f>G420+500</f>
        <v>5000</v>
      </c>
      <c r="H421" s="58">
        <v>2</v>
      </c>
      <c r="I421" s="90">
        <f>E421-E420</f>
        <v>0.75</v>
      </c>
      <c r="J421" s="58">
        <f>(0.5*VEHICLE!$C$71*VEHICLE!$C$28*VEHICLE!$C$27*'Drive Cycle'!E421^2)</f>
        <v>70.623979251210002</v>
      </c>
      <c r="K421" s="58">
        <f>IF(A421=1,VEHICLE!$S$5,IF(A421=2,VEHICLE!$Q$5,IF(A421=3,VEHICLE!$R$5,IF(A421=4,VEHICLE!$P$5,1))))</f>
        <v>278.27536500000002</v>
      </c>
      <c r="L421" s="58">
        <f t="shared" si="127"/>
        <v>0</v>
      </c>
      <c r="M421" s="58">
        <f t="shared" si="121"/>
        <v>0</v>
      </c>
      <c r="N421" s="58">
        <f t="shared" si="114"/>
        <v>0</v>
      </c>
      <c r="O421" s="58">
        <f t="shared" si="115"/>
        <v>0</v>
      </c>
      <c r="P421" s="58">
        <f t="shared" si="116"/>
        <v>348.89934425121004</v>
      </c>
      <c r="Q421" s="58">
        <f>IF(H421=1,I421*VEHICLE!$C$69,IF(H421=2,VEHICLE!$C$70*I421,IF(H421=3,VEHICLE!$C$71*I421,0)))</f>
        <v>438.86136489758803</v>
      </c>
      <c r="R421" s="58">
        <f>(J421+K421+O421+Q421)</f>
        <v>787.76070914879801</v>
      </c>
      <c r="S421" s="58">
        <f t="shared" si="117"/>
        <v>787.76070914879801</v>
      </c>
      <c r="T421" s="58">
        <f>ABS((R421)/((2*PI()*G421)/60))</f>
        <v>1.5045121300152968</v>
      </c>
      <c r="U421" s="58">
        <f t="shared" si="118"/>
        <v>2</v>
      </c>
      <c r="V421" s="58">
        <f>INDEX(BSFC!$D$4:$AD$26,MATCH(U421,BSFC!$B$4:$B$26,0),MATCH(G421,BSFC!$D$2:$AD$2,0))</f>
        <v>881.19835871999999</v>
      </c>
      <c r="W421" s="58">
        <f t="shared" si="122"/>
        <v>0.1928259566572289</v>
      </c>
      <c r="X421" s="58">
        <f t="shared" si="119"/>
        <v>0.1928259566572289</v>
      </c>
      <c r="Y421" s="58">
        <f t="shared" si="120"/>
        <v>0.59583220607083731</v>
      </c>
      <c r="Z421" s="79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x14ac:dyDescent="0.3">
      <c r="A422" s="55">
        <v>2</v>
      </c>
      <c r="B422" s="58" t="s">
        <v>122</v>
      </c>
      <c r="C422" s="58">
        <f t="shared" si="106"/>
        <v>419</v>
      </c>
      <c r="D422" s="58">
        <f t="shared" si="113"/>
        <v>21.60942</v>
      </c>
      <c r="E422" s="58">
        <f t="shared" si="132"/>
        <v>9.66</v>
      </c>
      <c r="F422" s="90">
        <f>($C$4/E422)+F421</f>
        <v>54.088156470579904</v>
      </c>
      <c r="G422" s="58">
        <f t="shared" ref="G422:G425" si="133">G421+500</f>
        <v>5500</v>
      </c>
      <c r="H422" s="58">
        <v>2</v>
      </c>
      <c r="I422" s="90">
        <f>E422-E421</f>
        <v>0.75</v>
      </c>
      <c r="J422" s="58">
        <f>(0.5*VEHICLE!$C$71*VEHICLE!$C$28*VEHICLE!$C$27*'Drive Cycle'!E422^2)</f>
        <v>83.013940353959995</v>
      </c>
      <c r="K422" s="58">
        <f>IF(A422=1,VEHICLE!$S$5,IF(A422=2,VEHICLE!$Q$5,IF(A422=3,VEHICLE!$R$5,IF(A422=4,VEHICLE!$P$5,1))))</f>
        <v>278.27536500000002</v>
      </c>
      <c r="L422" s="58">
        <f t="shared" si="127"/>
        <v>0</v>
      </c>
      <c r="M422" s="58">
        <f t="shared" si="121"/>
        <v>0</v>
      </c>
      <c r="N422" s="58">
        <f t="shared" si="114"/>
        <v>0</v>
      </c>
      <c r="O422" s="58">
        <f t="shared" si="115"/>
        <v>0</v>
      </c>
      <c r="P422" s="58">
        <f t="shared" si="116"/>
        <v>361.28930535396</v>
      </c>
      <c r="Q422" s="58">
        <f>IF(H422=1,I422*VEHICLE!$C$69,IF(H422=2,VEHICLE!$C$70*I422,IF(H422=3,VEHICLE!$C$71*I422,0)))</f>
        <v>438.86136489758803</v>
      </c>
      <c r="R422" s="58">
        <f>(J422+K422+O422+Q422)</f>
        <v>800.15067025154804</v>
      </c>
      <c r="S422" s="58">
        <f t="shared" si="117"/>
        <v>800.15067025154804</v>
      </c>
      <c r="T422" s="58">
        <f>ABS((R422)/((2*PI()*G422)/60))</f>
        <v>1.3892501933326589</v>
      </c>
      <c r="U422" s="58">
        <f t="shared" si="118"/>
        <v>2</v>
      </c>
      <c r="V422" s="58">
        <f>INDEX(BSFC!$D$4:$AD$26,MATCH(U422,BSFC!$B$4:$B$26,0),MATCH(G422,BSFC!$D$2:$AD$2,0))</f>
        <v>862.35014976000002</v>
      </c>
      <c r="W422" s="58">
        <f t="shared" si="122"/>
        <v>0.19166945842277414</v>
      </c>
      <c r="X422" s="58">
        <f t="shared" si="119"/>
        <v>0.19166945842277414</v>
      </c>
      <c r="Y422" s="58">
        <f t="shared" si="120"/>
        <v>0.59225862652637207</v>
      </c>
      <c r="Z422" s="79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x14ac:dyDescent="0.3">
      <c r="A423" s="55">
        <v>2</v>
      </c>
      <c r="B423" s="58" t="s">
        <v>122</v>
      </c>
      <c r="C423" s="58">
        <f t="shared" si="106"/>
        <v>420</v>
      </c>
      <c r="D423" s="58">
        <f t="shared" si="113"/>
        <v>23.28717</v>
      </c>
      <c r="E423" s="58">
        <f t="shared" si="132"/>
        <v>10.41</v>
      </c>
      <c r="F423" s="90">
        <f>($C$4/E423)+F422</f>
        <v>54.184217949926683</v>
      </c>
      <c r="G423" s="58">
        <f t="shared" si="133"/>
        <v>6000</v>
      </c>
      <c r="H423" s="58">
        <v>3</v>
      </c>
      <c r="I423" s="90">
        <f>E423-E422</f>
        <v>0.75</v>
      </c>
      <c r="J423" s="58">
        <f>(0.5*VEHICLE!$C$71*VEHICLE!$C$28*VEHICLE!$C$27*'Drive Cycle'!E423^2)</f>
        <v>96.404706069209993</v>
      </c>
      <c r="K423" s="58">
        <f>IF(A423=1,VEHICLE!$S$5,IF(A423=2,VEHICLE!$Q$5,IF(A423=3,VEHICLE!$R$5,IF(A423=4,VEHICLE!$P$5,1))))</f>
        <v>278.27536500000002</v>
      </c>
      <c r="L423" s="58">
        <f t="shared" si="127"/>
        <v>0</v>
      </c>
      <c r="M423" s="58">
        <f t="shared" si="121"/>
        <v>0</v>
      </c>
      <c r="N423" s="58">
        <f t="shared" si="114"/>
        <v>0</v>
      </c>
      <c r="O423" s="58">
        <f t="shared" si="115"/>
        <v>0</v>
      </c>
      <c r="P423" s="58">
        <f t="shared" si="116"/>
        <v>374.68007106921004</v>
      </c>
      <c r="Q423" s="58">
        <f>IF(H423=1,I423*VEHICLE!$C$69,IF(H423=2,VEHICLE!$C$70*I423,IF(H423=3,VEHICLE!$C$71*I423,0)))</f>
        <v>0.87525000000000008</v>
      </c>
      <c r="R423" s="58">
        <f>(J423+K423+O423+Q423)</f>
        <v>375.55532106921004</v>
      </c>
      <c r="S423" s="58">
        <f t="shared" si="117"/>
        <v>375.55532106921004</v>
      </c>
      <c r="T423" s="58">
        <f>ABS((R423)/((2*PI()*G423)/60))</f>
        <v>0.59771485752628606</v>
      </c>
      <c r="U423" s="58">
        <f t="shared" si="118"/>
        <v>1</v>
      </c>
      <c r="V423" s="58">
        <f>INDEX(BSFC!$D$4:$AD$26,MATCH(U423,BSFC!$B$4:$B$26,0),MATCH(G423,BSFC!$D$2:$AD$2,0))</f>
        <v>933.91499472000044</v>
      </c>
      <c r="W423" s="58">
        <f t="shared" si="122"/>
        <v>9.7426873803727596E-2</v>
      </c>
      <c r="X423" s="58">
        <f t="shared" si="119"/>
        <v>9.7426873803727596E-2</v>
      </c>
      <c r="Y423" s="58">
        <f t="shared" si="120"/>
        <v>0.30104904005351824</v>
      </c>
      <c r="Z423" s="79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x14ac:dyDescent="0.3">
      <c r="A424" s="55">
        <v>2</v>
      </c>
      <c r="B424" s="58" t="s">
        <v>122</v>
      </c>
      <c r="C424" s="58">
        <f t="shared" ref="C424:C487" si="134">C423+1</f>
        <v>421</v>
      </c>
      <c r="D424" s="58">
        <f t="shared" si="113"/>
        <v>24.964920000000003</v>
      </c>
      <c r="E424" s="58">
        <f t="shared" si="132"/>
        <v>11.16</v>
      </c>
      <c r="F424" s="90">
        <f>($C$4/E424)+F423</f>
        <v>54.27382368469371</v>
      </c>
      <c r="G424" s="58">
        <f t="shared" si="133"/>
        <v>6500</v>
      </c>
      <c r="H424" s="58">
        <v>3</v>
      </c>
      <c r="I424" s="90">
        <f>E424-E423</f>
        <v>0.75</v>
      </c>
      <c r="J424" s="58">
        <f>(0.5*VEHICLE!$C$71*VEHICLE!$C$28*VEHICLE!$C$27*'Drive Cycle'!E424^2)</f>
        <v>110.79627639696</v>
      </c>
      <c r="K424" s="58">
        <f>IF(A424=1,VEHICLE!$S$5,IF(A424=2,VEHICLE!$Q$5,IF(A424=3,VEHICLE!$R$5,IF(A424=4,VEHICLE!$P$5,1))))</f>
        <v>278.27536500000002</v>
      </c>
      <c r="L424" s="58">
        <f t="shared" si="127"/>
        <v>0</v>
      </c>
      <c r="M424" s="58">
        <f t="shared" si="121"/>
        <v>0</v>
      </c>
      <c r="N424" s="58">
        <f t="shared" si="114"/>
        <v>0</v>
      </c>
      <c r="O424" s="58">
        <f t="shared" si="115"/>
        <v>0</v>
      </c>
      <c r="P424" s="58">
        <f t="shared" si="116"/>
        <v>389.07164139695999</v>
      </c>
      <c r="Q424" s="58">
        <f>IF(H424=1,I424*VEHICLE!$C$69,IF(H424=2,VEHICLE!$C$70*I424,IF(H424=3,VEHICLE!$C$71*I424,0)))</f>
        <v>0.87525000000000008</v>
      </c>
      <c r="R424" s="58">
        <f>(J424+K424+O424+Q424)</f>
        <v>389.94689139695998</v>
      </c>
      <c r="S424" s="58">
        <f t="shared" si="117"/>
        <v>389.94689139695998</v>
      </c>
      <c r="T424" s="58">
        <f>ABS((R424)/((2*PI()*G424)/60))</f>
        <v>0.57287977208441221</v>
      </c>
      <c r="U424" s="58">
        <f t="shared" si="118"/>
        <v>1</v>
      </c>
      <c r="V424" s="58">
        <f>INDEX(BSFC!$D$4:$AD$26,MATCH(U424,BSFC!$B$4:$B$26,0),MATCH(G424,BSFC!$D$2:$AD$2,0))</f>
        <v>925.65735288000019</v>
      </c>
      <c r="W424" s="58">
        <f t="shared" si="122"/>
        <v>0.1002658909039708</v>
      </c>
      <c r="X424" s="58">
        <f t="shared" si="119"/>
        <v>0.1002658909039708</v>
      </c>
      <c r="Y424" s="58">
        <f t="shared" si="120"/>
        <v>0.30982160289326977</v>
      </c>
      <c r="Z424" s="79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x14ac:dyDescent="0.3">
      <c r="A425" s="55">
        <v>2</v>
      </c>
      <c r="B425" s="58" t="s">
        <v>122</v>
      </c>
      <c r="C425" s="58">
        <f t="shared" si="134"/>
        <v>422</v>
      </c>
      <c r="D425" s="58">
        <f t="shared" si="113"/>
        <v>26.642670000000003</v>
      </c>
      <c r="E425" s="58">
        <f t="shared" si="132"/>
        <v>11.91</v>
      </c>
      <c r="F425" s="90">
        <f>($C$4/E425)+F424</f>
        <v>54.35778674094896</v>
      </c>
      <c r="G425" s="58">
        <f t="shared" si="133"/>
        <v>7000</v>
      </c>
      <c r="H425" s="58">
        <v>3</v>
      </c>
      <c r="I425" s="90">
        <f>E425-E424</f>
        <v>0.75</v>
      </c>
      <c r="J425" s="58">
        <f>(0.5*VEHICLE!$C$71*VEHICLE!$C$28*VEHICLE!$C$27*'Drive Cycle'!E425^2)</f>
        <v>126.18865133721</v>
      </c>
      <c r="K425" s="58">
        <f>IF(A425=1,VEHICLE!$S$5,IF(A425=2,VEHICLE!$Q$5,IF(A425=3,VEHICLE!$R$5,IF(A425=4,VEHICLE!$P$5,1))))</f>
        <v>278.27536500000002</v>
      </c>
      <c r="L425" s="58">
        <f t="shared" si="127"/>
        <v>0</v>
      </c>
      <c r="M425" s="58">
        <f t="shared" si="121"/>
        <v>0</v>
      </c>
      <c r="N425" s="58">
        <f t="shared" si="114"/>
        <v>0</v>
      </c>
      <c r="O425" s="58">
        <f t="shared" si="115"/>
        <v>0</v>
      </c>
      <c r="P425" s="58">
        <f t="shared" si="116"/>
        <v>404.46401633721001</v>
      </c>
      <c r="Q425" s="58">
        <f>IF(H425=1,I425*VEHICLE!$C$69,IF(H425=2,VEHICLE!$C$70*I425,IF(H425=3,VEHICLE!$C$71*I425,0)))</f>
        <v>0.87525000000000008</v>
      </c>
      <c r="R425" s="58">
        <f>(J425+K425+O425+Q425)</f>
        <v>405.33926633721001</v>
      </c>
      <c r="S425" s="58">
        <f t="shared" si="117"/>
        <v>405.33926633721001</v>
      </c>
      <c r="T425" s="58">
        <f>ABS((R425)/((2*PI()*G425)/60))</f>
        <v>0.55295783885836525</v>
      </c>
      <c r="U425" s="58">
        <f t="shared" si="118"/>
        <v>1</v>
      </c>
      <c r="V425" s="58">
        <f>INDEX(BSFC!$D$4:$AD$26,MATCH(U425,BSFC!$B$4:$B$26,0),MATCH(G425,BSFC!$D$2:$AD$2,0))</f>
        <v>920.25590927999997</v>
      </c>
      <c r="W425" s="58">
        <f t="shared" si="122"/>
        <v>0.10361551530834369</v>
      </c>
      <c r="X425" s="58">
        <f t="shared" si="119"/>
        <v>0.10361551530834369</v>
      </c>
      <c r="Y425" s="58">
        <f t="shared" si="120"/>
        <v>0.32017194230278201</v>
      </c>
      <c r="Z425" s="79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x14ac:dyDescent="0.3">
      <c r="A426" s="55">
        <v>2</v>
      </c>
      <c r="B426" s="59" t="s">
        <v>108</v>
      </c>
      <c r="C426" s="59">
        <f t="shared" si="134"/>
        <v>423</v>
      </c>
      <c r="D426" s="59">
        <f t="shared" si="113"/>
        <v>28.320420000000002</v>
      </c>
      <c r="E426" s="59">
        <f t="shared" si="132"/>
        <v>12.66</v>
      </c>
      <c r="F426" s="91">
        <f>($C$4/E426)+F425</f>
        <v>54.436775682497142</v>
      </c>
      <c r="G426" s="59">
        <f>G425</f>
        <v>7000</v>
      </c>
      <c r="H426" s="59">
        <v>3</v>
      </c>
      <c r="I426" s="91">
        <f>E426-E425</f>
        <v>0.75</v>
      </c>
      <c r="J426" s="59">
        <f>(0.5*VEHICLE!$C$71*VEHICLE!$C$28*VEHICLE!$C$27*'Drive Cycle'!E426^2)</f>
        <v>142.58183088995997</v>
      </c>
      <c r="K426" s="59">
        <f>IF(A426=1,VEHICLE!$S$5,IF(A426=2,VEHICLE!$Q$5,IF(A426=3,VEHICLE!$R$5,IF(A426=4,VEHICLE!$P$5,1))))</f>
        <v>278.27536500000002</v>
      </c>
      <c r="L426" s="59">
        <f t="shared" si="127"/>
        <v>0</v>
      </c>
      <c r="M426" s="59">
        <f t="shared" si="121"/>
        <v>0</v>
      </c>
      <c r="N426" s="59">
        <f t="shared" si="114"/>
        <v>0</v>
      </c>
      <c r="O426" s="59">
        <f t="shared" si="115"/>
        <v>0</v>
      </c>
      <c r="P426" s="59">
        <f t="shared" si="116"/>
        <v>420.85719588996</v>
      </c>
      <c r="Q426" s="59">
        <f>IF(H426=1,I426*VEHICLE!$C$69,IF(H426=2,VEHICLE!$C$70*I426,IF(H426=3,VEHICLE!$C$71*I426,0)))</f>
        <v>0.87525000000000008</v>
      </c>
      <c r="R426" s="59">
        <f>(J426+K426+O426+Q426)</f>
        <v>421.73244588995999</v>
      </c>
      <c r="S426" s="59">
        <f t="shared" si="117"/>
        <v>421.73244588995999</v>
      </c>
      <c r="T426" s="59">
        <f>ABS((R426)/((2*PI()*G426)/60))</f>
        <v>0.57532117221962076</v>
      </c>
      <c r="U426" s="59">
        <f t="shared" si="118"/>
        <v>1</v>
      </c>
      <c r="V426" s="59">
        <f>INDEX(BSFC!$D$4:$AD$26,MATCH(U426,BSFC!$B$4:$B$26,0),MATCH(G426,BSFC!$D$2:$AD$2,0))</f>
        <v>920.25590927999997</v>
      </c>
      <c r="W426" s="59">
        <f t="shared" si="122"/>
        <v>0.10780604874037319</v>
      </c>
      <c r="X426" s="59">
        <f t="shared" si="119"/>
        <v>0.10780604874037319</v>
      </c>
      <c r="Y426" s="59">
        <f t="shared" si="120"/>
        <v>0.33312069060775318</v>
      </c>
      <c r="Z426" s="79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x14ac:dyDescent="0.3">
      <c r="A427" s="55">
        <v>2</v>
      </c>
      <c r="B427" s="59" t="s">
        <v>108</v>
      </c>
      <c r="C427" s="59">
        <f t="shared" si="134"/>
        <v>424</v>
      </c>
      <c r="D427" s="59">
        <f t="shared" si="113"/>
        <v>29.998170000000002</v>
      </c>
      <c r="E427" s="59">
        <f t="shared" si="132"/>
        <v>13.41</v>
      </c>
      <c r="F427" s="91">
        <f>($C$4/E427)+F426</f>
        <v>54.511346898007957</v>
      </c>
      <c r="G427" s="59">
        <f t="shared" ref="G427:G475" si="135">G426</f>
        <v>7000</v>
      </c>
      <c r="H427" s="59">
        <v>3</v>
      </c>
      <c r="I427" s="91">
        <f>E427-E426</f>
        <v>0.75</v>
      </c>
      <c r="J427" s="59">
        <f>(0.5*VEHICLE!$C$71*VEHICLE!$C$28*VEHICLE!$C$27*'Drive Cycle'!E427^2)</f>
        <v>159.97581505520998</v>
      </c>
      <c r="K427" s="59">
        <f>IF(A427=1,VEHICLE!$S$5,IF(A427=2,VEHICLE!$Q$5,IF(A427=3,VEHICLE!$R$5,IF(A427=4,VEHICLE!$P$5,1))))</f>
        <v>278.27536500000002</v>
      </c>
      <c r="L427" s="59">
        <f t="shared" si="127"/>
        <v>0</v>
      </c>
      <c r="M427" s="59">
        <f t="shared" si="121"/>
        <v>0</v>
      </c>
      <c r="N427" s="59">
        <f t="shared" si="114"/>
        <v>0</v>
      </c>
      <c r="O427" s="59">
        <f t="shared" si="115"/>
        <v>0</v>
      </c>
      <c r="P427" s="59">
        <f t="shared" si="116"/>
        <v>438.25118005521</v>
      </c>
      <c r="Q427" s="59">
        <f>IF(H427=1,I427*VEHICLE!$C$69,IF(H427=2,VEHICLE!$C$70*I427,IF(H427=3,VEHICLE!$C$71*I427,0)))</f>
        <v>0.87525000000000008</v>
      </c>
      <c r="R427" s="59">
        <f>(J427+K427+O427+Q427)</f>
        <v>439.12643005520999</v>
      </c>
      <c r="S427" s="59">
        <f t="shared" si="117"/>
        <v>439.12643005520999</v>
      </c>
      <c r="T427" s="59">
        <f>ABS((R427)/((2*PI()*G427)/60))</f>
        <v>0.59904978844786383</v>
      </c>
      <c r="U427" s="59">
        <f t="shared" si="118"/>
        <v>1</v>
      </c>
      <c r="V427" s="59">
        <f>INDEX(BSFC!$D$4:$AD$26,MATCH(U427,BSFC!$B$4:$B$26,0),MATCH(G427,BSFC!$D$2:$AD$2,0))</f>
        <v>920.25590927999997</v>
      </c>
      <c r="W427" s="59">
        <f t="shared" si="122"/>
        <v>0.11225241449426043</v>
      </c>
      <c r="X427" s="59">
        <f t="shared" si="119"/>
        <v>0.11225241449426043</v>
      </c>
      <c r="Y427" s="59">
        <f t="shared" si="120"/>
        <v>0.34685996078726472</v>
      </c>
      <c r="Z427" s="79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x14ac:dyDescent="0.3">
      <c r="A428" s="55">
        <v>2</v>
      </c>
      <c r="B428" s="59" t="s">
        <v>108</v>
      </c>
      <c r="C428" s="59">
        <f t="shared" si="134"/>
        <v>425</v>
      </c>
      <c r="D428" s="59">
        <f t="shared" si="113"/>
        <v>29.998170000000002</v>
      </c>
      <c r="E428" s="59">
        <f>E427</f>
        <v>13.41</v>
      </c>
      <c r="F428" s="91">
        <f>($C$4/E428)+F427</f>
        <v>54.585918113518773</v>
      </c>
      <c r="G428" s="59">
        <f t="shared" si="135"/>
        <v>7000</v>
      </c>
      <c r="H428" s="59">
        <v>3</v>
      </c>
      <c r="I428" s="91">
        <f>E428-E427</f>
        <v>0</v>
      </c>
      <c r="J428" s="59">
        <f>(0.5*VEHICLE!$C$71*VEHICLE!$C$28*VEHICLE!$C$27*'Drive Cycle'!E428^2)</f>
        <v>159.97581505520998</v>
      </c>
      <c r="K428" s="59">
        <f>IF(A428=1,VEHICLE!$S$5,IF(A428=2,VEHICLE!$Q$5,IF(A428=3,VEHICLE!$R$5,IF(A428=4,VEHICLE!$P$5,1))))</f>
        <v>278.27536500000002</v>
      </c>
      <c r="L428" s="59">
        <f t="shared" si="127"/>
        <v>0</v>
      </c>
      <c r="M428" s="59">
        <f t="shared" si="121"/>
        <v>0</v>
      </c>
      <c r="N428" s="59">
        <f t="shared" si="114"/>
        <v>0</v>
      </c>
      <c r="O428" s="59">
        <f t="shared" si="115"/>
        <v>0</v>
      </c>
      <c r="P428" s="59">
        <f t="shared" si="116"/>
        <v>438.25118005521</v>
      </c>
      <c r="Q428" s="59">
        <f>IF(H428=1,I428*VEHICLE!$C$69,IF(H428=2,VEHICLE!$C$70*I428,IF(H428=3,VEHICLE!$C$71*I428,0)))</f>
        <v>0</v>
      </c>
      <c r="R428" s="59">
        <f>(J428+K428+O428+Q428)</f>
        <v>438.25118005521</v>
      </c>
      <c r="S428" s="59">
        <f t="shared" si="117"/>
        <v>438.25118005521</v>
      </c>
      <c r="T428" s="59">
        <f>ABS((R428)/((2*PI()*G428)/60))</f>
        <v>0.59785578532836803</v>
      </c>
      <c r="U428" s="59">
        <f t="shared" si="118"/>
        <v>1</v>
      </c>
      <c r="V428" s="59">
        <f>INDEX(BSFC!$D$4:$AD$26,MATCH(U428,BSFC!$B$4:$B$26,0),MATCH(G428,BSFC!$D$2:$AD$2,0))</f>
        <v>920.25590927999997</v>
      </c>
      <c r="W428" s="59">
        <f t="shared" si="122"/>
        <v>0.11202867727631674</v>
      </c>
      <c r="X428" s="59">
        <f t="shared" si="119"/>
        <v>0.11202867727631674</v>
      </c>
      <c r="Y428" s="59">
        <f t="shared" si="120"/>
        <v>0.34616861278381872</v>
      </c>
      <c r="Z428" s="79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x14ac:dyDescent="0.3">
      <c r="A429" s="55">
        <v>2</v>
      </c>
      <c r="B429" s="59" t="s">
        <v>108</v>
      </c>
      <c r="C429" s="59">
        <f t="shared" si="134"/>
        <v>426</v>
      </c>
      <c r="D429" s="59">
        <f t="shared" si="113"/>
        <v>29.998170000000002</v>
      </c>
      <c r="E429" s="59">
        <f t="shared" ref="E429:E475" si="136">E428</f>
        <v>13.41</v>
      </c>
      <c r="F429" s="91">
        <f>($C$4/E429)+F428</f>
        <v>54.660489329029588</v>
      </c>
      <c r="G429" s="59">
        <f t="shared" si="135"/>
        <v>7000</v>
      </c>
      <c r="H429" s="59">
        <v>3</v>
      </c>
      <c r="I429" s="91">
        <f>E429-E428</f>
        <v>0</v>
      </c>
      <c r="J429" s="59">
        <f>(0.5*VEHICLE!$C$71*VEHICLE!$C$28*VEHICLE!$C$27*'Drive Cycle'!E429^2)</f>
        <v>159.97581505520998</v>
      </c>
      <c r="K429" s="59">
        <f>IF(A429=1,VEHICLE!$S$5,IF(A429=2,VEHICLE!$Q$5,IF(A429=3,VEHICLE!$R$5,IF(A429=4,VEHICLE!$P$5,1))))</f>
        <v>278.27536500000002</v>
      </c>
      <c r="L429" s="59">
        <f t="shared" si="127"/>
        <v>0</v>
      </c>
      <c r="M429" s="59">
        <f t="shared" si="121"/>
        <v>0</v>
      </c>
      <c r="N429" s="59">
        <f t="shared" si="114"/>
        <v>0</v>
      </c>
      <c r="O429" s="59">
        <f t="shared" si="115"/>
        <v>0</v>
      </c>
      <c r="P429" s="59">
        <f t="shared" si="116"/>
        <v>438.25118005521</v>
      </c>
      <c r="Q429" s="59">
        <f>IF(H429=1,I429*VEHICLE!$C$69,IF(H429=2,VEHICLE!$C$70*I429,IF(H429=3,VEHICLE!$C$71*I429,0)))</f>
        <v>0</v>
      </c>
      <c r="R429" s="59">
        <f>(J429+K429+O429+Q429)</f>
        <v>438.25118005521</v>
      </c>
      <c r="S429" s="59">
        <f t="shared" si="117"/>
        <v>438.25118005521</v>
      </c>
      <c r="T429" s="59">
        <f>ABS((R429)/((2*PI()*G429)/60))</f>
        <v>0.59785578532836803</v>
      </c>
      <c r="U429" s="59">
        <f t="shared" si="118"/>
        <v>1</v>
      </c>
      <c r="V429" s="59">
        <f>INDEX(BSFC!$D$4:$AD$26,MATCH(U429,BSFC!$B$4:$B$26,0),MATCH(G429,BSFC!$D$2:$AD$2,0))</f>
        <v>920.25590927999997</v>
      </c>
      <c r="W429" s="59">
        <f t="shared" si="122"/>
        <v>0.11202867727631674</v>
      </c>
      <c r="X429" s="59">
        <f t="shared" si="119"/>
        <v>0.11202867727631674</v>
      </c>
      <c r="Y429" s="59">
        <f t="shared" si="120"/>
        <v>0.34616861278381872</v>
      </c>
      <c r="Z429" s="79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x14ac:dyDescent="0.3">
      <c r="A430" s="55">
        <v>2</v>
      </c>
      <c r="B430" s="59" t="s">
        <v>108</v>
      </c>
      <c r="C430" s="59">
        <f t="shared" si="134"/>
        <v>427</v>
      </c>
      <c r="D430" s="59">
        <f t="shared" si="113"/>
        <v>29.998170000000002</v>
      </c>
      <c r="E430" s="59">
        <f t="shared" si="136"/>
        <v>13.41</v>
      </c>
      <c r="F430" s="91">
        <f>($C$4/E430)+F429</f>
        <v>54.735060544540403</v>
      </c>
      <c r="G430" s="59">
        <f t="shared" si="135"/>
        <v>7000</v>
      </c>
      <c r="H430" s="59">
        <v>3</v>
      </c>
      <c r="I430" s="91">
        <f>E430-E429</f>
        <v>0</v>
      </c>
      <c r="J430" s="59">
        <f>(0.5*VEHICLE!$C$71*VEHICLE!$C$28*VEHICLE!$C$27*'Drive Cycle'!E430^2)</f>
        <v>159.97581505520998</v>
      </c>
      <c r="K430" s="59">
        <f>IF(A430=1,VEHICLE!$S$5,IF(A430=2,VEHICLE!$Q$5,IF(A430=3,VEHICLE!$R$5,IF(A430=4,VEHICLE!$P$5,1))))</f>
        <v>278.27536500000002</v>
      </c>
      <c r="L430" s="59">
        <f t="shared" si="127"/>
        <v>0</v>
      </c>
      <c r="M430" s="59">
        <f t="shared" si="121"/>
        <v>0</v>
      </c>
      <c r="N430" s="59">
        <f t="shared" si="114"/>
        <v>0</v>
      </c>
      <c r="O430" s="59">
        <f t="shared" si="115"/>
        <v>0</v>
      </c>
      <c r="P430" s="59">
        <f t="shared" si="116"/>
        <v>438.25118005521</v>
      </c>
      <c r="Q430" s="59">
        <f>IF(H430=1,I430*VEHICLE!$C$69,IF(H430=2,VEHICLE!$C$70*I430,IF(H430=3,VEHICLE!$C$71*I430,0)))</f>
        <v>0</v>
      </c>
      <c r="R430" s="59">
        <f>(J430+K430+O430+Q430)</f>
        <v>438.25118005521</v>
      </c>
      <c r="S430" s="59">
        <f t="shared" si="117"/>
        <v>438.25118005521</v>
      </c>
      <c r="T430" s="59">
        <f>ABS((R430)/((2*PI()*G430)/60))</f>
        <v>0.59785578532836803</v>
      </c>
      <c r="U430" s="59">
        <f t="shared" si="118"/>
        <v>1</v>
      </c>
      <c r="V430" s="59">
        <f>INDEX(BSFC!$D$4:$AD$26,MATCH(U430,BSFC!$B$4:$B$26,0),MATCH(G430,BSFC!$D$2:$AD$2,0))</f>
        <v>920.25590927999997</v>
      </c>
      <c r="W430" s="59">
        <f t="shared" si="122"/>
        <v>0.11202867727631674</v>
      </c>
      <c r="X430" s="59">
        <f t="shared" si="119"/>
        <v>0.11202867727631674</v>
      </c>
      <c r="Y430" s="59">
        <f t="shared" si="120"/>
        <v>0.34616861278381872</v>
      </c>
      <c r="Z430" s="79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x14ac:dyDescent="0.3">
      <c r="A431" s="55">
        <v>2</v>
      </c>
      <c r="B431" s="59" t="s">
        <v>108</v>
      </c>
      <c r="C431" s="59">
        <f t="shared" si="134"/>
        <v>428</v>
      </c>
      <c r="D431" s="59">
        <f t="shared" si="113"/>
        <v>29.998170000000002</v>
      </c>
      <c r="E431" s="59">
        <f t="shared" si="136"/>
        <v>13.41</v>
      </c>
      <c r="F431" s="91">
        <f>($C$4/E431)+F430</f>
        <v>54.809631760051218</v>
      </c>
      <c r="G431" s="59">
        <f t="shared" si="135"/>
        <v>7000</v>
      </c>
      <c r="H431" s="59">
        <v>3</v>
      </c>
      <c r="I431" s="91">
        <f>E431-E430</f>
        <v>0</v>
      </c>
      <c r="J431" s="59">
        <f>(0.5*VEHICLE!$C$71*VEHICLE!$C$28*VEHICLE!$C$27*'Drive Cycle'!E431^2)</f>
        <v>159.97581505520998</v>
      </c>
      <c r="K431" s="59">
        <f>IF(A431=1,VEHICLE!$S$5,IF(A431=2,VEHICLE!$Q$5,IF(A431=3,VEHICLE!$R$5,IF(A431=4,VEHICLE!$P$5,1))))</f>
        <v>278.27536500000002</v>
      </c>
      <c r="L431" s="59">
        <f t="shared" si="127"/>
        <v>0</v>
      </c>
      <c r="M431" s="59">
        <f t="shared" si="121"/>
        <v>0</v>
      </c>
      <c r="N431" s="59">
        <f t="shared" si="114"/>
        <v>0</v>
      </c>
      <c r="O431" s="59">
        <f t="shared" si="115"/>
        <v>0</v>
      </c>
      <c r="P431" s="59">
        <f t="shared" si="116"/>
        <v>438.25118005521</v>
      </c>
      <c r="Q431" s="59">
        <f>IF(H431=1,I431*VEHICLE!$C$69,IF(H431=2,VEHICLE!$C$70*I431,IF(H431=3,VEHICLE!$C$71*I431,0)))</f>
        <v>0</v>
      </c>
      <c r="R431" s="59">
        <f>(J431+K431+O431+Q431)</f>
        <v>438.25118005521</v>
      </c>
      <c r="S431" s="59">
        <f t="shared" si="117"/>
        <v>438.25118005521</v>
      </c>
      <c r="T431" s="59">
        <f>ABS((R431)/((2*PI()*G431)/60))</f>
        <v>0.59785578532836803</v>
      </c>
      <c r="U431" s="59">
        <f t="shared" si="118"/>
        <v>1</v>
      </c>
      <c r="V431" s="59">
        <f>INDEX(BSFC!$D$4:$AD$26,MATCH(U431,BSFC!$B$4:$B$26,0),MATCH(G431,BSFC!$D$2:$AD$2,0))</f>
        <v>920.25590927999997</v>
      </c>
      <c r="W431" s="59">
        <f t="shared" si="122"/>
        <v>0.11202867727631674</v>
      </c>
      <c r="X431" s="59">
        <f t="shared" si="119"/>
        <v>0.11202867727631674</v>
      </c>
      <c r="Y431" s="59">
        <f t="shared" si="120"/>
        <v>0.34616861278381872</v>
      </c>
      <c r="Z431" s="79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x14ac:dyDescent="0.3">
      <c r="A432" s="55">
        <v>2</v>
      </c>
      <c r="B432" s="59" t="s">
        <v>108</v>
      </c>
      <c r="C432" s="59">
        <f t="shared" si="134"/>
        <v>429</v>
      </c>
      <c r="D432" s="59">
        <f t="shared" si="113"/>
        <v>29.998170000000002</v>
      </c>
      <c r="E432" s="59">
        <f t="shared" si="136"/>
        <v>13.41</v>
      </c>
      <c r="F432" s="91">
        <f>($C$4/E432)+F431</f>
        <v>54.884202975562033</v>
      </c>
      <c r="G432" s="59">
        <f t="shared" si="135"/>
        <v>7000</v>
      </c>
      <c r="H432" s="59">
        <v>3</v>
      </c>
      <c r="I432" s="91">
        <f>E432-E431</f>
        <v>0</v>
      </c>
      <c r="J432" s="59">
        <f>(0.5*VEHICLE!$C$71*VEHICLE!$C$28*VEHICLE!$C$27*'Drive Cycle'!E432^2)</f>
        <v>159.97581505520998</v>
      </c>
      <c r="K432" s="59">
        <f>IF(A432=1,VEHICLE!$S$5,IF(A432=2,VEHICLE!$Q$5,IF(A432=3,VEHICLE!$R$5,IF(A432=4,VEHICLE!$P$5,1))))</f>
        <v>278.27536500000002</v>
      </c>
      <c r="L432" s="59">
        <f t="shared" si="127"/>
        <v>0</v>
      </c>
      <c r="M432" s="59">
        <f t="shared" si="121"/>
        <v>0</v>
      </c>
      <c r="N432" s="59">
        <f t="shared" si="114"/>
        <v>0</v>
      </c>
      <c r="O432" s="59">
        <f t="shared" si="115"/>
        <v>0</v>
      </c>
      <c r="P432" s="59">
        <f t="shared" si="116"/>
        <v>438.25118005521</v>
      </c>
      <c r="Q432" s="59">
        <f>IF(H432=1,I432*VEHICLE!$C$69,IF(H432=2,VEHICLE!$C$70*I432,IF(H432=3,VEHICLE!$C$71*I432,0)))</f>
        <v>0</v>
      </c>
      <c r="R432" s="59">
        <f>(J432+K432+O432+Q432)</f>
        <v>438.25118005521</v>
      </c>
      <c r="S432" s="59">
        <f t="shared" si="117"/>
        <v>438.25118005521</v>
      </c>
      <c r="T432" s="59">
        <f>ABS((R432)/((2*PI()*G432)/60))</f>
        <v>0.59785578532836803</v>
      </c>
      <c r="U432" s="59">
        <f t="shared" si="118"/>
        <v>1</v>
      </c>
      <c r="V432" s="59">
        <f>INDEX(BSFC!$D$4:$AD$26,MATCH(U432,BSFC!$B$4:$B$26,0),MATCH(G432,BSFC!$D$2:$AD$2,0))</f>
        <v>920.25590927999997</v>
      </c>
      <c r="W432" s="59">
        <f t="shared" si="122"/>
        <v>0.11202867727631674</v>
      </c>
      <c r="X432" s="59">
        <f t="shared" si="119"/>
        <v>0.11202867727631674</v>
      </c>
      <c r="Y432" s="59">
        <f t="shared" si="120"/>
        <v>0.34616861278381872</v>
      </c>
      <c r="Z432" s="79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x14ac:dyDescent="0.3">
      <c r="A433" s="55">
        <v>2</v>
      </c>
      <c r="B433" s="59" t="s">
        <v>108</v>
      </c>
      <c r="C433" s="59">
        <f t="shared" si="134"/>
        <v>430</v>
      </c>
      <c r="D433" s="59">
        <f t="shared" si="113"/>
        <v>29.998170000000002</v>
      </c>
      <c r="E433" s="59">
        <f t="shared" si="136"/>
        <v>13.41</v>
      </c>
      <c r="F433" s="91">
        <f>($C$4/E433)+F432</f>
        <v>54.958774191072848</v>
      </c>
      <c r="G433" s="59">
        <f t="shared" si="135"/>
        <v>7000</v>
      </c>
      <c r="H433" s="59">
        <v>3</v>
      </c>
      <c r="I433" s="91">
        <f>E433-E432</f>
        <v>0</v>
      </c>
      <c r="J433" s="59">
        <f>(0.5*VEHICLE!$C$71*VEHICLE!$C$28*VEHICLE!$C$27*'Drive Cycle'!E433^2)</f>
        <v>159.97581505520998</v>
      </c>
      <c r="K433" s="59">
        <f>IF(A433=1,VEHICLE!$S$5,IF(A433=2,VEHICLE!$Q$5,IF(A433=3,VEHICLE!$R$5,IF(A433=4,VEHICLE!$P$5,1))))</f>
        <v>278.27536500000002</v>
      </c>
      <c r="L433" s="59">
        <f t="shared" si="127"/>
        <v>0</v>
      </c>
      <c r="M433" s="59">
        <f t="shared" si="121"/>
        <v>0</v>
      </c>
      <c r="N433" s="59">
        <f t="shared" si="114"/>
        <v>0</v>
      </c>
      <c r="O433" s="59">
        <f t="shared" si="115"/>
        <v>0</v>
      </c>
      <c r="P433" s="59">
        <f t="shared" si="116"/>
        <v>438.25118005521</v>
      </c>
      <c r="Q433" s="59">
        <f>IF(H433=1,I433*VEHICLE!$C$69,IF(H433=2,VEHICLE!$C$70*I433,IF(H433=3,VEHICLE!$C$71*I433,0)))</f>
        <v>0</v>
      </c>
      <c r="R433" s="59">
        <f>(J433+K433+O433+Q433)</f>
        <v>438.25118005521</v>
      </c>
      <c r="S433" s="59">
        <f t="shared" si="117"/>
        <v>438.25118005521</v>
      </c>
      <c r="T433" s="59">
        <f>ABS((R433)/((2*PI()*G433)/60))</f>
        <v>0.59785578532836803</v>
      </c>
      <c r="U433" s="59">
        <f t="shared" si="118"/>
        <v>1</v>
      </c>
      <c r="V433" s="59">
        <f>INDEX(BSFC!$D$4:$AD$26,MATCH(U433,BSFC!$B$4:$B$26,0),MATCH(G433,BSFC!$D$2:$AD$2,0))</f>
        <v>920.25590927999997</v>
      </c>
      <c r="W433" s="59">
        <f t="shared" si="122"/>
        <v>0.11202867727631674</v>
      </c>
      <c r="X433" s="59">
        <f t="shared" si="119"/>
        <v>0.11202867727631674</v>
      </c>
      <c r="Y433" s="59">
        <f t="shared" si="120"/>
        <v>0.34616861278381872</v>
      </c>
      <c r="Z433" s="79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x14ac:dyDescent="0.3">
      <c r="A434" s="55">
        <v>2</v>
      </c>
      <c r="B434" s="59" t="s">
        <v>108</v>
      </c>
      <c r="C434" s="59">
        <f t="shared" si="134"/>
        <v>431</v>
      </c>
      <c r="D434" s="59">
        <f t="shared" si="113"/>
        <v>29.998170000000002</v>
      </c>
      <c r="E434" s="59">
        <f t="shared" si="136"/>
        <v>13.41</v>
      </c>
      <c r="F434" s="91">
        <f>($C$4/E434)+F433</f>
        <v>55.033345406583663</v>
      </c>
      <c r="G434" s="59">
        <f t="shared" si="135"/>
        <v>7000</v>
      </c>
      <c r="H434" s="59">
        <v>3</v>
      </c>
      <c r="I434" s="91">
        <f>E434-E433</f>
        <v>0</v>
      </c>
      <c r="J434" s="59">
        <f>(0.5*VEHICLE!$C$71*VEHICLE!$C$28*VEHICLE!$C$27*'Drive Cycle'!E434^2)</f>
        <v>159.97581505520998</v>
      </c>
      <c r="K434" s="59">
        <f>IF(A434=1,VEHICLE!$S$5,IF(A434=2,VEHICLE!$Q$5,IF(A434=3,VEHICLE!$R$5,IF(A434=4,VEHICLE!$P$5,1))))</f>
        <v>278.27536500000002</v>
      </c>
      <c r="L434" s="59">
        <f t="shared" si="127"/>
        <v>0</v>
      </c>
      <c r="M434" s="59">
        <f t="shared" si="121"/>
        <v>0</v>
      </c>
      <c r="N434" s="59">
        <f t="shared" si="114"/>
        <v>0</v>
      </c>
      <c r="O434" s="59">
        <f t="shared" si="115"/>
        <v>0</v>
      </c>
      <c r="P434" s="59">
        <f t="shared" si="116"/>
        <v>438.25118005521</v>
      </c>
      <c r="Q434" s="59">
        <f>IF(H434=1,I434*VEHICLE!$C$69,IF(H434=2,VEHICLE!$C$70*I434,IF(H434=3,VEHICLE!$C$71*I434,0)))</f>
        <v>0</v>
      </c>
      <c r="R434" s="59">
        <f>(J434+K434+O434+Q434)</f>
        <v>438.25118005521</v>
      </c>
      <c r="S434" s="59">
        <f t="shared" si="117"/>
        <v>438.25118005521</v>
      </c>
      <c r="T434" s="59">
        <f>ABS((R434)/((2*PI()*G434)/60))</f>
        <v>0.59785578532836803</v>
      </c>
      <c r="U434" s="59">
        <f t="shared" si="118"/>
        <v>1</v>
      </c>
      <c r="V434" s="59">
        <f>INDEX(BSFC!$D$4:$AD$26,MATCH(U434,BSFC!$B$4:$B$26,0),MATCH(G434,BSFC!$D$2:$AD$2,0))</f>
        <v>920.25590927999997</v>
      </c>
      <c r="W434" s="59">
        <f t="shared" si="122"/>
        <v>0.11202867727631674</v>
      </c>
      <c r="X434" s="59">
        <f t="shared" si="119"/>
        <v>0.11202867727631674</v>
      </c>
      <c r="Y434" s="59">
        <f t="shared" si="120"/>
        <v>0.34616861278381872</v>
      </c>
      <c r="Z434" s="79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x14ac:dyDescent="0.3">
      <c r="A435" s="55">
        <v>2</v>
      </c>
      <c r="B435" s="59" t="s">
        <v>108</v>
      </c>
      <c r="C435" s="59">
        <f t="shared" si="134"/>
        <v>432</v>
      </c>
      <c r="D435" s="59">
        <f t="shared" si="113"/>
        <v>29.998170000000002</v>
      </c>
      <c r="E435" s="59">
        <f t="shared" si="136"/>
        <v>13.41</v>
      </c>
      <c r="F435" s="91">
        <f>($C$4/E435)+F434</f>
        <v>55.107916622094478</v>
      </c>
      <c r="G435" s="59">
        <f t="shared" si="135"/>
        <v>7000</v>
      </c>
      <c r="H435" s="59">
        <v>3</v>
      </c>
      <c r="I435" s="91">
        <f>E435-E434</f>
        <v>0</v>
      </c>
      <c r="J435" s="59">
        <f>(0.5*VEHICLE!$C$71*VEHICLE!$C$28*VEHICLE!$C$27*'Drive Cycle'!E435^2)</f>
        <v>159.97581505520998</v>
      </c>
      <c r="K435" s="59">
        <f>IF(A435=1,VEHICLE!$S$5,IF(A435=2,VEHICLE!$Q$5,IF(A435=3,VEHICLE!$R$5,IF(A435=4,VEHICLE!$P$5,1))))</f>
        <v>278.27536500000002</v>
      </c>
      <c r="L435" s="59">
        <f t="shared" si="127"/>
        <v>0</v>
      </c>
      <c r="M435" s="59">
        <f t="shared" si="121"/>
        <v>0</v>
      </c>
      <c r="N435" s="59">
        <f t="shared" si="114"/>
        <v>0</v>
      </c>
      <c r="O435" s="59">
        <f t="shared" si="115"/>
        <v>0</v>
      </c>
      <c r="P435" s="59">
        <f t="shared" si="116"/>
        <v>438.25118005521</v>
      </c>
      <c r="Q435" s="59">
        <f>IF(H435=1,I435*VEHICLE!$C$69,IF(H435=2,VEHICLE!$C$70*I435,IF(H435=3,VEHICLE!$C$71*I435,0)))</f>
        <v>0</v>
      </c>
      <c r="R435" s="59">
        <f>(J435+K435+O435+Q435)</f>
        <v>438.25118005521</v>
      </c>
      <c r="S435" s="59">
        <f t="shared" si="117"/>
        <v>438.25118005521</v>
      </c>
      <c r="T435" s="59">
        <f>ABS((R435)/((2*PI()*G435)/60))</f>
        <v>0.59785578532836803</v>
      </c>
      <c r="U435" s="59">
        <f t="shared" si="118"/>
        <v>1</v>
      </c>
      <c r="V435" s="59">
        <f>INDEX(BSFC!$D$4:$AD$26,MATCH(U435,BSFC!$B$4:$B$26,0),MATCH(G435,BSFC!$D$2:$AD$2,0))</f>
        <v>920.25590927999997</v>
      </c>
      <c r="W435" s="59">
        <f t="shared" si="122"/>
        <v>0.11202867727631674</v>
      </c>
      <c r="X435" s="59">
        <f t="shared" si="119"/>
        <v>0.11202867727631674</v>
      </c>
      <c r="Y435" s="59">
        <f t="shared" si="120"/>
        <v>0.34616861278381872</v>
      </c>
      <c r="Z435" s="79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x14ac:dyDescent="0.3">
      <c r="A436" s="55">
        <v>2</v>
      </c>
      <c r="B436" s="59" t="s">
        <v>108</v>
      </c>
      <c r="C436" s="59">
        <f t="shared" si="134"/>
        <v>433</v>
      </c>
      <c r="D436" s="59">
        <f t="shared" si="113"/>
        <v>29.998170000000002</v>
      </c>
      <c r="E436" s="59">
        <f t="shared" si="136"/>
        <v>13.41</v>
      </c>
      <c r="F436" s="91">
        <f>($C$4/E436)+F435</f>
        <v>55.182487837605294</v>
      </c>
      <c r="G436" s="59">
        <f t="shared" si="135"/>
        <v>7000</v>
      </c>
      <c r="H436" s="59">
        <v>3</v>
      </c>
      <c r="I436" s="91">
        <f>E436-E435</f>
        <v>0</v>
      </c>
      <c r="J436" s="59">
        <f>(0.5*VEHICLE!$C$71*VEHICLE!$C$28*VEHICLE!$C$27*'Drive Cycle'!E436^2)</f>
        <v>159.97581505520998</v>
      </c>
      <c r="K436" s="59">
        <f>IF(A436=1,VEHICLE!$S$5,IF(A436=2,VEHICLE!$Q$5,IF(A436=3,VEHICLE!$R$5,IF(A436=4,VEHICLE!$P$5,1))))</f>
        <v>278.27536500000002</v>
      </c>
      <c r="L436" s="59">
        <f t="shared" si="127"/>
        <v>0</v>
      </c>
      <c r="M436" s="59">
        <f t="shared" si="121"/>
        <v>0</v>
      </c>
      <c r="N436" s="59">
        <f t="shared" si="114"/>
        <v>0</v>
      </c>
      <c r="O436" s="59">
        <f t="shared" si="115"/>
        <v>0</v>
      </c>
      <c r="P436" s="59">
        <f t="shared" si="116"/>
        <v>438.25118005521</v>
      </c>
      <c r="Q436" s="59">
        <f>IF(H436=1,I436*VEHICLE!$C$69,IF(H436=2,VEHICLE!$C$70*I436,IF(H436=3,VEHICLE!$C$71*I436,0)))</f>
        <v>0</v>
      </c>
      <c r="R436" s="59">
        <f>(J436+K436+O436+Q436)</f>
        <v>438.25118005521</v>
      </c>
      <c r="S436" s="59">
        <f t="shared" si="117"/>
        <v>438.25118005521</v>
      </c>
      <c r="T436" s="59">
        <f>ABS((R436)/((2*PI()*G436)/60))</f>
        <v>0.59785578532836803</v>
      </c>
      <c r="U436" s="59">
        <f t="shared" si="118"/>
        <v>1</v>
      </c>
      <c r="V436" s="59">
        <f>INDEX(BSFC!$D$4:$AD$26,MATCH(U436,BSFC!$B$4:$B$26,0),MATCH(G436,BSFC!$D$2:$AD$2,0))</f>
        <v>920.25590927999997</v>
      </c>
      <c r="W436" s="59">
        <f t="shared" si="122"/>
        <v>0.11202867727631674</v>
      </c>
      <c r="X436" s="59">
        <f t="shared" si="119"/>
        <v>0.11202867727631674</v>
      </c>
      <c r="Y436" s="59">
        <f t="shared" si="120"/>
        <v>0.34616861278381872</v>
      </c>
      <c r="Z436" s="79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x14ac:dyDescent="0.3">
      <c r="A437" s="55">
        <v>2</v>
      </c>
      <c r="B437" s="59" t="s">
        <v>108</v>
      </c>
      <c r="C437" s="59">
        <f t="shared" si="134"/>
        <v>434</v>
      </c>
      <c r="D437" s="59">
        <f t="shared" si="113"/>
        <v>29.998170000000002</v>
      </c>
      <c r="E437" s="59">
        <f t="shared" si="136"/>
        <v>13.41</v>
      </c>
      <c r="F437" s="91">
        <f>($C$4/E437)+F436</f>
        <v>55.257059053116109</v>
      </c>
      <c r="G437" s="59">
        <f t="shared" si="135"/>
        <v>7000</v>
      </c>
      <c r="H437" s="59">
        <v>3</v>
      </c>
      <c r="I437" s="91">
        <f>E437-E436</f>
        <v>0</v>
      </c>
      <c r="J437" s="59">
        <f>(0.5*VEHICLE!$C$71*VEHICLE!$C$28*VEHICLE!$C$27*'Drive Cycle'!E437^2)</f>
        <v>159.97581505520998</v>
      </c>
      <c r="K437" s="59">
        <f>IF(A437=1,VEHICLE!$S$5,IF(A437=2,VEHICLE!$Q$5,IF(A437=3,VEHICLE!$R$5,IF(A437=4,VEHICLE!$P$5,1))))</f>
        <v>278.27536500000002</v>
      </c>
      <c r="L437" s="59">
        <f t="shared" si="127"/>
        <v>0</v>
      </c>
      <c r="M437" s="59">
        <f t="shared" si="121"/>
        <v>0</v>
      </c>
      <c r="N437" s="59">
        <f t="shared" si="114"/>
        <v>0</v>
      </c>
      <c r="O437" s="59">
        <f t="shared" si="115"/>
        <v>0</v>
      </c>
      <c r="P437" s="59">
        <f t="shared" si="116"/>
        <v>438.25118005521</v>
      </c>
      <c r="Q437" s="59">
        <f>IF(H437=1,I437*VEHICLE!$C$69,IF(H437=2,VEHICLE!$C$70*I437,IF(H437=3,VEHICLE!$C$71*I437,0)))</f>
        <v>0</v>
      </c>
      <c r="R437" s="59">
        <f>(J437+K437+O437+Q437)</f>
        <v>438.25118005521</v>
      </c>
      <c r="S437" s="59">
        <f t="shared" si="117"/>
        <v>438.25118005521</v>
      </c>
      <c r="T437" s="59">
        <f>ABS((R437)/((2*PI()*G437)/60))</f>
        <v>0.59785578532836803</v>
      </c>
      <c r="U437" s="59">
        <f t="shared" si="118"/>
        <v>1</v>
      </c>
      <c r="V437" s="59">
        <f>INDEX(BSFC!$D$4:$AD$26,MATCH(U437,BSFC!$B$4:$B$26,0),MATCH(G437,BSFC!$D$2:$AD$2,0))</f>
        <v>920.25590927999997</v>
      </c>
      <c r="W437" s="59">
        <f t="shared" si="122"/>
        <v>0.11202867727631674</v>
      </c>
      <c r="X437" s="59">
        <f t="shared" si="119"/>
        <v>0.11202867727631674</v>
      </c>
      <c r="Y437" s="59">
        <f t="shared" si="120"/>
        <v>0.34616861278381872</v>
      </c>
      <c r="Z437" s="79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x14ac:dyDescent="0.3">
      <c r="A438" s="55">
        <v>2</v>
      </c>
      <c r="B438" s="59" t="s">
        <v>108</v>
      </c>
      <c r="C438" s="59">
        <f t="shared" si="134"/>
        <v>435</v>
      </c>
      <c r="D438" s="59">
        <f t="shared" si="113"/>
        <v>29.998170000000002</v>
      </c>
      <c r="E438" s="59">
        <f t="shared" si="136"/>
        <v>13.41</v>
      </c>
      <c r="F438" s="91">
        <f>($C$4/E438)+F437</f>
        <v>55.331630268626924</v>
      </c>
      <c r="G438" s="59">
        <f t="shared" si="135"/>
        <v>7000</v>
      </c>
      <c r="H438" s="59">
        <v>3</v>
      </c>
      <c r="I438" s="91">
        <f>E438-E437</f>
        <v>0</v>
      </c>
      <c r="J438" s="59">
        <f>(0.5*VEHICLE!$C$71*VEHICLE!$C$28*VEHICLE!$C$27*'Drive Cycle'!E438^2)</f>
        <v>159.97581505520998</v>
      </c>
      <c r="K438" s="59">
        <f>IF(A438=1,VEHICLE!$S$5,IF(A438=2,VEHICLE!$Q$5,IF(A438=3,VEHICLE!$R$5,IF(A438=4,VEHICLE!$P$5,1))))</f>
        <v>278.27536500000002</v>
      </c>
      <c r="L438" s="59">
        <f t="shared" si="127"/>
        <v>0</v>
      </c>
      <c r="M438" s="59">
        <f t="shared" si="121"/>
        <v>0</v>
      </c>
      <c r="N438" s="59">
        <f t="shared" si="114"/>
        <v>0</v>
      </c>
      <c r="O438" s="59">
        <f t="shared" si="115"/>
        <v>0</v>
      </c>
      <c r="P438" s="59">
        <f t="shared" si="116"/>
        <v>438.25118005521</v>
      </c>
      <c r="Q438" s="59">
        <f>IF(H438=1,I438*VEHICLE!$C$69,IF(H438=2,VEHICLE!$C$70*I438,IF(H438=3,VEHICLE!$C$71*I438,0)))</f>
        <v>0</v>
      </c>
      <c r="R438" s="59">
        <f>(J438+K438+O438+Q438)</f>
        <v>438.25118005521</v>
      </c>
      <c r="S438" s="59">
        <f t="shared" si="117"/>
        <v>438.25118005521</v>
      </c>
      <c r="T438" s="59">
        <f>ABS((R438)/((2*PI()*G438)/60))</f>
        <v>0.59785578532836803</v>
      </c>
      <c r="U438" s="59">
        <f t="shared" si="118"/>
        <v>1</v>
      </c>
      <c r="V438" s="59">
        <f>INDEX(BSFC!$D$4:$AD$26,MATCH(U438,BSFC!$B$4:$B$26,0),MATCH(G438,BSFC!$D$2:$AD$2,0))</f>
        <v>920.25590927999997</v>
      </c>
      <c r="W438" s="59">
        <f t="shared" si="122"/>
        <v>0.11202867727631674</v>
      </c>
      <c r="X438" s="59">
        <f t="shared" si="119"/>
        <v>0.11202867727631674</v>
      </c>
      <c r="Y438" s="59">
        <f t="shared" si="120"/>
        <v>0.34616861278381872</v>
      </c>
      <c r="Z438" s="79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x14ac:dyDescent="0.3">
      <c r="A439" s="55">
        <v>2</v>
      </c>
      <c r="B439" s="59" t="s">
        <v>108</v>
      </c>
      <c r="C439" s="59">
        <f t="shared" si="134"/>
        <v>436</v>
      </c>
      <c r="D439" s="59">
        <f t="shared" si="113"/>
        <v>29.998170000000002</v>
      </c>
      <c r="E439" s="59">
        <f t="shared" si="136"/>
        <v>13.41</v>
      </c>
      <c r="F439" s="91">
        <f>($C$4/E439)+F438</f>
        <v>55.406201484137739</v>
      </c>
      <c r="G439" s="59">
        <f t="shared" si="135"/>
        <v>7000</v>
      </c>
      <c r="H439" s="59">
        <v>3</v>
      </c>
      <c r="I439" s="91">
        <f>E439-E438</f>
        <v>0</v>
      </c>
      <c r="J439" s="59">
        <f>(0.5*VEHICLE!$C$71*VEHICLE!$C$28*VEHICLE!$C$27*'Drive Cycle'!E439^2)</f>
        <v>159.97581505520998</v>
      </c>
      <c r="K439" s="59">
        <f>IF(A439=1,VEHICLE!$S$5,IF(A439=2,VEHICLE!$Q$5,IF(A439=3,VEHICLE!$R$5,IF(A439=4,VEHICLE!$P$5,1))))</f>
        <v>278.27536500000002</v>
      </c>
      <c r="L439" s="59">
        <f t="shared" si="127"/>
        <v>0</v>
      </c>
      <c r="M439" s="59">
        <f t="shared" si="121"/>
        <v>0</v>
      </c>
      <c r="N439" s="59">
        <f t="shared" si="114"/>
        <v>0</v>
      </c>
      <c r="O439" s="59">
        <f t="shared" si="115"/>
        <v>0</v>
      </c>
      <c r="P439" s="59">
        <f t="shared" si="116"/>
        <v>438.25118005521</v>
      </c>
      <c r="Q439" s="59">
        <f>IF(H439=1,I439*VEHICLE!$C$69,IF(H439=2,VEHICLE!$C$70*I439,IF(H439=3,VEHICLE!$C$71*I439,0)))</f>
        <v>0</v>
      </c>
      <c r="R439" s="59">
        <f>(J439+K439+O439+Q439)</f>
        <v>438.25118005521</v>
      </c>
      <c r="S439" s="59">
        <f t="shared" si="117"/>
        <v>438.25118005521</v>
      </c>
      <c r="T439" s="59">
        <f>ABS((R439)/((2*PI()*G439)/60))</f>
        <v>0.59785578532836803</v>
      </c>
      <c r="U439" s="59">
        <f t="shared" si="118"/>
        <v>1</v>
      </c>
      <c r="V439" s="59">
        <f>INDEX(BSFC!$D$4:$AD$26,MATCH(U439,BSFC!$B$4:$B$26,0),MATCH(G439,BSFC!$D$2:$AD$2,0))</f>
        <v>920.25590927999997</v>
      </c>
      <c r="W439" s="59">
        <f t="shared" si="122"/>
        <v>0.11202867727631674</v>
      </c>
      <c r="X439" s="59">
        <f t="shared" si="119"/>
        <v>0.11202867727631674</v>
      </c>
      <c r="Y439" s="59">
        <f t="shared" si="120"/>
        <v>0.34616861278381872</v>
      </c>
      <c r="Z439" s="79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x14ac:dyDescent="0.3">
      <c r="A440" s="55">
        <v>2</v>
      </c>
      <c r="B440" s="59" t="s">
        <v>108</v>
      </c>
      <c r="C440" s="59">
        <f t="shared" si="134"/>
        <v>437</v>
      </c>
      <c r="D440" s="59">
        <f t="shared" si="113"/>
        <v>29.998170000000002</v>
      </c>
      <c r="E440" s="59">
        <f t="shared" si="136"/>
        <v>13.41</v>
      </c>
      <c r="F440" s="91">
        <f>($C$4/E440)+F439</f>
        <v>55.480772699648554</v>
      </c>
      <c r="G440" s="59">
        <f t="shared" si="135"/>
        <v>7000</v>
      </c>
      <c r="H440" s="59">
        <v>3</v>
      </c>
      <c r="I440" s="91">
        <f>E440-E439</f>
        <v>0</v>
      </c>
      <c r="J440" s="59">
        <f>(0.5*VEHICLE!$C$71*VEHICLE!$C$28*VEHICLE!$C$27*'Drive Cycle'!E440^2)</f>
        <v>159.97581505520998</v>
      </c>
      <c r="K440" s="59">
        <f>IF(A440=1,VEHICLE!$S$5,IF(A440=2,VEHICLE!$Q$5,IF(A440=3,VEHICLE!$R$5,IF(A440=4,VEHICLE!$P$5,1))))</f>
        <v>278.27536500000002</v>
      </c>
      <c r="L440" s="59">
        <f t="shared" si="127"/>
        <v>0</v>
      </c>
      <c r="M440" s="59">
        <f t="shared" si="121"/>
        <v>0</v>
      </c>
      <c r="N440" s="59">
        <f t="shared" si="114"/>
        <v>0</v>
      </c>
      <c r="O440" s="59">
        <f t="shared" si="115"/>
        <v>0</v>
      </c>
      <c r="P440" s="59">
        <f t="shared" si="116"/>
        <v>438.25118005521</v>
      </c>
      <c r="Q440" s="59">
        <f>IF(H440=1,I440*VEHICLE!$C$69,IF(H440=2,VEHICLE!$C$70*I440,IF(H440=3,VEHICLE!$C$71*I440,0)))</f>
        <v>0</v>
      </c>
      <c r="R440" s="59">
        <f>(J440+K440+O440+Q440)</f>
        <v>438.25118005521</v>
      </c>
      <c r="S440" s="59">
        <f t="shared" si="117"/>
        <v>438.25118005521</v>
      </c>
      <c r="T440" s="59">
        <f>ABS((R440)/((2*PI()*G440)/60))</f>
        <v>0.59785578532836803</v>
      </c>
      <c r="U440" s="59">
        <f t="shared" si="118"/>
        <v>1</v>
      </c>
      <c r="V440" s="59">
        <f>INDEX(BSFC!$D$4:$AD$26,MATCH(U440,BSFC!$B$4:$B$26,0),MATCH(G440,BSFC!$D$2:$AD$2,0))</f>
        <v>920.25590927999997</v>
      </c>
      <c r="W440" s="59">
        <f t="shared" si="122"/>
        <v>0.11202867727631674</v>
      </c>
      <c r="X440" s="59">
        <f t="shared" si="119"/>
        <v>0.11202867727631674</v>
      </c>
      <c r="Y440" s="59">
        <f t="shared" si="120"/>
        <v>0.34616861278381872</v>
      </c>
      <c r="Z440" s="79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x14ac:dyDescent="0.3">
      <c r="A441" s="55">
        <v>2</v>
      </c>
      <c r="B441" s="59" t="s">
        <v>108</v>
      </c>
      <c r="C441" s="59">
        <f t="shared" si="134"/>
        <v>438</v>
      </c>
      <c r="D441" s="59">
        <f t="shared" si="113"/>
        <v>29.998170000000002</v>
      </c>
      <c r="E441" s="59">
        <f t="shared" si="136"/>
        <v>13.41</v>
      </c>
      <c r="F441" s="91">
        <f>($C$4/E441)+F440</f>
        <v>55.555343915159369</v>
      </c>
      <c r="G441" s="59">
        <f t="shared" si="135"/>
        <v>7000</v>
      </c>
      <c r="H441" s="59">
        <v>3</v>
      </c>
      <c r="I441" s="91">
        <f>E441-E440</f>
        <v>0</v>
      </c>
      <c r="J441" s="59">
        <f>(0.5*VEHICLE!$C$71*VEHICLE!$C$28*VEHICLE!$C$27*'Drive Cycle'!E441^2)</f>
        <v>159.97581505520998</v>
      </c>
      <c r="K441" s="59">
        <f>IF(A441=1,VEHICLE!$S$5,IF(A441=2,VEHICLE!$Q$5,IF(A441=3,VEHICLE!$R$5,IF(A441=4,VEHICLE!$P$5,1))))</f>
        <v>278.27536500000002</v>
      </c>
      <c r="L441" s="59">
        <f t="shared" si="127"/>
        <v>0</v>
      </c>
      <c r="M441" s="59">
        <f t="shared" si="121"/>
        <v>0</v>
      </c>
      <c r="N441" s="59">
        <f t="shared" si="114"/>
        <v>0</v>
      </c>
      <c r="O441" s="59">
        <f t="shared" si="115"/>
        <v>0</v>
      </c>
      <c r="P441" s="59">
        <f t="shared" si="116"/>
        <v>438.25118005521</v>
      </c>
      <c r="Q441" s="59">
        <f>IF(H441=1,I441*VEHICLE!$C$69,IF(H441=2,VEHICLE!$C$70*I441,IF(H441=3,VEHICLE!$C$71*I441,0)))</f>
        <v>0</v>
      </c>
      <c r="R441" s="59">
        <f>(J441+K441+O441+Q441)</f>
        <v>438.25118005521</v>
      </c>
      <c r="S441" s="59">
        <f t="shared" si="117"/>
        <v>438.25118005521</v>
      </c>
      <c r="T441" s="59">
        <f>ABS((R441)/((2*PI()*G441)/60))</f>
        <v>0.59785578532836803</v>
      </c>
      <c r="U441" s="59">
        <f t="shared" si="118"/>
        <v>1</v>
      </c>
      <c r="V441" s="59">
        <f>INDEX(BSFC!$D$4:$AD$26,MATCH(U441,BSFC!$B$4:$B$26,0),MATCH(G441,BSFC!$D$2:$AD$2,0))</f>
        <v>920.25590927999997</v>
      </c>
      <c r="W441" s="59">
        <f t="shared" si="122"/>
        <v>0.11202867727631674</v>
      </c>
      <c r="X441" s="59">
        <f t="shared" si="119"/>
        <v>0.11202867727631674</v>
      </c>
      <c r="Y441" s="59">
        <f t="shared" si="120"/>
        <v>0.34616861278381872</v>
      </c>
      <c r="Z441" s="79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x14ac:dyDescent="0.3">
      <c r="A442" s="55">
        <v>2</v>
      </c>
      <c r="B442" s="59" t="s">
        <v>108</v>
      </c>
      <c r="C442" s="59">
        <f t="shared" si="134"/>
        <v>439</v>
      </c>
      <c r="D442" s="59">
        <f t="shared" si="113"/>
        <v>29.998170000000002</v>
      </c>
      <c r="E442" s="59">
        <f t="shared" si="136"/>
        <v>13.41</v>
      </c>
      <c r="F442" s="91">
        <f>($C$4/E442)+F441</f>
        <v>55.629915130670184</v>
      </c>
      <c r="G442" s="59">
        <f t="shared" si="135"/>
        <v>7000</v>
      </c>
      <c r="H442" s="59">
        <v>3</v>
      </c>
      <c r="I442" s="91">
        <f>E442-E441</f>
        <v>0</v>
      </c>
      <c r="J442" s="59">
        <f>(0.5*VEHICLE!$C$71*VEHICLE!$C$28*VEHICLE!$C$27*'Drive Cycle'!E442^2)</f>
        <v>159.97581505520998</v>
      </c>
      <c r="K442" s="59">
        <f>IF(A442=1,VEHICLE!$S$5,IF(A442=2,VEHICLE!$Q$5,IF(A442=3,VEHICLE!$R$5,IF(A442=4,VEHICLE!$P$5,1))))</f>
        <v>278.27536500000002</v>
      </c>
      <c r="L442" s="59">
        <f t="shared" si="127"/>
        <v>0</v>
      </c>
      <c r="M442" s="59">
        <f t="shared" si="121"/>
        <v>0</v>
      </c>
      <c r="N442" s="59">
        <f t="shared" si="114"/>
        <v>0</v>
      </c>
      <c r="O442" s="59">
        <f t="shared" si="115"/>
        <v>0</v>
      </c>
      <c r="P442" s="59">
        <f t="shared" si="116"/>
        <v>438.25118005521</v>
      </c>
      <c r="Q442" s="59">
        <f>IF(H442=1,I442*VEHICLE!$C$69,IF(H442=2,VEHICLE!$C$70*I442,IF(H442=3,VEHICLE!$C$71*I442,0)))</f>
        <v>0</v>
      </c>
      <c r="R442" s="59">
        <f>(J442+K442+O442+Q442)</f>
        <v>438.25118005521</v>
      </c>
      <c r="S442" s="59">
        <f t="shared" si="117"/>
        <v>438.25118005521</v>
      </c>
      <c r="T442" s="59">
        <f>ABS((R442)/((2*PI()*G442)/60))</f>
        <v>0.59785578532836803</v>
      </c>
      <c r="U442" s="59">
        <f t="shared" si="118"/>
        <v>1</v>
      </c>
      <c r="V442" s="59">
        <f>INDEX(BSFC!$D$4:$AD$26,MATCH(U442,BSFC!$B$4:$B$26,0),MATCH(G442,BSFC!$D$2:$AD$2,0))</f>
        <v>920.25590927999997</v>
      </c>
      <c r="W442" s="59">
        <f t="shared" si="122"/>
        <v>0.11202867727631674</v>
      </c>
      <c r="X442" s="59">
        <f t="shared" si="119"/>
        <v>0.11202867727631674</v>
      </c>
      <c r="Y442" s="59">
        <f t="shared" si="120"/>
        <v>0.34616861278381872</v>
      </c>
      <c r="Z442" s="79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x14ac:dyDescent="0.3">
      <c r="A443" s="55">
        <v>2</v>
      </c>
      <c r="B443" s="59" t="s">
        <v>108</v>
      </c>
      <c r="C443" s="59">
        <f t="shared" si="134"/>
        <v>440</v>
      </c>
      <c r="D443" s="59">
        <f t="shared" si="113"/>
        <v>29.998170000000002</v>
      </c>
      <c r="E443" s="59">
        <f t="shared" si="136"/>
        <v>13.41</v>
      </c>
      <c r="F443" s="91">
        <f>($C$4/E443)+F442</f>
        <v>55.704486346181</v>
      </c>
      <c r="G443" s="59">
        <f t="shared" si="135"/>
        <v>7000</v>
      </c>
      <c r="H443" s="59">
        <v>3</v>
      </c>
      <c r="I443" s="91">
        <f>E443-E442</f>
        <v>0</v>
      </c>
      <c r="J443" s="59">
        <f>(0.5*VEHICLE!$C$71*VEHICLE!$C$28*VEHICLE!$C$27*'Drive Cycle'!E443^2)</f>
        <v>159.97581505520998</v>
      </c>
      <c r="K443" s="59">
        <f>IF(A443=1,VEHICLE!$S$5,IF(A443=2,VEHICLE!$Q$5,IF(A443=3,VEHICLE!$R$5,IF(A443=4,VEHICLE!$P$5,1))))</f>
        <v>278.27536500000002</v>
      </c>
      <c r="L443" s="59">
        <f t="shared" si="127"/>
        <v>0</v>
      </c>
      <c r="M443" s="59">
        <f t="shared" si="121"/>
        <v>0</v>
      </c>
      <c r="N443" s="59">
        <f t="shared" si="114"/>
        <v>0</v>
      </c>
      <c r="O443" s="59">
        <f t="shared" si="115"/>
        <v>0</v>
      </c>
      <c r="P443" s="59">
        <f t="shared" si="116"/>
        <v>438.25118005521</v>
      </c>
      <c r="Q443" s="59">
        <f>IF(H443=1,I443*VEHICLE!$C$69,IF(H443=2,VEHICLE!$C$70*I443,IF(H443=3,VEHICLE!$C$71*I443,0)))</f>
        <v>0</v>
      </c>
      <c r="R443" s="59">
        <f>(J443+K443+O443+Q443)</f>
        <v>438.25118005521</v>
      </c>
      <c r="S443" s="59">
        <f t="shared" si="117"/>
        <v>438.25118005521</v>
      </c>
      <c r="T443" s="59">
        <f>ABS((R443)/((2*PI()*G443)/60))</f>
        <v>0.59785578532836803</v>
      </c>
      <c r="U443" s="59">
        <f t="shared" si="118"/>
        <v>1</v>
      </c>
      <c r="V443" s="59">
        <f>INDEX(BSFC!$D$4:$AD$26,MATCH(U443,BSFC!$B$4:$B$26,0),MATCH(G443,BSFC!$D$2:$AD$2,0))</f>
        <v>920.25590927999997</v>
      </c>
      <c r="W443" s="59">
        <f t="shared" si="122"/>
        <v>0.11202867727631674</v>
      </c>
      <c r="X443" s="59">
        <f t="shared" si="119"/>
        <v>0.11202867727631674</v>
      </c>
      <c r="Y443" s="59">
        <f t="shared" si="120"/>
        <v>0.34616861278381872</v>
      </c>
      <c r="Z443" s="79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x14ac:dyDescent="0.3">
      <c r="A444" s="55">
        <v>2</v>
      </c>
      <c r="B444" s="59" t="s">
        <v>108</v>
      </c>
      <c r="C444" s="59">
        <f t="shared" si="134"/>
        <v>441</v>
      </c>
      <c r="D444" s="59">
        <f t="shared" si="113"/>
        <v>29.998170000000002</v>
      </c>
      <c r="E444" s="59">
        <f t="shared" si="136"/>
        <v>13.41</v>
      </c>
      <c r="F444" s="91">
        <f>($C$4/E444)+F443</f>
        <v>55.779057561691815</v>
      </c>
      <c r="G444" s="59">
        <f t="shared" si="135"/>
        <v>7000</v>
      </c>
      <c r="H444" s="59">
        <v>3</v>
      </c>
      <c r="I444" s="91">
        <f>E444-E443</f>
        <v>0</v>
      </c>
      <c r="J444" s="59">
        <f>(0.5*VEHICLE!$C$71*VEHICLE!$C$28*VEHICLE!$C$27*'Drive Cycle'!E444^2)</f>
        <v>159.97581505520998</v>
      </c>
      <c r="K444" s="59">
        <f>IF(A444=1,VEHICLE!$S$5,IF(A444=2,VEHICLE!$Q$5,IF(A444=3,VEHICLE!$R$5,IF(A444=4,VEHICLE!$P$5,1))))</f>
        <v>278.27536500000002</v>
      </c>
      <c r="L444" s="59">
        <f t="shared" si="127"/>
        <v>0</v>
      </c>
      <c r="M444" s="59">
        <f t="shared" si="121"/>
        <v>0</v>
      </c>
      <c r="N444" s="59">
        <f t="shared" si="114"/>
        <v>0</v>
      </c>
      <c r="O444" s="59">
        <f t="shared" si="115"/>
        <v>0</v>
      </c>
      <c r="P444" s="59">
        <f t="shared" si="116"/>
        <v>438.25118005521</v>
      </c>
      <c r="Q444" s="59">
        <f>IF(H444=1,I444*VEHICLE!$C$69,IF(H444=2,VEHICLE!$C$70*I444,IF(H444=3,VEHICLE!$C$71*I444,0)))</f>
        <v>0</v>
      </c>
      <c r="R444" s="59">
        <f>(J444+K444+O444+Q444)</f>
        <v>438.25118005521</v>
      </c>
      <c r="S444" s="59">
        <f t="shared" si="117"/>
        <v>438.25118005521</v>
      </c>
      <c r="T444" s="59">
        <f>ABS((R444)/((2*PI()*G444)/60))</f>
        <v>0.59785578532836803</v>
      </c>
      <c r="U444" s="59">
        <f t="shared" si="118"/>
        <v>1</v>
      </c>
      <c r="V444" s="59">
        <f>INDEX(BSFC!$D$4:$AD$26,MATCH(U444,BSFC!$B$4:$B$26,0),MATCH(G444,BSFC!$D$2:$AD$2,0))</f>
        <v>920.25590927999997</v>
      </c>
      <c r="W444" s="59">
        <f t="shared" si="122"/>
        <v>0.11202867727631674</v>
      </c>
      <c r="X444" s="59">
        <f t="shared" si="119"/>
        <v>0.11202867727631674</v>
      </c>
      <c r="Y444" s="59">
        <f t="shared" si="120"/>
        <v>0.34616861278381872</v>
      </c>
      <c r="Z444" s="79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x14ac:dyDescent="0.3">
      <c r="A445" s="55">
        <v>2</v>
      </c>
      <c r="B445" s="59" t="s">
        <v>108</v>
      </c>
      <c r="C445" s="59">
        <f t="shared" si="134"/>
        <v>442</v>
      </c>
      <c r="D445" s="59">
        <f t="shared" si="113"/>
        <v>29.998170000000002</v>
      </c>
      <c r="E445" s="59">
        <f>E444</f>
        <v>13.41</v>
      </c>
      <c r="F445" s="91">
        <f>($C$4/E445)+F444</f>
        <v>55.85362877720263</v>
      </c>
      <c r="G445" s="59">
        <f t="shared" si="135"/>
        <v>7000</v>
      </c>
      <c r="H445" s="59">
        <v>3</v>
      </c>
      <c r="I445" s="91">
        <f>E445-E444</f>
        <v>0</v>
      </c>
      <c r="J445" s="59">
        <f>(0.5*VEHICLE!$C$71*VEHICLE!$C$28*VEHICLE!$C$27*'Drive Cycle'!E445^2)</f>
        <v>159.97581505520998</v>
      </c>
      <c r="K445" s="59">
        <f>IF(A445=1,VEHICLE!$S$5,IF(A445=2,VEHICLE!$Q$5,IF(A445=3,VEHICLE!$R$5,IF(A445=4,VEHICLE!$P$5,1))))</f>
        <v>278.27536500000002</v>
      </c>
      <c r="L445" s="59">
        <f t="shared" si="127"/>
        <v>0</v>
      </c>
      <c r="M445" s="59">
        <f t="shared" si="121"/>
        <v>0</v>
      </c>
      <c r="N445" s="59">
        <f t="shared" si="114"/>
        <v>0</v>
      </c>
      <c r="O445" s="59">
        <f t="shared" si="115"/>
        <v>0</v>
      </c>
      <c r="P445" s="59">
        <f t="shared" si="116"/>
        <v>438.25118005521</v>
      </c>
      <c r="Q445" s="59">
        <f>IF(H445=1,I445*VEHICLE!$C$69,IF(H445=2,VEHICLE!$C$70*I445,IF(H445=3,VEHICLE!$C$71*I445,0)))</f>
        <v>0</v>
      </c>
      <c r="R445" s="59">
        <f>(J445+K445+O445+Q445)</f>
        <v>438.25118005521</v>
      </c>
      <c r="S445" s="59">
        <f t="shared" si="117"/>
        <v>438.25118005521</v>
      </c>
      <c r="T445" s="59">
        <f>ABS((R445)/((2*PI()*G445)/60))</f>
        <v>0.59785578532836803</v>
      </c>
      <c r="U445" s="59">
        <f t="shared" si="118"/>
        <v>1</v>
      </c>
      <c r="V445" s="59">
        <f>INDEX(BSFC!$D$4:$AD$26,MATCH(U445,BSFC!$B$4:$B$26,0),MATCH(G445,BSFC!$D$2:$AD$2,0))</f>
        <v>920.25590927999997</v>
      </c>
      <c r="W445" s="59">
        <f t="shared" si="122"/>
        <v>0.11202867727631674</v>
      </c>
      <c r="X445" s="59">
        <f t="shared" si="119"/>
        <v>0.11202867727631674</v>
      </c>
      <c r="Y445" s="59">
        <f t="shared" si="120"/>
        <v>0.34616861278381872</v>
      </c>
      <c r="Z445" s="79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x14ac:dyDescent="0.3">
      <c r="A446" s="55">
        <v>2</v>
      </c>
      <c r="B446" s="59" t="s">
        <v>108</v>
      </c>
      <c r="C446" s="59">
        <f t="shared" si="134"/>
        <v>443</v>
      </c>
      <c r="D446" s="59">
        <f t="shared" si="113"/>
        <v>29.998170000000002</v>
      </c>
      <c r="E446" s="59">
        <f t="shared" si="136"/>
        <v>13.41</v>
      </c>
      <c r="F446" s="91">
        <f>($C$4/E446)+F445</f>
        <v>55.928199992713445</v>
      </c>
      <c r="G446" s="59">
        <f t="shared" si="135"/>
        <v>7000</v>
      </c>
      <c r="H446" s="59">
        <v>3</v>
      </c>
      <c r="I446" s="91">
        <f>E446-E445</f>
        <v>0</v>
      </c>
      <c r="J446" s="59">
        <f>(0.5*VEHICLE!$C$71*VEHICLE!$C$28*VEHICLE!$C$27*'Drive Cycle'!E446^2)</f>
        <v>159.97581505520998</v>
      </c>
      <c r="K446" s="59">
        <f>IF(A446=1,VEHICLE!$S$5,IF(A446=2,VEHICLE!$Q$5,IF(A446=3,VEHICLE!$R$5,IF(A446=4,VEHICLE!$P$5,1))))</f>
        <v>278.27536500000002</v>
      </c>
      <c r="L446" s="59">
        <f t="shared" si="127"/>
        <v>0</v>
      </c>
      <c r="M446" s="59">
        <f t="shared" si="121"/>
        <v>0</v>
      </c>
      <c r="N446" s="59">
        <f t="shared" si="114"/>
        <v>0</v>
      </c>
      <c r="O446" s="59">
        <f t="shared" si="115"/>
        <v>0</v>
      </c>
      <c r="P446" s="59">
        <f t="shared" si="116"/>
        <v>438.25118005521</v>
      </c>
      <c r="Q446" s="59">
        <f>IF(H446=1,I446*VEHICLE!$C$69,IF(H446=2,VEHICLE!$C$70*I446,IF(H446=3,VEHICLE!$C$71*I446,0)))</f>
        <v>0</v>
      </c>
      <c r="R446" s="59">
        <f>(J446+K446+O446+Q446)</f>
        <v>438.25118005521</v>
      </c>
      <c r="S446" s="59">
        <f t="shared" si="117"/>
        <v>438.25118005521</v>
      </c>
      <c r="T446" s="59">
        <f>ABS((R446)/((2*PI()*G446)/60))</f>
        <v>0.59785578532836803</v>
      </c>
      <c r="U446" s="59">
        <f t="shared" si="118"/>
        <v>1</v>
      </c>
      <c r="V446" s="59">
        <f>INDEX(BSFC!$D$4:$AD$26,MATCH(U446,BSFC!$B$4:$B$26,0),MATCH(G446,BSFC!$D$2:$AD$2,0))</f>
        <v>920.25590927999997</v>
      </c>
      <c r="W446" s="59">
        <f t="shared" si="122"/>
        <v>0.11202867727631674</v>
      </c>
      <c r="X446" s="59">
        <f t="shared" si="119"/>
        <v>0.11202867727631674</v>
      </c>
      <c r="Y446" s="59">
        <f t="shared" si="120"/>
        <v>0.34616861278381872</v>
      </c>
      <c r="Z446" s="79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x14ac:dyDescent="0.3">
      <c r="A447" s="55">
        <v>2</v>
      </c>
      <c r="B447" s="59" t="s">
        <v>108</v>
      </c>
      <c r="C447" s="59">
        <f t="shared" si="134"/>
        <v>444</v>
      </c>
      <c r="D447" s="59">
        <f t="shared" si="113"/>
        <v>29.998170000000002</v>
      </c>
      <c r="E447" s="59">
        <f t="shared" si="136"/>
        <v>13.41</v>
      </c>
      <c r="F447" s="91">
        <f>($C$4/E447)+F446</f>
        <v>56.00277120822426</v>
      </c>
      <c r="G447" s="59">
        <f t="shared" si="135"/>
        <v>7000</v>
      </c>
      <c r="H447" s="59">
        <v>3</v>
      </c>
      <c r="I447" s="91">
        <f>E447-E446</f>
        <v>0</v>
      </c>
      <c r="J447" s="59">
        <f>(0.5*VEHICLE!$C$71*VEHICLE!$C$28*VEHICLE!$C$27*'Drive Cycle'!E447^2)</f>
        <v>159.97581505520998</v>
      </c>
      <c r="K447" s="59">
        <f>IF(A447=1,VEHICLE!$S$5,IF(A447=2,VEHICLE!$Q$5,IF(A447=3,VEHICLE!$R$5,IF(A447=4,VEHICLE!$P$5,1))))</f>
        <v>278.27536500000002</v>
      </c>
      <c r="L447" s="59">
        <f t="shared" si="127"/>
        <v>0</v>
      </c>
      <c r="M447" s="59">
        <f t="shared" si="121"/>
        <v>0</v>
      </c>
      <c r="N447" s="59">
        <f t="shared" si="114"/>
        <v>0</v>
      </c>
      <c r="O447" s="59">
        <f t="shared" si="115"/>
        <v>0</v>
      </c>
      <c r="P447" s="59">
        <f t="shared" si="116"/>
        <v>438.25118005521</v>
      </c>
      <c r="Q447" s="59">
        <f>IF(H447=1,I447*VEHICLE!$C$69,IF(H447=2,VEHICLE!$C$70*I447,IF(H447=3,VEHICLE!$C$71*I447,0)))</f>
        <v>0</v>
      </c>
      <c r="R447" s="59">
        <f>(J447+K447+O447+Q447)</f>
        <v>438.25118005521</v>
      </c>
      <c r="S447" s="59">
        <f t="shared" si="117"/>
        <v>438.25118005521</v>
      </c>
      <c r="T447" s="59">
        <f>ABS((R447)/((2*PI()*G447)/60))</f>
        <v>0.59785578532836803</v>
      </c>
      <c r="U447" s="59">
        <f t="shared" si="118"/>
        <v>1</v>
      </c>
      <c r="V447" s="59">
        <f>INDEX(BSFC!$D$4:$AD$26,MATCH(U447,BSFC!$B$4:$B$26,0),MATCH(G447,BSFC!$D$2:$AD$2,0))</f>
        <v>920.25590927999997</v>
      </c>
      <c r="W447" s="59">
        <f t="shared" si="122"/>
        <v>0.11202867727631674</v>
      </c>
      <c r="X447" s="59">
        <f t="shared" si="119"/>
        <v>0.11202867727631674</v>
      </c>
      <c r="Y447" s="59">
        <f t="shared" si="120"/>
        <v>0.34616861278381872</v>
      </c>
      <c r="Z447" s="79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x14ac:dyDescent="0.3">
      <c r="A448" s="55">
        <v>2</v>
      </c>
      <c r="B448" s="59" t="s">
        <v>108</v>
      </c>
      <c r="C448" s="59">
        <f t="shared" si="134"/>
        <v>445</v>
      </c>
      <c r="D448" s="59">
        <f t="shared" si="113"/>
        <v>29.998170000000002</v>
      </c>
      <c r="E448" s="59">
        <f t="shared" si="136"/>
        <v>13.41</v>
      </c>
      <c r="F448" s="91">
        <f>($C$4/E448)+F447</f>
        <v>56.077342423735075</v>
      </c>
      <c r="G448" s="59">
        <f t="shared" si="135"/>
        <v>7000</v>
      </c>
      <c r="H448" s="59">
        <v>3</v>
      </c>
      <c r="I448" s="91">
        <f>E448-E447</f>
        <v>0</v>
      </c>
      <c r="J448" s="59">
        <f>(0.5*VEHICLE!$C$71*VEHICLE!$C$28*VEHICLE!$C$27*'Drive Cycle'!E448^2)</f>
        <v>159.97581505520998</v>
      </c>
      <c r="K448" s="59">
        <f>IF(A448=1,VEHICLE!$S$5,IF(A448=2,VEHICLE!$Q$5,IF(A448=3,VEHICLE!$R$5,IF(A448=4,VEHICLE!$P$5,1))))</f>
        <v>278.27536500000002</v>
      </c>
      <c r="L448" s="59">
        <f t="shared" si="127"/>
        <v>0</v>
      </c>
      <c r="M448" s="59">
        <f t="shared" si="121"/>
        <v>0</v>
      </c>
      <c r="N448" s="59">
        <f t="shared" si="114"/>
        <v>0</v>
      </c>
      <c r="O448" s="59">
        <f t="shared" si="115"/>
        <v>0</v>
      </c>
      <c r="P448" s="59">
        <f t="shared" si="116"/>
        <v>438.25118005521</v>
      </c>
      <c r="Q448" s="59">
        <f>IF(H448=1,I448*VEHICLE!$C$69,IF(H448=2,VEHICLE!$C$70*I448,IF(H448=3,VEHICLE!$C$71*I448,0)))</f>
        <v>0</v>
      </c>
      <c r="R448" s="59">
        <f>(J448+K448+O448+Q448)</f>
        <v>438.25118005521</v>
      </c>
      <c r="S448" s="59">
        <f t="shared" si="117"/>
        <v>438.25118005521</v>
      </c>
      <c r="T448" s="59">
        <f>ABS((R448)/((2*PI()*G448)/60))</f>
        <v>0.59785578532836803</v>
      </c>
      <c r="U448" s="59">
        <f t="shared" si="118"/>
        <v>1</v>
      </c>
      <c r="V448" s="59">
        <f>INDEX(BSFC!$D$4:$AD$26,MATCH(U448,BSFC!$B$4:$B$26,0),MATCH(G448,BSFC!$D$2:$AD$2,0))</f>
        <v>920.25590927999997</v>
      </c>
      <c r="W448" s="59">
        <f t="shared" si="122"/>
        <v>0.11202867727631674</v>
      </c>
      <c r="X448" s="59">
        <f t="shared" si="119"/>
        <v>0.11202867727631674</v>
      </c>
      <c r="Y448" s="59">
        <f t="shared" si="120"/>
        <v>0.34616861278381872</v>
      </c>
      <c r="Z448" s="79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x14ac:dyDescent="0.3">
      <c r="A449" s="55">
        <v>2</v>
      </c>
      <c r="B449" s="59" t="s">
        <v>108</v>
      </c>
      <c r="C449" s="59">
        <f t="shared" si="134"/>
        <v>446</v>
      </c>
      <c r="D449" s="59">
        <f t="shared" si="113"/>
        <v>29.998170000000002</v>
      </c>
      <c r="E449" s="59">
        <f t="shared" si="136"/>
        <v>13.41</v>
      </c>
      <c r="F449" s="91">
        <f>($C$4/E449)+F448</f>
        <v>56.15191363924589</v>
      </c>
      <c r="G449" s="59">
        <f t="shared" si="135"/>
        <v>7000</v>
      </c>
      <c r="H449" s="59">
        <v>3</v>
      </c>
      <c r="I449" s="91">
        <f>E449-E448</f>
        <v>0</v>
      </c>
      <c r="J449" s="59">
        <f>(0.5*VEHICLE!$C$71*VEHICLE!$C$28*VEHICLE!$C$27*'Drive Cycle'!E449^2)</f>
        <v>159.97581505520998</v>
      </c>
      <c r="K449" s="59">
        <f>IF(A449=1,VEHICLE!$S$5,IF(A449=2,VEHICLE!$Q$5,IF(A449=3,VEHICLE!$R$5,IF(A449=4,VEHICLE!$P$5,1))))</f>
        <v>278.27536500000002</v>
      </c>
      <c r="L449" s="59">
        <f t="shared" si="127"/>
        <v>0</v>
      </c>
      <c r="M449" s="59">
        <f t="shared" si="121"/>
        <v>0</v>
      </c>
      <c r="N449" s="59">
        <f t="shared" si="114"/>
        <v>0</v>
      </c>
      <c r="O449" s="59">
        <f t="shared" si="115"/>
        <v>0</v>
      </c>
      <c r="P449" s="59">
        <f t="shared" si="116"/>
        <v>438.25118005521</v>
      </c>
      <c r="Q449" s="59">
        <f>IF(H449=1,I449*VEHICLE!$C$69,IF(H449=2,VEHICLE!$C$70*I449,IF(H449=3,VEHICLE!$C$71*I449,0)))</f>
        <v>0</v>
      </c>
      <c r="R449" s="59">
        <f>(J449+K449+O449+Q449)</f>
        <v>438.25118005521</v>
      </c>
      <c r="S449" s="59">
        <f t="shared" si="117"/>
        <v>438.25118005521</v>
      </c>
      <c r="T449" s="59">
        <f>ABS((R449)/((2*PI()*G449)/60))</f>
        <v>0.59785578532836803</v>
      </c>
      <c r="U449" s="59">
        <f t="shared" si="118"/>
        <v>1</v>
      </c>
      <c r="V449" s="59">
        <f>INDEX(BSFC!$D$4:$AD$26,MATCH(U449,BSFC!$B$4:$B$26,0),MATCH(G449,BSFC!$D$2:$AD$2,0))</f>
        <v>920.25590927999997</v>
      </c>
      <c r="W449" s="59">
        <f t="shared" si="122"/>
        <v>0.11202867727631674</v>
      </c>
      <c r="X449" s="59">
        <f t="shared" si="119"/>
        <v>0.11202867727631674</v>
      </c>
      <c r="Y449" s="59">
        <f t="shared" si="120"/>
        <v>0.34616861278381872</v>
      </c>
      <c r="Z449" s="79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x14ac:dyDescent="0.3">
      <c r="A450" s="55">
        <v>2</v>
      </c>
      <c r="B450" s="59" t="s">
        <v>108</v>
      </c>
      <c r="C450" s="59">
        <f t="shared" si="134"/>
        <v>447</v>
      </c>
      <c r="D450" s="59">
        <f t="shared" si="113"/>
        <v>29.998170000000002</v>
      </c>
      <c r="E450" s="59">
        <f t="shared" si="136"/>
        <v>13.41</v>
      </c>
      <c r="F450" s="91">
        <f>($C$4/E450)+F449</f>
        <v>56.226484854756706</v>
      </c>
      <c r="G450" s="59">
        <f t="shared" si="135"/>
        <v>7000</v>
      </c>
      <c r="H450" s="59">
        <v>3</v>
      </c>
      <c r="I450" s="91">
        <f>E450-E449</f>
        <v>0</v>
      </c>
      <c r="J450" s="59">
        <f>(0.5*VEHICLE!$C$71*VEHICLE!$C$28*VEHICLE!$C$27*'Drive Cycle'!E450^2)</f>
        <v>159.97581505520998</v>
      </c>
      <c r="K450" s="59">
        <f>IF(A450=1,VEHICLE!$S$5,IF(A450=2,VEHICLE!$Q$5,IF(A450=3,VEHICLE!$R$5,IF(A450=4,VEHICLE!$P$5,1))))</f>
        <v>278.27536500000002</v>
      </c>
      <c r="L450" s="59">
        <f t="shared" si="127"/>
        <v>0</v>
      </c>
      <c r="M450" s="59">
        <f t="shared" si="121"/>
        <v>0</v>
      </c>
      <c r="N450" s="59">
        <f t="shared" si="114"/>
        <v>0</v>
      </c>
      <c r="O450" s="59">
        <f t="shared" si="115"/>
        <v>0</v>
      </c>
      <c r="P450" s="59">
        <f t="shared" si="116"/>
        <v>438.25118005521</v>
      </c>
      <c r="Q450" s="59">
        <f>IF(H450=1,I450*VEHICLE!$C$69,IF(H450=2,VEHICLE!$C$70*I450,IF(H450=3,VEHICLE!$C$71*I450,0)))</f>
        <v>0</v>
      </c>
      <c r="R450" s="59">
        <f>(J450+K450+O450+Q450)</f>
        <v>438.25118005521</v>
      </c>
      <c r="S450" s="59">
        <f t="shared" si="117"/>
        <v>438.25118005521</v>
      </c>
      <c r="T450" s="59">
        <f>ABS((R450)/((2*PI()*G450)/60))</f>
        <v>0.59785578532836803</v>
      </c>
      <c r="U450" s="59">
        <f t="shared" si="118"/>
        <v>1</v>
      </c>
      <c r="V450" s="59">
        <f>INDEX(BSFC!$D$4:$AD$26,MATCH(U450,BSFC!$B$4:$B$26,0),MATCH(G450,BSFC!$D$2:$AD$2,0))</f>
        <v>920.25590927999997</v>
      </c>
      <c r="W450" s="59">
        <f t="shared" si="122"/>
        <v>0.11202867727631674</v>
      </c>
      <c r="X450" s="59">
        <f t="shared" si="119"/>
        <v>0.11202867727631674</v>
      </c>
      <c r="Y450" s="59">
        <f t="shared" si="120"/>
        <v>0.34616861278381872</v>
      </c>
      <c r="Z450" s="79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x14ac:dyDescent="0.3">
      <c r="A451" s="55">
        <v>2</v>
      </c>
      <c r="B451" s="59" t="s">
        <v>108</v>
      </c>
      <c r="C451" s="59">
        <f t="shared" si="134"/>
        <v>448</v>
      </c>
      <c r="D451" s="59">
        <f t="shared" si="113"/>
        <v>29.998170000000002</v>
      </c>
      <c r="E451" s="59">
        <f t="shared" si="136"/>
        <v>13.41</v>
      </c>
      <c r="F451" s="91">
        <f>($C$4/E451)+F450</f>
        <v>56.301056070267521</v>
      </c>
      <c r="G451" s="59">
        <f t="shared" si="135"/>
        <v>7000</v>
      </c>
      <c r="H451" s="59">
        <v>3</v>
      </c>
      <c r="I451" s="91">
        <f>E451-E450</f>
        <v>0</v>
      </c>
      <c r="J451" s="59">
        <f>(0.5*VEHICLE!$C$71*VEHICLE!$C$28*VEHICLE!$C$27*'Drive Cycle'!E451^2)</f>
        <v>159.97581505520998</v>
      </c>
      <c r="K451" s="59">
        <f>IF(A451=1,VEHICLE!$S$5,IF(A451=2,VEHICLE!$Q$5,IF(A451=3,VEHICLE!$R$5,IF(A451=4,VEHICLE!$P$5,1))))</f>
        <v>278.27536500000002</v>
      </c>
      <c r="L451" s="59">
        <f t="shared" si="127"/>
        <v>0</v>
      </c>
      <c r="M451" s="59">
        <f t="shared" si="121"/>
        <v>0</v>
      </c>
      <c r="N451" s="59">
        <f t="shared" si="114"/>
        <v>0</v>
      </c>
      <c r="O451" s="59">
        <f t="shared" si="115"/>
        <v>0</v>
      </c>
      <c r="P451" s="59">
        <f t="shared" si="116"/>
        <v>438.25118005521</v>
      </c>
      <c r="Q451" s="59">
        <f>IF(H451=1,I451*VEHICLE!$C$69,IF(H451=2,VEHICLE!$C$70*I451,IF(H451=3,VEHICLE!$C$71*I451,0)))</f>
        <v>0</v>
      </c>
      <c r="R451" s="59">
        <f>(J451+K451+O451+Q451)</f>
        <v>438.25118005521</v>
      </c>
      <c r="S451" s="59">
        <f t="shared" si="117"/>
        <v>438.25118005521</v>
      </c>
      <c r="T451" s="59">
        <f>ABS((R451)/((2*PI()*G451)/60))</f>
        <v>0.59785578532836803</v>
      </c>
      <c r="U451" s="59">
        <f t="shared" si="118"/>
        <v>1</v>
      </c>
      <c r="V451" s="59">
        <f>INDEX(BSFC!$D$4:$AD$26,MATCH(U451,BSFC!$B$4:$B$26,0),MATCH(G451,BSFC!$D$2:$AD$2,0))</f>
        <v>920.25590927999997</v>
      </c>
      <c r="W451" s="59">
        <f t="shared" si="122"/>
        <v>0.11202867727631674</v>
      </c>
      <c r="X451" s="59">
        <f t="shared" si="119"/>
        <v>0.11202867727631674</v>
      </c>
      <c r="Y451" s="59">
        <f t="shared" si="120"/>
        <v>0.34616861278381872</v>
      </c>
      <c r="Z451" s="79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x14ac:dyDescent="0.3">
      <c r="A452" s="55">
        <v>2</v>
      </c>
      <c r="B452" s="59" t="s">
        <v>108</v>
      </c>
      <c r="C452" s="59">
        <f t="shared" si="134"/>
        <v>449</v>
      </c>
      <c r="D452" s="59">
        <f t="shared" ref="D452:D515" si="137">E452*2.237</f>
        <v>29.998170000000002</v>
      </c>
      <c r="E452" s="59">
        <f t="shared" si="136"/>
        <v>13.41</v>
      </c>
      <c r="F452" s="91">
        <f>($C$4/E452)+F451</f>
        <v>56.375627285778336</v>
      </c>
      <c r="G452" s="59">
        <f t="shared" si="135"/>
        <v>7000</v>
      </c>
      <c r="H452" s="59">
        <v>3</v>
      </c>
      <c r="I452" s="91">
        <f>E452-E451</f>
        <v>0</v>
      </c>
      <c r="J452" s="59">
        <f>(0.5*VEHICLE!$C$71*VEHICLE!$C$28*VEHICLE!$C$27*'Drive Cycle'!E452^2)</f>
        <v>159.97581505520998</v>
      </c>
      <c r="K452" s="59">
        <f>IF(A452=1,VEHICLE!$S$5,IF(A452=2,VEHICLE!$Q$5,IF(A452=3,VEHICLE!$R$5,IF(A452=4,VEHICLE!$P$5,1))))</f>
        <v>278.27536500000002</v>
      </c>
      <c r="L452" s="59">
        <f t="shared" si="127"/>
        <v>0</v>
      </c>
      <c r="M452" s="59">
        <f t="shared" si="121"/>
        <v>0</v>
      </c>
      <c r="N452" s="59">
        <f t="shared" ref="N452:N515" si="138">DEGREES(ATAN(M452/$C$4))</f>
        <v>0</v>
      </c>
      <c r="O452" s="59">
        <f t="shared" ref="O452:O515" si="139">9.81*SIN(RADIANS(N452))*($C$47)</f>
        <v>0</v>
      </c>
      <c r="P452" s="59">
        <f t="shared" ref="P452:P515" si="140">J452+K452+O452</f>
        <v>438.25118005521</v>
      </c>
      <c r="Q452" s="59">
        <f>IF(H452=1,I452*VEHICLE!$C$69,IF(H452=2,VEHICLE!$C$70*I452,IF(H452=3,VEHICLE!$C$71*I452,0)))</f>
        <v>0</v>
      </c>
      <c r="R452" s="59">
        <f>(J452+K452+O452+Q452)</f>
        <v>438.25118005521</v>
      </c>
      <c r="S452" s="59">
        <f t="shared" ref="S452:S515" si="141">ABS(R452)</f>
        <v>438.25118005521</v>
      </c>
      <c r="T452" s="59">
        <f>ABS((R452)/((2*PI()*G452)/60))</f>
        <v>0.59785578532836803</v>
      </c>
      <c r="U452" s="59">
        <f t="shared" ref="U452:U515" si="142">ROUNDUP(T452,0)</f>
        <v>1</v>
      </c>
      <c r="V452" s="59">
        <f>INDEX(BSFC!$D$4:$AD$26,MATCH(U452,BSFC!$B$4:$B$26,0),MATCH(G452,BSFC!$D$2:$AD$2,0))</f>
        <v>920.25590927999997</v>
      </c>
      <c r="W452" s="59">
        <f t="shared" si="122"/>
        <v>0.11202867727631674</v>
      </c>
      <c r="X452" s="59">
        <f t="shared" ref="X452:X515" si="143">ABS(W452)</f>
        <v>0.11202867727631674</v>
      </c>
      <c r="Y452" s="59">
        <f t="shared" ref="Y452:Y515" si="144">W452*3.09</f>
        <v>0.34616861278381872</v>
      </c>
      <c r="Z452" s="79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x14ac:dyDescent="0.3">
      <c r="A453" s="55">
        <v>2</v>
      </c>
      <c r="B453" s="59" t="s">
        <v>108</v>
      </c>
      <c r="C453" s="59">
        <f t="shared" si="134"/>
        <v>450</v>
      </c>
      <c r="D453" s="59">
        <f t="shared" si="137"/>
        <v>29.998170000000002</v>
      </c>
      <c r="E453" s="59">
        <f t="shared" si="136"/>
        <v>13.41</v>
      </c>
      <c r="F453" s="91">
        <f>($C$4/E453)+F452</f>
        <v>56.450198501289151</v>
      </c>
      <c r="G453" s="59">
        <f t="shared" si="135"/>
        <v>7000</v>
      </c>
      <c r="H453" s="59">
        <v>3</v>
      </c>
      <c r="I453" s="91">
        <f>E453-E452</f>
        <v>0</v>
      </c>
      <c r="J453" s="59">
        <f>(0.5*VEHICLE!$C$71*VEHICLE!$C$28*VEHICLE!$C$27*'Drive Cycle'!E453^2)</f>
        <v>159.97581505520998</v>
      </c>
      <c r="K453" s="59">
        <f>IF(A453=1,VEHICLE!$S$5,IF(A453=2,VEHICLE!$Q$5,IF(A453=3,VEHICLE!$R$5,IF(A453=4,VEHICLE!$P$5,1))))</f>
        <v>278.27536500000002</v>
      </c>
      <c r="L453" s="59">
        <f t="shared" si="127"/>
        <v>0</v>
      </c>
      <c r="M453" s="59">
        <f t="shared" ref="M453:M516" si="145">L453-L452</f>
        <v>0</v>
      </c>
      <c r="N453" s="59">
        <f t="shared" si="138"/>
        <v>0</v>
      </c>
      <c r="O453" s="59">
        <f t="shared" si="139"/>
        <v>0</v>
      </c>
      <c r="P453" s="59">
        <f t="shared" si="140"/>
        <v>438.25118005521</v>
      </c>
      <c r="Q453" s="59">
        <f>IF(H453=1,I453*VEHICLE!$C$69,IF(H453=2,VEHICLE!$C$70*I453,IF(H453=3,VEHICLE!$C$71*I453,0)))</f>
        <v>0</v>
      </c>
      <c r="R453" s="59">
        <f>(J453+K453+O453+Q453)</f>
        <v>438.25118005521</v>
      </c>
      <c r="S453" s="59">
        <f t="shared" si="141"/>
        <v>438.25118005521</v>
      </c>
      <c r="T453" s="59">
        <f>ABS((R453)/((2*PI()*G453)/60))</f>
        <v>0.59785578532836803</v>
      </c>
      <c r="U453" s="59">
        <f t="shared" si="142"/>
        <v>1</v>
      </c>
      <c r="V453" s="59">
        <f>INDEX(BSFC!$D$4:$AD$26,MATCH(U453,BSFC!$B$4:$B$26,0),MATCH(G453,BSFC!$D$2:$AD$2,0))</f>
        <v>920.25590927999997</v>
      </c>
      <c r="W453" s="59">
        <f t="shared" ref="W453:W516" si="146">(R453*V453/3600)/1000</f>
        <v>0.11202867727631674</v>
      </c>
      <c r="X453" s="59">
        <f t="shared" si="143"/>
        <v>0.11202867727631674</v>
      </c>
      <c r="Y453" s="59">
        <f t="shared" si="144"/>
        <v>0.34616861278381872</v>
      </c>
      <c r="Z453" s="79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x14ac:dyDescent="0.3">
      <c r="A454" s="55">
        <v>2</v>
      </c>
      <c r="B454" s="59" t="s">
        <v>108</v>
      </c>
      <c r="C454" s="59">
        <f t="shared" si="134"/>
        <v>451</v>
      </c>
      <c r="D454" s="59">
        <f t="shared" si="137"/>
        <v>29.998170000000002</v>
      </c>
      <c r="E454" s="59">
        <f>E453</f>
        <v>13.41</v>
      </c>
      <c r="F454" s="91">
        <f>($C$4/E454)+F453</f>
        <v>56.524769716799966</v>
      </c>
      <c r="G454" s="59">
        <f t="shared" si="135"/>
        <v>7000</v>
      </c>
      <c r="H454" s="59">
        <v>3</v>
      </c>
      <c r="I454" s="91">
        <f>E454-E453</f>
        <v>0</v>
      </c>
      <c r="J454" s="59">
        <f>(0.5*VEHICLE!$C$71*VEHICLE!$C$28*VEHICLE!$C$27*'Drive Cycle'!E454^2)</f>
        <v>159.97581505520998</v>
      </c>
      <c r="K454" s="59">
        <f>IF(A454=1,VEHICLE!$S$5,IF(A454=2,VEHICLE!$Q$5,IF(A454=3,VEHICLE!$R$5,IF(A454=4,VEHICLE!$P$5,1))))</f>
        <v>278.27536500000002</v>
      </c>
      <c r="L454" s="59">
        <f t="shared" si="127"/>
        <v>0</v>
      </c>
      <c r="M454" s="59">
        <f t="shared" si="145"/>
        <v>0</v>
      </c>
      <c r="N454" s="59">
        <f t="shared" si="138"/>
        <v>0</v>
      </c>
      <c r="O454" s="59">
        <f t="shared" si="139"/>
        <v>0</v>
      </c>
      <c r="P454" s="59">
        <f t="shared" si="140"/>
        <v>438.25118005521</v>
      </c>
      <c r="Q454" s="59">
        <f>IF(H454=1,I454*VEHICLE!$C$69,IF(H454=2,VEHICLE!$C$70*I454,IF(H454=3,VEHICLE!$C$71*I454,0)))</f>
        <v>0</v>
      </c>
      <c r="R454" s="59">
        <f>(J454+K454+O454+Q454)</f>
        <v>438.25118005521</v>
      </c>
      <c r="S454" s="59">
        <f t="shared" si="141"/>
        <v>438.25118005521</v>
      </c>
      <c r="T454" s="59">
        <f>ABS((R454)/((2*PI()*G454)/60))</f>
        <v>0.59785578532836803</v>
      </c>
      <c r="U454" s="59">
        <f t="shared" si="142"/>
        <v>1</v>
      </c>
      <c r="V454" s="59">
        <f>INDEX(BSFC!$D$4:$AD$26,MATCH(U454,BSFC!$B$4:$B$26,0),MATCH(G454,BSFC!$D$2:$AD$2,0))</f>
        <v>920.25590927999997</v>
      </c>
      <c r="W454" s="59">
        <f t="shared" si="146"/>
        <v>0.11202867727631674</v>
      </c>
      <c r="X454" s="59">
        <f t="shared" si="143"/>
        <v>0.11202867727631674</v>
      </c>
      <c r="Y454" s="59">
        <f t="shared" si="144"/>
        <v>0.34616861278381872</v>
      </c>
      <c r="Z454" s="79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x14ac:dyDescent="0.3">
      <c r="A455" s="55">
        <v>2</v>
      </c>
      <c r="B455" s="59" t="s">
        <v>108</v>
      </c>
      <c r="C455" s="59">
        <f t="shared" si="134"/>
        <v>452</v>
      </c>
      <c r="D455" s="59">
        <f t="shared" si="137"/>
        <v>29.998170000000002</v>
      </c>
      <c r="E455" s="59">
        <f t="shared" si="136"/>
        <v>13.41</v>
      </c>
      <c r="F455" s="91">
        <f>($C$4/E455)+F454</f>
        <v>56.599340932310781</v>
      </c>
      <c r="G455" s="59">
        <f t="shared" si="135"/>
        <v>7000</v>
      </c>
      <c r="H455" s="59">
        <v>3</v>
      </c>
      <c r="I455" s="91">
        <f>E455-E454</f>
        <v>0</v>
      </c>
      <c r="J455" s="59">
        <f>(0.5*VEHICLE!$C$71*VEHICLE!$C$28*VEHICLE!$C$27*'Drive Cycle'!E455^2)</f>
        <v>159.97581505520998</v>
      </c>
      <c r="K455" s="59">
        <f>IF(A455=1,VEHICLE!$S$5,IF(A455=2,VEHICLE!$Q$5,IF(A455=3,VEHICLE!$R$5,IF(A455=4,VEHICLE!$P$5,1))))</f>
        <v>278.27536500000002</v>
      </c>
      <c r="L455" s="59">
        <f t="shared" si="127"/>
        <v>0</v>
      </c>
      <c r="M455" s="59">
        <f t="shared" si="145"/>
        <v>0</v>
      </c>
      <c r="N455" s="59">
        <f t="shared" si="138"/>
        <v>0</v>
      </c>
      <c r="O455" s="59">
        <f t="shared" si="139"/>
        <v>0</v>
      </c>
      <c r="P455" s="59">
        <f t="shared" si="140"/>
        <v>438.25118005521</v>
      </c>
      <c r="Q455" s="59">
        <f>IF(H455=1,I455*VEHICLE!$C$69,IF(H455=2,VEHICLE!$C$70*I455,IF(H455=3,VEHICLE!$C$71*I455,0)))</f>
        <v>0</v>
      </c>
      <c r="R455" s="59">
        <f>(J455+K455+O455+Q455)</f>
        <v>438.25118005521</v>
      </c>
      <c r="S455" s="59">
        <f t="shared" si="141"/>
        <v>438.25118005521</v>
      </c>
      <c r="T455" s="59">
        <f>ABS((R455)/((2*PI()*G455)/60))</f>
        <v>0.59785578532836803</v>
      </c>
      <c r="U455" s="59">
        <f t="shared" si="142"/>
        <v>1</v>
      </c>
      <c r="V455" s="59">
        <f>INDEX(BSFC!$D$4:$AD$26,MATCH(U455,BSFC!$B$4:$B$26,0),MATCH(G455,BSFC!$D$2:$AD$2,0))</f>
        <v>920.25590927999997</v>
      </c>
      <c r="W455" s="59">
        <f t="shared" si="146"/>
        <v>0.11202867727631674</v>
      </c>
      <c r="X455" s="59">
        <f t="shared" si="143"/>
        <v>0.11202867727631674</v>
      </c>
      <c r="Y455" s="59">
        <f t="shared" si="144"/>
        <v>0.34616861278381872</v>
      </c>
      <c r="Z455" s="79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x14ac:dyDescent="0.3">
      <c r="A456" s="55">
        <v>2</v>
      </c>
      <c r="B456" s="59" t="s">
        <v>108</v>
      </c>
      <c r="C456" s="59">
        <f t="shared" si="134"/>
        <v>453</v>
      </c>
      <c r="D456" s="59">
        <f t="shared" si="137"/>
        <v>29.998170000000002</v>
      </c>
      <c r="E456" s="59">
        <f t="shared" si="136"/>
        <v>13.41</v>
      </c>
      <c r="F456" s="91">
        <f>($C$4/E456)+F455</f>
        <v>56.673912147821596</v>
      </c>
      <c r="G456" s="59">
        <f t="shared" si="135"/>
        <v>7000</v>
      </c>
      <c r="H456" s="59">
        <v>3</v>
      </c>
      <c r="I456" s="91">
        <f>E456-E455</f>
        <v>0</v>
      </c>
      <c r="J456" s="59">
        <f>(0.5*VEHICLE!$C$71*VEHICLE!$C$28*VEHICLE!$C$27*'Drive Cycle'!E456^2)</f>
        <v>159.97581505520998</v>
      </c>
      <c r="K456" s="59">
        <f>IF(A456=1,VEHICLE!$S$5,IF(A456=2,VEHICLE!$Q$5,IF(A456=3,VEHICLE!$R$5,IF(A456=4,VEHICLE!$P$5,1))))</f>
        <v>278.27536500000002</v>
      </c>
      <c r="L456" s="59">
        <f t="shared" si="127"/>
        <v>0</v>
      </c>
      <c r="M456" s="59">
        <f t="shared" si="145"/>
        <v>0</v>
      </c>
      <c r="N456" s="59">
        <f t="shared" si="138"/>
        <v>0</v>
      </c>
      <c r="O456" s="59">
        <f t="shared" si="139"/>
        <v>0</v>
      </c>
      <c r="P456" s="59">
        <f t="shared" si="140"/>
        <v>438.25118005521</v>
      </c>
      <c r="Q456" s="59">
        <f>IF(H456=1,I456*VEHICLE!$C$69,IF(H456=2,VEHICLE!$C$70*I456,IF(H456=3,VEHICLE!$C$71*I456,0)))</f>
        <v>0</v>
      </c>
      <c r="R456" s="59">
        <f>(J456+K456+O456+Q456)</f>
        <v>438.25118005521</v>
      </c>
      <c r="S456" s="59">
        <f t="shared" si="141"/>
        <v>438.25118005521</v>
      </c>
      <c r="T456" s="59">
        <f>ABS((R456)/((2*PI()*G456)/60))</f>
        <v>0.59785578532836803</v>
      </c>
      <c r="U456" s="59">
        <f t="shared" si="142"/>
        <v>1</v>
      </c>
      <c r="V456" s="59">
        <f>INDEX(BSFC!$D$4:$AD$26,MATCH(U456,BSFC!$B$4:$B$26,0),MATCH(G456,BSFC!$D$2:$AD$2,0))</f>
        <v>920.25590927999997</v>
      </c>
      <c r="W456" s="59">
        <f t="shared" si="146"/>
        <v>0.11202867727631674</v>
      </c>
      <c r="X456" s="59">
        <f t="shared" si="143"/>
        <v>0.11202867727631674</v>
      </c>
      <c r="Y456" s="59">
        <f t="shared" si="144"/>
        <v>0.34616861278381872</v>
      </c>
      <c r="Z456" s="79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x14ac:dyDescent="0.3">
      <c r="A457" s="55">
        <v>2</v>
      </c>
      <c r="B457" s="59" t="s">
        <v>108</v>
      </c>
      <c r="C457" s="59">
        <f t="shared" si="134"/>
        <v>454</v>
      </c>
      <c r="D457" s="59">
        <f t="shared" si="137"/>
        <v>29.998170000000002</v>
      </c>
      <c r="E457" s="59">
        <f t="shared" si="136"/>
        <v>13.41</v>
      </c>
      <c r="F457" s="91">
        <f>($C$4/E457)+F456</f>
        <v>56.748483363332411</v>
      </c>
      <c r="G457" s="59">
        <f t="shared" si="135"/>
        <v>7000</v>
      </c>
      <c r="H457" s="59">
        <v>3</v>
      </c>
      <c r="I457" s="91">
        <f>E457-E456</f>
        <v>0</v>
      </c>
      <c r="J457" s="59">
        <f>(0.5*VEHICLE!$C$71*VEHICLE!$C$28*VEHICLE!$C$27*'Drive Cycle'!E457^2)</f>
        <v>159.97581505520998</v>
      </c>
      <c r="K457" s="59">
        <f>IF(A457=1,VEHICLE!$S$5,IF(A457=2,VEHICLE!$Q$5,IF(A457=3,VEHICLE!$R$5,IF(A457=4,VEHICLE!$P$5,1))))</f>
        <v>278.27536500000002</v>
      </c>
      <c r="L457" s="59">
        <f t="shared" si="127"/>
        <v>0</v>
      </c>
      <c r="M457" s="59">
        <f t="shared" si="145"/>
        <v>0</v>
      </c>
      <c r="N457" s="59">
        <f t="shared" si="138"/>
        <v>0</v>
      </c>
      <c r="O457" s="59">
        <f t="shared" si="139"/>
        <v>0</v>
      </c>
      <c r="P457" s="59">
        <f t="shared" si="140"/>
        <v>438.25118005521</v>
      </c>
      <c r="Q457" s="59">
        <f>IF(H457=1,I457*VEHICLE!$C$69,IF(H457=2,VEHICLE!$C$70*I457,IF(H457=3,VEHICLE!$C$71*I457,0)))</f>
        <v>0</v>
      </c>
      <c r="R457" s="59">
        <f>(J457+K457+O457+Q457)</f>
        <v>438.25118005521</v>
      </c>
      <c r="S457" s="59">
        <f t="shared" si="141"/>
        <v>438.25118005521</v>
      </c>
      <c r="T457" s="59">
        <f>ABS((R457)/((2*PI()*G457)/60))</f>
        <v>0.59785578532836803</v>
      </c>
      <c r="U457" s="59">
        <f t="shared" si="142"/>
        <v>1</v>
      </c>
      <c r="V457" s="59">
        <f>INDEX(BSFC!$D$4:$AD$26,MATCH(U457,BSFC!$B$4:$B$26,0),MATCH(G457,BSFC!$D$2:$AD$2,0))</f>
        <v>920.25590927999997</v>
      </c>
      <c r="W457" s="59">
        <f t="shared" si="146"/>
        <v>0.11202867727631674</v>
      </c>
      <c r="X457" s="59">
        <f t="shared" si="143"/>
        <v>0.11202867727631674</v>
      </c>
      <c r="Y457" s="59">
        <f t="shared" si="144"/>
        <v>0.34616861278381872</v>
      </c>
      <c r="Z457" s="79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x14ac:dyDescent="0.3">
      <c r="A458" s="55">
        <v>2</v>
      </c>
      <c r="B458" s="59" t="s">
        <v>108</v>
      </c>
      <c r="C458" s="59">
        <f t="shared" si="134"/>
        <v>455</v>
      </c>
      <c r="D458" s="59">
        <f t="shared" si="137"/>
        <v>29.998170000000002</v>
      </c>
      <c r="E458" s="59">
        <f t="shared" si="136"/>
        <v>13.41</v>
      </c>
      <c r="F458" s="91">
        <f>($C$4/E458)+F457</f>
        <v>56.823054578843227</v>
      </c>
      <c r="G458" s="59">
        <f t="shared" si="135"/>
        <v>7000</v>
      </c>
      <c r="H458" s="59">
        <v>3</v>
      </c>
      <c r="I458" s="91">
        <f>E458-E457</f>
        <v>0</v>
      </c>
      <c r="J458" s="59">
        <f>(0.5*VEHICLE!$C$71*VEHICLE!$C$28*VEHICLE!$C$27*'Drive Cycle'!E458^2)</f>
        <v>159.97581505520998</v>
      </c>
      <c r="K458" s="59">
        <f>IF(A458=1,VEHICLE!$S$5,IF(A458=2,VEHICLE!$Q$5,IF(A458=3,VEHICLE!$R$5,IF(A458=4,VEHICLE!$P$5,1))))</f>
        <v>278.27536500000002</v>
      </c>
      <c r="L458" s="59">
        <f t="shared" si="127"/>
        <v>0</v>
      </c>
      <c r="M458" s="59">
        <f t="shared" si="145"/>
        <v>0</v>
      </c>
      <c r="N458" s="59">
        <f t="shared" si="138"/>
        <v>0</v>
      </c>
      <c r="O458" s="59">
        <f t="shared" si="139"/>
        <v>0</v>
      </c>
      <c r="P458" s="59">
        <f t="shared" si="140"/>
        <v>438.25118005521</v>
      </c>
      <c r="Q458" s="59">
        <f>IF(H458=1,I458*VEHICLE!$C$69,IF(H458=2,VEHICLE!$C$70*I458,IF(H458=3,VEHICLE!$C$71*I458,0)))</f>
        <v>0</v>
      </c>
      <c r="R458" s="59">
        <f>(J458+K458+O458+Q458)</f>
        <v>438.25118005521</v>
      </c>
      <c r="S458" s="59">
        <f t="shared" si="141"/>
        <v>438.25118005521</v>
      </c>
      <c r="T458" s="59">
        <f>ABS((R458)/((2*PI()*G458)/60))</f>
        <v>0.59785578532836803</v>
      </c>
      <c r="U458" s="59">
        <f t="shared" si="142"/>
        <v>1</v>
      </c>
      <c r="V458" s="59">
        <f>INDEX(BSFC!$D$4:$AD$26,MATCH(U458,BSFC!$B$4:$B$26,0),MATCH(G458,BSFC!$D$2:$AD$2,0))</f>
        <v>920.25590927999997</v>
      </c>
      <c r="W458" s="59">
        <f t="shared" si="146"/>
        <v>0.11202867727631674</v>
      </c>
      <c r="X458" s="59">
        <f t="shared" si="143"/>
        <v>0.11202867727631674</v>
      </c>
      <c r="Y458" s="59">
        <f t="shared" si="144"/>
        <v>0.34616861278381872</v>
      </c>
      <c r="Z458" s="79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x14ac:dyDescent="0.3">
      <c r="A459" s="55">
        <v>2</v>
      </c>
      <c r="B459" s="59" t="s">
        <v>108</v>
      </c>
      <c r="C459" s="59">
        <f t="shared" si="134"/>
        <v>456</v>
      </c>
      <c r="D459" s="59">
        <f t="shared" si="137"/>
        <v>29.998170000000002</v>
      </c>
      <c r="E459" s="59">
        <f t="shared" si="136"/>
        <v>13.41</v>
      </c>
      <c r="F459" s="91">
        <f>($C$4/E459)+F458</f>
        <v>56.897625794354042</v>
      </c>
      <c r="G459" s="59">
        <f t="shared" si="135"/>
        <v>7000</v>
      </c>
      <c r="H459" s="59">
        <v>3</v>
      </c>
      <c r="I459" s="91">
        <f>E459-E458</f>
        <v>0</v>
      </c>
      <c r="J459" s="59">
        <f>(0.5*VEHICLE!$C$71*VEHICLE!$C$28*VEHICLE!$C$27*'Drive Cycle'!E459^2)</f>
        <v>159.97581505520998</v>
      </c>
      <c r="K459" s="59">
        <f>IF(A459=1,VEHICLE!$S$5,IF(A459=2,VEHICLE!$Q$5,IF(A459=3,VEHICLE!$R$5,IF(A459=4,VEHICLE!$P$5,1))))</f>
        <v>278.27536500000002</v>
      </c>
      <c r="L459" s="59">
        <f t="shared" si="127"/>
        <v>0</v>
      </c>
      <c r="M459" s="59">
        <f t="shared" si="145"/>
        <v>0</v>
      </c>
      <c r="N459" s="59">
        <f t="shared" si="138"/>
        <v>0</v>
      </c>
      <c r="O459" s="59">
        <f t="shared" si="139"/>
        <v>0</v>
      </c>
      <c r="P459" s="59">
        <f t="shared" si="140"/>
        <v>438.25118005521</v>
      </c>
      <c r="Q459" s="59">
        <f>IF(H459=1,I459*VEHICLE!$C$69,IF(H459=2,VEHICLE!$C$70*I459,IF(H459=3,VEHICLE!$C$71*I459,0)))</f>
        <v>0</v>
      </c>
      <c r="R459" s="59">
        <f>(J459+K459+O459+Q459)</f>
        <v>438.25118005521</v>
      </c>
      <c r="S459" s="59">
        <f t="shared" si="141"/>
        <v>438.25118005521</v>
      </c>
      <c r="T459" s="59">
        <f>ABS((R459)/((2*PI()*G459)/60))</f>
        <v>0.59785578532836803</v>
      </c>
      <c r="U459" s="59">
        <f t="shared" si="142"/>
        <v>1</v>
      </c>
      <c r="V459" s="59">
        <f>INDEX(BSFC!$D$4:$AD$26,MATCH(U459,BSFC!$B$4:$B$26,0),MATCH(G459,BSFC!$D$2:$AD$2,0))</f>
        <v>920.25590927999997</v>
      </c>
      <c r="W459" s="59">
        <f t="shared" si="146"/>
        <v>0.11202867727631674</v>
      </c>
      <c r="X459" s="59">
        <f t="shared" si="143"/>
        <v>0.11202867727631674</v>
      </c>
      <c r="Y459" s="59">
        <f t="shared" si="144"/>
        <v>0.34616861278381872</v>
      </c>
      <c r="Z459" s="79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x14ac:dyDescent="0.3">
      <c r="A460" s="55">
        <v>2</v>
      </c>
      <c r="B460" s="59" t="s">
        <v>108</v>
      </c>
      <c r="C460" s="59">
        <f t="shared" si="134"/>
        <v>457</v>
      </c>
      <c r="D460" s="59">
        <f t="shared" si="137"/>
        <v>29.998170000000002</v>
      </c>
      <c r="E460" s="59">
        <f t="shared" si="136"/>
        <v>13.41</v>
      </c>
      <c r="F460" s="91">
        <f>($C$4/E460)+F459</f>
        <v>56.972197009864857</v>
      </c>
      <c r="G460" s="59">
        <f t="shared" si="135"/>
        <v>7000</v>
      </c>
      <c r="H460" s="59">
        <v>3</v>
      </c>
      <c r="I460" s="91">
        <f>E460-E459</f>
        <v>0</v>
      </c>
      <c r="J460" s="59">
        <f>(0.5*VEHICLE!$C$71*VEHICLE!$C$28*VEHICLE!$C$27*'Drive Cycle'!E460^2)</f>
        <v>159.97581505520998</v>
      </c>
      <c r="K460" s="59">
        <f>IF(A460=1,VEHICLE!$S$5,IF(A460=2,VEHICLE!$Q$5,IF(A460=3,VEHICLE!$R$5,IF(A460=4,VEHICLE!$P$5,1))))</f>
        <v>278.27536500000002</v>
      </c>
      <c r="L460" s="59">
        <f t="shared" si="127"/>
        <v>0</v>
      </c>
      <c r="M460" s="59">
        <f t="shared" si="145"/>
        <v>0</v>
      </c>
      <c r="N460" s="59">
        <f t="shared" si="138"/>
        <v>0</v>
      </c>
      <c r="O460" s="59">
        <f t="shared" si="139"/>
        <v>0</v>
      </c>
      <c r="P460" s="59">
        <f t="shared" si="140"/>
        <v>438.25118005521</v>
      </c>
      <c r="Q460" s="59">
        <f>IF(H460=1,I460*VEHICLE!$C$69,IF(H460=2,VEHICLE!$C$70*I460,IF(H460=3,VEHICLE!$C$71*I460,0)))</f>
        <v>0</v>
      </c>
      <c r="R460" s="59">
        <f>(J460+K460+O460+Q460)</f>
        <v>438.25118005521</v>
      </c>
      <c r="S460" s="59">
        <f t="shared" si="141"/>
        <v>438.25118005521</v>
      </c>
      <c r="T460" s="59">
        <f>ABS((R460)/((2*PI()*G460)/60))</f>
        <v>0.59785578532836803</v>
      </c>
      <c r="U460" s="59">
        <f t="shared" si="142"/>
        <v>1</v>
      </c>
      <c r="V460" s="59">
        <f>INDEX(BSFC!$D$4:$AD$26,MATCH(U460,BSFC!$B$4:$B$26,0),MATCH(G460,BSFC!$D$2:$AD$2,0))</f>
        <v>920.25590927999997</v>
      </c>
      <c r="W460" s="59">
        <f t="shared" si="146"/>
        <v>0.11202867727631674</v>
      </c>
      <c r="X460" s="59">
        <f t="shared" si="143"/>
        <v>0.11202867727631674</v>
      </c>
      <c r="Y460" s="59">
        <f t="shared" si="144"/>
        <v>0.34616861278381872</v>
      </c>
      <c r="Z460" s="79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x14ac:dyDescent="0.3">
      <c r="A461" s="55">
        <v>2</v>
      </c>
      <c r="B461" s="59" t="s">
        <v>108</v>
      </c>
      <c r="C461" s="59">
        <f t="shared" si="134"/>
        <v>458</v>
      </c>
      <c r="D461" s="59">
        <f t="shared" si="137"/>
        <v>29.998170000000002</v>
      </c>
      <c r="E461" s="59">
        <f t="shared" si="136"/>
        <v>13.41</v>
      </c>
      <c r="F461" s="91">
        <f>($C$4/E461)+F460</f>
        <v>57.046768225375672</v>
      </c>
      <c r="G461" s="59">
        <f t="shared" si="135"/>
        <v>7000</v>
      </c>
      <c r="H461" s="59">
        <v>3</v>
      </c>
      <c r="I461" s="91">
        <f>E461-E460</f>
        <v>0</v>
      </c>
      <c r="J461" s="59">
        <f>(0.5*VEHICLE!$C$71*VEHICLE!$C$28*VEHICLE!$C$27*'Drive Cycle'!E461^2)</f>
        <v>159.97581505520998</v>
      </c>
      <c r="K461" s="59">
        <f>IF(A461=1,VEHICLE!$S$5,IF(A461=2,VEHICLE!$Q$5,IF(A461=3,VEHICLE!$R$5,IF(A461=4,VEHICLE!$P$5,1))))</f>
        <v>278.27536500000002</v>
      </c>
      <c r="L461" s="59">
        <f t="shared" si="127"/>
        <v>0</v>
      </c>
      <c r="M461" s="59">
        <f t="shared" si="145"/>
        <v>0</v>
      </c>
      <c r="N461" s="59">
        <f t="shared" si="138"/>
        <v>0</v>
      </c>
      <c r="O461" s="59">
        <f t="shared" si="139"/>
        <v>0</v>
      </c>
      <c r="P461" s="59">
        <f t="shared" si="140"/>
        <v>438.25118005521</v>
      </c>
      <c r="Q461" s="59">
        <f>IF(H461=1,I461*VEHICLE!$C$69,IF(H461=2,VEHICLE!$C$70*I461,IF(H461=3,VEHICLE!$C$71*I461,0)))</f>
        <v>0</v>
      </c>
      <c r="R461" s="59">
        <f>(J461+K461+O461+Q461)</f>
        <v>438.25118005521</v>
      </c>
      <c r="S461" s="59">
        <f t="shared" si="141"/>
        <v>438.25118005521</v>
      </c>
      <c r="T461" s="59">
        <f>ABS((R461)/((2*PI()*G461)/60))</f>
        <v>0.59785578532836803</v>
      </c>
      <c r="U461" s="59">
        <f t="shared" si="142"/>
        <v>1</v>
      </c>
      <c r="V461" s="59">
        <f>INDEX(BSFC!$D$4:$AD$26,MATCH(U461,BSFC!$B$4:$B$26,0),MATCH(G461,BSFC!$D$2:$AD$2,0))</f>
        <v>920.25590927999997</v>
      </c>
      <c r="W461" s="59">
        <f t="shared" si="146"/>
        <v>0.11202867727631674</v>
      </c>
      <c r="X461" s="59">
        <f t="shared" si="143"/>
        <v>0.11202867727631674</v>
      </c>
      <c r="Y461" s="59">
        <f t="shared" si="144"/>
        <v>0.34616861278381872</v>
      </c>
      <c r="Z461" s="79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x14ac:dyDescent="0.3">
      <c r="A462" s="55">
        <v>2</v>
      </c>
      <c r="B462" s="59" t="s">
        <v>108</v>
      </c>
      <c r="C462" s="59">
        <f t="shared" si="134"/>
        <v>459</v>
      </c>
      <c r="D462" s="59">
        <f t="shared" si="137"/>
        <v>29.998170000000002</v>
      </c>
      <c r="E462" s="59">
        <f>E461</f>
        <v>13.41</v>
      </c>
      <c r="F462" s="91">
        <f>($C$4/E462)+F461</f>
        <v>57.121339440886487</v>
      </c>
      <c r="G462" s="59">
        <f t="shared" si="135"/>
        <v>7000</v>
      </c>
      <c r="H462" s="59">
        <v>3</v>
      </c>
      <c r="I462" s="91">
        <f>E462-E461</f>
        <v>0</v>
      </c>
      <c r="J462" s="59">
        <f>(0.5*VEHICLE!$C$71*VEHICLE!$C$28*VEHICLE!$C$27*'Drive Cycle'!E462^2)</f>
        <v>159.97581505520998</v>
      </c>
      <c r="K462" s="59">
        <f>IF(A462=1,VEHICLE!$S$5,IF(A462=2,VEHICLE!$Q$5,IF(A462=3,VEHICLE!$R$5,IF(A462=4,VEHICLE!$P$5,1))))</f>
        <v>278.27536500000002</v>
      </c>
      <c r="L462" s="59">
        <f t="shared" si="127"/>
        <v>0</v>
      </c>
      <c r="M462" s="59">
        <f t="shared" si="145"/>
        <v>0</v>
      </c>
      <c r="N462" s="59">
        <f t="shared" si="138"/>
        <v>0</v>
      </c>
      <c r="O462" s="59">
        <f t="shared" si="139"/>
        <v>0</v>
      </c>
      <c r="P462" s="59">
        <f t="shared" si="140"/>
        <v>438.25118005521</v>
      </c>
      <c r="Q462" s="59">
        <f>IF(H462=1,I462*VEHICLE!$C$69,IF(H462=2,VEHICLE!$C$70*I462,IF(H462=3,VEHICLE!$C$71*I462,0)))</f>
        <v>0</v>
      </c>
      <c r="R462" s="59">
        <f>(J462+K462+O462+Q462)</f>
        <v>438.25118005521</v>
      </c>
      <c r="S462" s="59">
        <f t="shared" si="141"/>
        <v>438.25118005521</v>
      </c>
      <c r="T462" s="59">
        <f>ABS((R462)/((2*PI()*G462)/60))</f>
        <v>0.59785578532836803</v>
      </c>
      <c r="U462" s="59">
        <f t="shared" si="142"/>
        <v>1</v>
      </c>
      <c r="V462" s="59">
        <f>INDEX(BSFC!$D$4:$AD$26,MATCH(U462,BSFC!$B$4:$B$26,0),MATCH(G462,BSFC!$D$2:$AD$2,0))</f>
        <v>920.25590927999997</v>
      </c>
      <c r="W462" s="59">
        <f t="shared" si="146"/>
        <v>0.11202867727631674</v>
      </c>
      <c r="X462" s="59">
        <f t="shared" si="143"/>
        <v>0.11202867727631674</v>
      </c>
      <c r="Y462" s="59">
        <f t="shared" si="144"/>
        <v>0.34616861278381872</v>
      </c>
      <c r="Z462" s="79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x14ac:dyDescent="0.3">
      <c r="A463" s="55">
        <v>2</v>
      </c>
      <c r="B463" s="59" t="s">
        <v>108</v>
      </c>
      <c r="C463" s="59">
        <f t="shared" si="134"/>
        <v>460</v>
      </c>
      <c r="D463" s="59">
        <f t="shared" si="137"/>
        <v>29.998170000000002</v>
      </c>
      <c r="E463" s="59">
        <f t="shared" si="136"/>
        <v>13.41</v>
      </c>
      <c r="F463" s="91">
        <f>($C$4/E463)+F462</f>
        <v>57.195910656397302</v>
      </c>
      <c r="G463" s="59">
        <f t="shared" si="135"/>
        <v>7000</v>
      </c>
      <c r="H463" s="59">
        <v>3</v>
      </c>
      <c r="I463" s="91">
        <f>E463-E462</f>
        <v>0</v>
      </c>
      <c r="J463" s="59">
        <f>(0.5*VEHICLE!$C$71*VEHICLE!$C$28*VEHICLE!$C$27*'Drive Cycle'!E463^2)</f>
        <v>159.97581505520998</v>
      </c>
      <c r="K463" s="59">
        <f>IF(A463=1,VEHICLE!$S$5,IF(A463=2,VEHICLE!$Q$5,IF(A463=3,VEHICLE!$R$5,IF(A463=4,VEHICLE!$P$5,1))))</f>
        <v>278.27536500000002</v>
      </c>
      <c r="L463" s="59">
        <f t="shared" si="127"/>
        <v>0</v>
      </c>
      <c r="M463" s="59">
        <f t="shared" si="145"/>
        <v>0</v>
      </c>
      <c r="N463" s="59">
        <f t="shared" si="138"/>
        <v>0</v>
      </c>
      <c r="O463" s="59">
        <f t="shared" si="139"/>
        <v>0</v>
      </c>
      <c r="P463" s="59">
        <f t="shared" si="140"/>
        <v>438.25118005521</v>
      </c>
      <c r="Q463" s="59">
        <f>IF(H463=1,I463*VEHICLE!$C$69,IF(H463=2,VEHICLE!$C$70*I463,IF(H463=3,VEHICLE!$C$71*I463,0)))</f>
        <v>0</v>
      </c>
      <c r="R463" s="59">
        <f>(J463+K463+O463+Q463)</f>
        <v>438.25118005521</v>
      </c>
      <c r="S463" s="59">
        <f t="shared" si="141"/>
        <v>438.25118005521</v>
      </c>
      <c r="T463" s="59">
        <f>ABS((R463)/((2*PI()*G463)/60))</f>
        <v>0.59785578532836803</v>
      </c>
      <c r="U463" s="59">
        <f t="shared" si="142"/>
        <v>1</v>
      </c>
      <c r="V463" s="59">
        <f>INDEX(BSFC!$D$4:$AD$26,MATCH(U463,BSFC!$B$4:$B$26,0),MATCH(G463,BSFC!$D$2:$AD$2,0))</f>
        <v>920.25590927999997</v>
      </c>
      <c r="W463" s="59">
        <f t="shared" si="146"/>
        <v>0.11202867727631674</v>
      </c>
      <c r="X463" s="59">
        <f t="shared" si="143"/>
        <v>0.11202867727631674</v>
      </c>
      <c r="Y463" s="59">
        <f t="shared" si="144"/>
        <v>0.34616861278381872</v>
      </c>
      <c r="Z463" s="79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x14ac:dyDescent="0.3">
      <c r="A464" s="55">
        <v>2</v>
      </c>
      <c r="B464" s="59" t="s">
        <v>108</v>
      </c>
      <c r="C464" s="59">
        <f t="shared" si="134"/>
        <v>461</v>
      </c>
      <c r="D464" s="59">
        <f t="shared" si="137"/>
        <v>29.998170000000002</v>
      </c>
      <c r="E464" s="59">
        <f t="shared" si="136"/>
        <v>13.41</v>
      </c>
      <c r="F464" s="91">
        <f>($C$4/E464)+F463</f>
        <v>57.270481871908117</v>
      </c>
      <c r="G464" s="59">
        <f t="shared" si="135"/>
        <v>7000</v>
      </c>
      <c r="H464" s="59">
        <v>3</v>
      </c>
      <c r="I464" s="91">
        <f>E464-E463</f>
        <v>0</v>
      </c>
      <c r="J464" s="59">
        <f>(0.5*VEHICLE!$C$71*VEHICLE!$C$28*VEHICLE!$C$27*'Drive Cycle'!E464^2)</f>
        <v>159.97581505520998</v>
      </c>
      <c r="K464" s="59">
        <f>IF(A464=1,VEHICLE!$S$5,IF(A464=2,VEHICLE!$Q$5,IF(A464=3,VEHICLE!$R$5,IF(A464=4,VEHICLE!$P$5,1))))</f>
        <v>278.27536500000002</v>
      </c>
      <c r="L464" s="59">
        <f t="shared" si="127"/>
        <v>0</v>
      </c>
      <c r="M464" s="59">
        <f t="shared" si="145"/>
        <v>0</v>
      </c>
      <c r="N464" s="59">
        <f t="shared" si="138"/>
        <v>0</v>
      </c>
      <c r="O464" s="59">
        <f t="shared" si="139"/>
        <v>0</v>
      </c>
      <c r="P464" s="59">
        <f t="shared" si="140"/>
        <v>438.25118005521</v>
      </c>
      <c r="Q464" s="59">
        <f>IF(H464=1,I464*VEHICLE!$C$69,IF(H464=2,VEHICLE!$C$70*I464,IF(H464=3,VEHICLE!$C$71*I464,0)))</f>
        <v>0</v>
      </c>
      <c r="R464" s="59">
        <f>(J464+K464+O464+Q464)</f>
        <v>438.25118005521</v>
      </c>
      <c r="S464" s="59">
        <f t="shared" si="141"/>
        <v>438.25118005521</v>
      </c>
      <c r="T464" s="59">
        <f>ABS((R464)/((2*PI()*G464)/60))</f>
        <v>0.59785578532836803</v>
      </c>
      <c r="U464" s="59">
        <f t="shared" si="142"/>
        <v>1</v>
      </c>
      <c r="V464" s="59">
        <f>INDEX(BSFC!$D$4:$AD$26,MATCH(U464,BSFC!$B$4:$B$26,0),MATCH(G464,BSFC!$D$2:$AD$2,0))</f>
        <v>920.25590927999997</v>
      </c>
      <c r="W464" s="59">
        <f t="shared" si="146"/>
        <v>0.11202867727631674</v>
      </c>
      <c r="X464" s="59">
        <f t="shared" si="143"/>
        <v>0.11202867727631674</v>
      </c>
      <c r="Y464" s="59">
        <f t="shared" si="144"/>
        <v>0.34616861278381872</v>
      </c>
      <c r="Z464" s="79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x14ac:dyDescent="0.3">
      <c r="A465" s="55">
        <v>2</v>
      </c>
      <c r="B465" s="59" t="s">
        <v>108</v>
      </c>
      <c r="C465" s="59">
        <f t="shared" si="134"/>
        <v>462</v>
      </c>
      <c r="D465" s="59">
        <f t="shared" si="137"/>
        <v>29.998170000000002</v>
      </c>
      <c r="E465" s="59">
        <f t="shared" si="136"/>
        <v>13.41</v>
      </c>
      <c r="F465" s="91">
        <f>($C$4/E465)+F464</f>
        <v>57.345053087418933</v>
      </c>
      <c r="G465" s="59">
        <f t="shared" si="135"/>
        <v>7000</v>
      </c>
      <c r="H465" s="59">
        <v>3</v>
      </c>
      <c r="I465" s="91">
        <f>E465-E464</f>
        <v>0</v>
      </c>
      <c r="J465" s="59">
        <f>(0.5*VEHICLE!$C$71*VEHICLE!$C$28*VEHICLE!$C$27*'Drive Cycle'!E465^2)</f>
        <v>159.97581505520998</v>
      </c>
      <c r="K465" s="59">
        <f>IF(A465=1,VEHICLE!$S$5,IF(A465=2,VEHICLE!$Q$5,IF(A465=3,VEHICLE!$R$5,IF(A465=4,VEHICLE!$P$5,1))))</f>
        <v>278.27536500000002</v>
      </c>
      <c r="L465" s="59">
        <f t="shared" si="127"/>
        <v>0</v>
      </c>
      <c r="M465" s="59">
        <f t="shared" si="145"/>
        <v>0</v>
      </c>
      <c r="N465" s="59">
        <f t="shared" si="138"/>
        <v>0</v>
      </c>
      <c r="O465" s="59">
        <f t="shared" si="139"/>
        <v>0</v>
      </c>
      <c r="P465" s="59">
        <f t="shared" si="140"/>
        <v>438.25118005521</v>
      </c>
      <c r="Q465" s="59">
        <f>IF(H465=1,I465*VEHICLE!$C$69,IF(H465=2,VEHICLE!$C$70*I465,IF(H465=3,VEHICLE!$C$71*I465,0)))</f>
        <v>0</v>
      </c>
      <c r="R465" s="59">
        <f>(J465+K465+O465+Q465)</f>
        <v>438.25118005521</v>
      </c>
      <c r="S465" s="59">
        <f t="shared" si="141"/>
        <v>438.25118005521</v>
      </c>
      <c r="T465" s="59">
        <f>ABS((R465)/((2*PI()*G465)/60))</f>
        <v>0.59785578532836803</v>
      </c>
      <c r="U465" s="59">
        <f t="shared" si="142"/>
        <v>1</v>
      </c>
      <c r="V465" s="59">
        <f>INDEX(BSFC!$D$4:$AD$26,MATCH(U465,BSFC!$B$4:$B$26,0),MATCH(G465,BSFC!$D$2:$AD$2,0))</f>
        <v>920.25590927999997</v>
      </c>
      <c r="W465" s="59">
        <f t="shared" si="146"/>
        <v>0.11202867727631674</v>
      </c>
      <c r="X465" s="59">
        <f t="shared" si="143"/>
        <v>0.11202867727631674</v>
      </c>
      <c r="Y465" s="59">
        <f t="shared" si="144"/>
        <v>0.34616861278381872</v>
      </c>
      <c r="Z465" s="79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x14ac:dyDescent="0.3">
      <c r="A466" s="55">
        <v>2</v>
      </c>
      <c r="B466" s="59" t="s">
        <v>108</v>
      </c>
      <c r="C466" s="59">
        <f t="shared" si="134"/>
        <v>463</v>
      </c>
      <c r="D466" s="59">
        <f t="shared" si="137"/>
        <v>29.998170000000002</v>
      </c>
      <c r="E466" s="59">
        <f t="shared" si="136"/>
        <v>13.41</v>
      </c>
      <c r="F466" s="91">
        <f>($C$4/E466)+F465</f>
        <v>57.419624302929748</v>
      </c>
      <c r="G466" s="59">
        <f t="shared" si="135"/>
        <v>7000</v>
      </c>
      <c r="H466" s="59">
        <v>3</v>
      </c>
      <c r="I466" s="91">
        <f>E466-E465</f>
        <v>0</v>
      </c>
      <c r="J466" s="59">
        <f>(0.5*VEHICLE!$C$71*VEHICLE!$C$28*VEHICLE!$C$27*'Drive Cycle'!E466^2)</f>
        <v>159.97581505520998</v>
      </c>
      <c r="K466" s="59">
        <f>IF(A466=1,VEHICLE!$S$5,IF(A466=2,VEHICLE!$Q$5,IF(A466=3,VEHICLE!$R$5,IF(A466=4,VEHICLE!$P$5,1))))</f>
        <v>278.27536500000002</v>
      </c>
      <c r="L466" s="59">
        <f t="shared" si="127"/>
        <v>0</v>
      </c>
      <c r="M466" s="59">
        <f t="shared" si="145"/>
        <v>0</v>
      </c>
      <c r="N466" s="59">
        <f t="shared" si="138"/>
        <v>0</v>
      </c>
      <c r="O466" s="59">
        <f t="shared" si="139"/>
        <v>0</v>
      </c>
      <c r="P466" s="59">
        <f t="shared" si="140"/>
        <v>438.25118005521</v>
      </c>
      <c r="Q466" s="59">
        <f>IF(H466=1,I466*VEHICLE!$C$69,IF(H466=2,VEHICLE!$C$70*I466,IF(H466=3,VEHICLE!$C$71*I466,0)))</f>
        <v>0</v>
      </c>
      <c r="R466" s="59">
        <f>(J466+K466+O466+Q466)</f>
        <v>438.25118005521</v>
      </c>
      <c r="S466" s="59">
        <f t="shared" si="141"/>
        <v>438.25118005521</v>
      </c>
      <c r="T466" s="59">
        <f>ABS((R466)/((2*PI()*G466)/60))</f>
        <v>0.59785578532836803</v>
      </c>
      <c r="U466" s="59">
        <f t="shared" si="142"/>
        <v>1</v>
      </c>
      <c r="V466" s="59">
        <f>INDEX(BSFC!$D$4:$AD$26,MATCH(U466,BSFC!$B$4:$B$26,0),MATCH(G466,BSFC!$D$2:$AD$2,0))</f>
        <v>920.25590927999997</v>
      </c>
      <c r="W466" s="59">
        <f t="shared" si="146"/>
        <v>0.11202867727631674</v>
      </c>
      <c r="X466" s="59">
        <f t="shared" si="143"/>
        <v>0.11202867727631674</v>
      </c>
      <c r="Y466" s="59">
        <f t="shared" si="144"/>
        <v>0.34616861278381872</v>
      </c>
      <c r="Z466" s="79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x14ac:dyDescent="0.3">
      <c r="A467" s="55">
        <v>2</v>
      </c>
      <c r="B467" s="59" t="s">
        <v>108</v>
      </c>
      <c r="C467" s="59">
        <f t="shared" si="134"/>
        <v>464</v>
      </c>
      <c r="D467" s="59">
        <f t="shared" si="137"/>
        <v>29.998170000000002</v>
      </c>
      <c r="E467" s="59">
        <f t="shared" si="136"/>
        <v>13.41</v>
      </c>
      <c r="F467" s="91">
        <f>($C$4/E467)+F466</f>
        <v>57.494195518440563</v>
      </c>
      <c r="G467" s="59">
        <f t="shared" si="135"/>
        <v>7000</v>
      </c>
      <c r="H467" s="59">
        <v>3</v>
      </c>
      <c r="I467" s="91">
        <f>E467-E466</f>
        <v>0</v>
      </c>
      <c r="J467" s="59">
        <f>(0.5*VEHICLE!$C$71*VEHICLE!$C$28*VEHICLE!$C$27*'Drive Cycle'!E467^2)</f>
        <v>159.97581505520998</v>
      </c>
      <c r="K467" s="59">
        <f>IF(A467=1,VEHICLE!$S$5,IF(A467=2,VEHICLE!$Q$5,IF(A467=3,VEHICLE!$R$5,IF(A467=4,VEHICLE!$P$5,1))))</f>
        <v>278.27536500000002</v>
      </c>
      <c r="L467" s="59">
        <f t="shared" si="127"/>
        <v>0</v>
      </c>
      <c r="M467" s="59">
        <f t="shared" si="145"/>
        <v>0</v>
      </c>
      <c r="N467" s="59">
        <f t="shared" si="138"/>
        <v>0</v>
      </c>
      <c r="O467" s="59">
        <f t="shared" si="139"/>
        <v>0</v>
      </c>
      <c r="P467" s="59">
        <f t="shared" si="140"/>
        <v>438.25118005521</v>
      </c>
      <c r="Q467" s="59">
        <f>IF(H467=1,I467*VEHICLE!$C$69,IF(H467=2,VEHICLE!$C$70*I467,IF(H467=3,VEHICLE!$C$71*I467,0)))</f>
        <v>0</v>
      </c>
      <c r="R467" s="59">
        <f>(J467+K467+O467+Q467)</f>
        <v>438.25118005521</v>
      </c>
      <c r="S467" s="59">
        <f t="shared" si="141"/>
        <v>438.25118005521</v>
      </c>
      <c r="T467" s="59">
        <f>ABS((R467)/((2*PI()*G467)/60))</f>
        <v>0.59785578532836803</v>
      </c>
      <c r="U467" s="59">
        <f t="shared" si="142"/>
        <v>1</v>
      </c>
      <c r="V467" s="59">
        <f>INDEX(BSFC!$D$4:$AD$26,MATCH(U467,BSFC!$B$4:$B$26,0),MATCH(G467,BSFC!$D$2:$AD$2,0))</f>
        <v>920.25590927999997</v>
      </c>
      <c r="W467" s="59">
        <f t="shared" si="146"/>
        <v>0.11202867727631674</v>
      </c>
      <c r="X467" s="59">
        <f t="shared" si="143"/>
        <v>0.11202867727631674</v>
      </c>
      <c r="Y467" s="59">
        <f t="shared" si="144"/>
        <v>0.34616861278381872</v>
      </c>
      <c r="Z467" s="79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x14ac:dyDescent="0.3">
      <c r="A468" s="55">
        <v>2</v>
      </c>
      <c r="B468" s="59" t="s">
        <v>108</v>
      </c>
      <c r="C468" s="59">
        <f t="shared" si="134"/>
        <v>465</v>
      </c>
      <c r="D468" s="59">
        <f t="shared" si="137"/>
        <v>29.998170000000002</v>
      </c>
      <c r="E468" s="59">
        <f t="shared" si="136"/>
        <v>13.41</v>
      </c>
      <c r="F468" s="91">
        <f>($C$4/E468)+F467</f>
        <v>57.568766733951378</v>
      </c>
      <c r="G468" s="59">
        <f t="shared" si="135"/>
        <v>7000</v>
      </c>
      <c r="H468" s="59">
        <v>3</v>
      </c>
      <c r="I468" s="91">
        <f>E468-E467</f>
        <v>0</v>
      </c>
      <c r="J468" s="59">
        <f>(0.5*VEHICLE!$C$71*VEHICLE!$C$28*VEHICLE!$C$27*'Drive Cycle'!E468^2)</f>
        <v>159.97581505520998</v>
      </c>
      <c r="K468" s="59">
        <f>IF(A468=1,VEHICLE!$S$5,IF(A468=2,VEHICLE!$Q$5,IF(A468=3,VEHICLE!$R$5,IF(A468=4,VEHICLE!$P$5,1))))</f>
        <v>278.27536500000002</v>
      </c>
      <c r="L468" s="59">
        <f t="shared" ref="L468:L531" si="147">L467</f>
        <v>0</v>
      </c>
      <c r="M468" s="59">
        <f t="shared" si="145"/>
        <v>0</v>
      </c>
      <c r="N468" s="59">
        <f t="shared" si="138"/>
        <v>0</v>
      </c>
      <c r="O468" s="59">
        <f t="shared" si="139"/>
        <v>0</v>
      </c>
      <c r="P468" s="59">
        <f t="shared" si="140"/>
        <v>438.25118005521</v>
      </c>
      <c r="Q468" s="59">
        <f>IF(H468=1,I468*VEHICLE!$C$69,IF(H468=2,VEHICLE!$C$70*I468,IF(H468=3,VEHICLE!$C$71*I468,0)))</f>
        <v>0</v>
      </c>
      <c r="R468" s="59">
        <f>(J468+K468+O468+Q468)</f>
        <v>438.25118005521</v>
      </c>
      <c r="S468" s="59">
        <f t="shared" si="141"/>
        <v>438.25118005521</v>
      </c>
      <c r="T468" s="59">
        <f>ABS((R468)/((2*PI()*G468)/60))</f>
        <v>0.59785578532836803</v>
      </c>
      <c r="U468" s="59">
        <f t="shared" si="142"/>
        <v>1</v>
      </c>
      <c r="V468" s="59">
        <f>INDEX(BSFC!$D$4:$AD$26,MATCH(U468,BSFC!$B$4:$B$26,0),MATCH(G468,BSFC!$D$2:$AD$2,0))</f>
        <v>920.25590927999997</v>
      </c>
      <c r="W468" s="59">
        <f t="shared" si="146"/>
        <v>0.11202867727631674</v>
      </c>
      <c r="X468" s="59">
        <f t="shared" si="143"/>
        <v>0.11202867727631674</v>
      </c>
      <c r="Y468" s="59">
        <f t="shared" si="144"/>
        <v>0.34616861278381872</v>
      </c>
      <c r="Z468" s="79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x14ac:dyDescent="0.3">
      <c r="A469" s="55">
        <v>2</v>
      </c>
      <c r="B469" s="59" t="s">
        <v>108</v>
      </c>
      <c r="C469" s="59">
        <f t="shared" si="134"/>
        <v>466</v>
      </c>
      <c r="D469" s="59">
        <f t="shared" si="137"/>
        <v>29.998170000000002</v>
      </c>
      <c r="E469" s="59">
        <f t="shared" si="136"/>
        <v>13.41</v>
      </c>
      <c r="F469" s="91">
        <f>($C$4/E469)+F468</f>
        <v>57.643337949462193</v>
      </c>
      <c r="G469" s="59">
        <f t="shared" si="135"/>
        <v>7000</v>
      </c>
      <c r="H469" s="59">
        <v>3</v>
      </c>
      <c r="I469" s="91">
        <f>E469-E468</f>
        <v>0</v>
      </c>
      <c r="J469" s="59">
        <f>(0.5*VEHICLE!$C$71*VEHICLE!$C$28*VEHICLE!$C$27*'Drive Cycle'!E469^2)</f>
        <v>159.97581505520998</v>
      </c>
      <c r="K469" s="59">
        <f>IF(A469=1,VEHICLE!$S$5,IF(A469=2,VEHICLE!$Q$5,IF(A469=3,VEHICLE!$R$5,IF(A469=4,VEHICLE!$P$5,1))))</f>
        <v>278.27536500000002</v>
      </c>
      <c r="L469" s="59">
        <f t="shared" si="147"/>
        <v>0</v>
      </c>
      <c r="M469" s="59">
        <f t="shared" si="145"/>
        <v>0</v>
      </c>
      <c r="N469" s="59">
        <f t="shared" si="138"/>
        <v>0</v>
      </c>
      <c r="O469" s="59">
        <f t="shared" si="139"/>
        <v>0</v>
      </c>
      <c r="P469" s="59">
        <f t="shared" si="140"/>
        <v>438.25118005521</v>
      </c>
      <c r="Q469" s="59">
        <f>IF(H469=1,I469*VEHICLE!$C$69,IF(H469=2,VEHICLE!$C$70*I469,IF(H469=3,VEHICLE!$C$71*I469,0)))</f>
        <v>0</v>
      </c>
      <c r="R469" s="59">
        <f>(J469+K469+O469+Q469)</f>
        <v>438.25118005521</v>
      </c>
      <c r="S469" s="59">
        <f t="shared" si="141"/>
        <v>438.25118005521</v>
      </c>
      <c r="T469" s="59">
        <f>ABS((R469)/((2*PI()*G469)/60))</f>
        <v>0.59785578532836803</v>
      </c>
      <c r="U469" s="59">
        <f t="shared" si="142"/>
        <v>1</v>
      </c>
      <c r="V469" s="59">
        <f>INDEX(BSFC!$D$4:$AD$26,MATCH(U469,BSFC!$B$4:$B$26,0),MATCH(G469,BSFC!$D$2:$AD$2,0))</f>
        <v>920.25590927999997</v>
      </c>
      <c r="W469" s="59">
        <f t="shared" si="146"/>
        <v>0.11202867727631674</v>
      </c>
      <c r="X469" s="59">
        <f t="shared" si="143"/>
        <v>0.11202867727631674</v>
      </c>
      <c r="Y469" s="59">
        <f t="shared" si="144"/>
        <v>0.34616861278381872</v>
      </c>
      <c r="Z469" s="79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x14ac:dyDescent="0.3">
      <c r="A470" s="55">
        <v>2</v>
      </c>
      <c r="B470" s="59" t="s">
        <v>108</v>
      </c>
      <c r="C470" s="59">
        <f t="shared" si="134"/>
        <v>467</v>
      </c>
      <c r="D470" s="59">
        <f t="shared" si="137"/>
        <v>29.998170000000002</v>
      </c>
      <c r="E470" s="59">
        <f t="shared" si="136"/>
        <v>13.41</v>
      </c>
      <c r="F470" s="91">
        <f>($C$4/E470)+F469</f>
        <v>57.717909164973008</v>
      </c>
      <c r="G470" s="59">
        <f t="shared" si="135"/>
        <v>7000</v>
      </c>
      <c r="H470" s="59">
        <v>3</v>
      </c>
      <c r="I470" s="91">
        <f>E470-E469</f>
        <v>0</v>
      </c>
      <c r="J470" s="59">
        <f>(0.5*VEHICLE!$C$71*VEHICLE!$C$28*VEHICLE!$C$27*'Drive Cycle'!E470^2)</f>
        <v>159.97581505520998</v>
      </c>
      <c r="K470" s="59">
        <f>IF(A470=1,VEHICLE!$S$5,IF(A470=2,VEHICLE!$Q$5,IF(A470=3,VEHICLE!$R$5,IF(A470=4,VEHICLE!$P$5,1))))</f>
        <v>278.27536500000002</v>
      </c>
      <c r="L470" s="59">
        <f t="shared" si="147"/>
        <v>0</v>
      </c>
      <c r="M470" s="59">
        <f t="shared" si="145"/>
        <v>0</v>
      </c>
      <c r="N470" s="59">
        <f t="shared" si="138"/>
        <v>0</v>
      </c>
      <c r="O470" s="59">
        <f t="shared" si="139"/>
        <v>0</v>
      </c>
      <c r="P470" s="59">
        <f t="shared" si="140"/>
        <v>438.25118005521</v>
      </c>
      <c r="Q470" s="59">
        <f>IF(H470=1,I470*VEHICLE!$C$69,IF(H470=2,VEHICLE!$C$70*I470,IF(H470=3,VEHICLE!$C$71*I470,0)))</f>
        <v>0</v>
      </c>
      <c r="R470" s="59">
        <f>(J470+K470+O470+Q470)</f>
        <v>438.25118005521</v>
      </c>
      <c r="S470" s="59">
        <f t="shared" si="141"/>
        <v>438.25118005521</v>
      </c>
      <c r="T470" s="59">
        <f>ABS((R470)/((2*PI()*G470)/60))</f>
        <v>0.59785578532836803</v>
      </c>
      <c r="U470" s="59">
        <f t="shared" si="142"/>
        <v>1</v>
      </c>
      <c r="V470" s="59">
        <f>INDEX(BSFC!$D$4:$AD$26,MATCH(U470,BSFC!$B$4:$B$26,0),MATCH(G470,BSFC!$D$2:$AD$2,0))</f>
        <v>920.25590927999997</v>
      </c>
      <c r="W470" s="59">
        <f t="shared" si="146"/>
        <v>0.11202867727631674</v>
      </c>
      <c r="X470" s="59">
        <f t="shared" si="143"/>
        <v>0.11202867727631674</v>
      </c>
      <c r="Y470" s="59">
        <f t="shared" si="144"/>
        <v>0.34616861278381872</v>
      </c>
      <c r="Z470" s="79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x14ac:dyDescent="0.3">
      <c r="A471" s="55">
        <v>2</v>
      </c>
      <c r="B471" s="59" t="s">
        <v>108</v>
      </c>
      <c r="C471" s="59">
        <f t="shared" si="134"/>
        <v>468</v>
      </c>
      <c r="D471" s="59">
        <f t="shared" si="137"/>
        <v>29.998170000000002</v>
      </c>
      <c r="E471" s="59">
        <f t="shared" si="136"/>
        <v>13.41</v>
      </c>
      <c r="F471" s="91">
        <f>($C$4/E471)+F470</f>
        <v>57.792480380483823</v>
      </c>
      <c r="G471" s="59">
        <f t="shared" si="135"/>
        <v>7000</v>
      </c>
      <c r="H471" s="59">
        <v>3</v>
      </c>
      <c r="I471" s="91">
        <f>E471-E470</f>
        <v>0</v>
      </c>
      <c r="J471" s="59">
        <f>(0.5*VEHICLE!$C$71*VEHICLE!$C$28*VEHICLE!$C$27*'Drive Cycle'!E471^2)</f>
        <v>159.97581505520998</v>
      </c>
      <c r="K471" s="59">
        <f>IF(A471=1,VEHICLE!$S$5,IF(A471=2,VEHICLE!$Q$5,IF(A471=3,VEHICLE!$R$5,IF(A471=4,VEHICLE!$P$5,1))))</f>
        <v>278.27536500000002</v>
      </c>
      <c r="L471" s="59">
        <f t="shared" si="147"/>
        <v>0</v>
      </c>
      <c r="M471" s="59">
        <f t="shared" si="145"/>
        <v>0</v>
      </c>
      <c r="N471" s="59">
        <f t="shared" si="138"/>
        <v>0</v>
      </c>
      <c r="O471" s="59">
        <f t="shared" si="139"/>
        <v>0</v>
      </c>
      <c r="P471" s="59">
        <f t="shared" si="140"/>
        <v>438.25118005521</v>
      </c>
      <c r="Q471" s="59">
        <f>IF(H471=1,I471*VEHICLE!$C$69,IF(H471=2,VEHICLE!$C$70*I471,IF(H471=3,VEHICLE!$C$71*I471,0)))</f>
        <v>0</v>
      </c>
      <c r="R471" s="59">
        <f>(J471+K471+O471+Q471)</f>
        <v>438.25118005521</v>
      </c>
      <c r="S471" s="59">
        <f t="shared" si="141"/>
        <v>438.25118005521</v>
      </c>
      <c r="T471" s="59">
        <f>ABS((R471)/((2*PI()*G471)/60))</f>
        <v>0.59785578532836803</v>
      </c>
      <c r="U471" s="59">
        <f t="shared" si="142"/>
        <v>1</v>
      </c>
      <c r="V471" s="59">
        <f>INDEX(BSFC!$D$4:$AD$26,MATCH(U471,BSFC!$B$4:$B$26,0),MATCH(G471,BSFC!$D$2:$AD$2,0))</f>
        <v>920.25590927999997</v>
      </c>
      <c r="W471" s="59">
        <f t="shared" si="146"/>
        <v>0.11202867727631674</v>
      </c>
      <c r="X471" s="59">
        <f t="shared" si="143"/>
        <v>0.11202867727631674</v>
      </c>
      <c r="Y471" s="59">
        <f t="shared" si="144"/>
        <v>0.34616861278381872</v>
      </c>
      <c r="Z471" s="79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x14ac:dyDescent="0.3">
      <c r="A472" s="55">
        <v>2</v>
      </c>
      <c r="B472" s="59" t="s">
        <v>108</v>
      </c>
      <c r="C472" s="59">
        <f t="shared" si="134"/>
        <v>469</v>
      </c>
      <c r="D472" s="59">
        <f t="shared" si="137"/>
        <v>29.998170000000002</v>
      </c>
      <c r="E472" s="59">
        <f t="shared" si="136"/>
        <v>13.41</v>
      </c>
      <c r="F472" s="91">
        <f>($C$4/E472)+F471</f>
        <v>57.867051595994639</v>
      </c>
      <c r="G472" s="59">
        <f t="shared" si="135"/>
        <v>7000</v>
      </c>
      <c r="H472" s="59">
        <v>3</v>
      </c>
      <c r="I472" s="91">
        <f>E472-E471</f>
        <v>0</v>
      </c>
      <c r="J472" s="59">
        <f>(0.5*VEHICLE!$C$71*VEHICLE!$C$28*VEHICLE!$C$27*'Drive Cycle'!E472^2)</f>
        <v>159.97581505520998</v>
      </c>
      <c r="K472" s="59">
        <f>IF(A472=1,VEHICLE!$S$5,IF(A472=2,VEHICLE!$Q$5,IF(A472=3,VEHICLE!$R$5,IF(A472=4,VEHICLE!$P$5,1))))</f>
        <v>278.27536500000002</v>
      </c>
      <c r="L472" s="59">
        <f t="shared" si="147"/>
        <v>0</v>
      </c>
      <c r="M472" s="59">
        <f t="shared" si="145"/>
        <v>0</v>
      </c>
      <c r="N472" s="59">
        <f t="shared" si="138"/>
        <v>0</v>
      </c>
      <c r="O472" s="59">
        <f t="shared" si="139"/>
        <v>0</v>
      </c>
      <c r="P472" s="59">
        <f t="shared" si="140"/>
        <v>438.25118005521</v>
      </c>
      <c r="Q472" s="59">
        <f>IF(H472=1,I472*VEHICLE!$C$69,IF(H472=2,VEHICLE!$C$70*I472,IF(H472=3,VEHICLE!$C$71*I472,0)))</f>
        <v>0</v>
      </c>
      <c r="R472" s="59">
        <f>(J472+K472+O472+Q472)</f>
        <v>438.25118005521</v>
      </c>
      <c r="S472" s="59">
        <f t="shared" si="141"/>
        <v>438.25118005521</v>
      </c>
      <c r="T472" s="59">
        <f>ABS((R472)/((2*PI()*G472)/60))</f>
        <v>0.59785578532836803</v>
      </c>
      <c r="U472" s="59">
        <f t="shared" si="142"/>
        <v>1</v>
      </c>
      <c r="V472" s="59">
        <f>INDEX(BSFC!$D$4:$AD$26,MATCH(U472,BSFC!$B$4:$B$26,0),MATCH(G472,BSFC!$D$2:$AD$2,0))</f>
        <v>920.25590927999997</v>
      </c>
      <c r="W472" s="59">
        <f t="shared" si="146"/>
        <v>0.11202867727631674</v>
      </c>
      <c r="X472" s="59">
        <f t="shared" si="143"/>
        <v>0.11202867727631674</v>
      </c>
      <c r="Y472" s="59">
        <f t="shared" si="144"/>
        <v>0.34616861278381872</v>
      </c>
      <c r="Z472" s="79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x14ac:dyDescent="0.3">
      <c r="A473" s="55">
        <v>2</v>
      </c>
      <c r="B473" s="59" t="s">
        <v>108</v>
      </c>
      <c r="C473" s="59">
        <f t="shared" si="134"/>
        <v>470</v>
      </c>
      <c r="D473" s="59">
        <f t="shared" si="137"/>
        <v>29.998170000000002</v>
      </c>
      <c r="E473" s="59">
        <f t="shared" si="136"/>
        <v>13.41</v>
      </c>
      <c r="F473" s="91">
        <f>($C$4/E473)+F472</f>
        <v>57.941622811505454</v>
      </c>
      <c r="G473" s="59">
        <f t="shared" si="135"/>
        <v>7000</v>
      </c>
      <c r="H473" s="59">
        <v>3</v>
      </c>
      <c r="I473" s="91">
        <f>E473-E472</f>
        <v>0</v>
      </c>
      <c r="J473" s="59">
        <f>(0.5*VEHICLE!$C$71*VEHICLE!$C$28*VEHICLE!$C$27*'Drive Cycle'!E473^2)</f>
        <v>159.97581505520998</v>
      </c>
      <c r="K473" s="59">
        <f>IF(A473=1,VEHICLE!$S$5,IF(A473=2,VEHICLE!$Q$5,IF(A473=3,VEHICLE!$R$5,IF(A473=4,VEHICLE!$P$5,1))))</f>
        <v>278.27536500000002</v>
      </c>
      <c r="L473" s="59">
        <f t="shared" si="147"/>
        <v>0</v>
      </c>
      <c r="M473" s="59">
        <f t="shared" si="145"/>
        <v>0</v>
      </c>
      <c r="N473" s="59">
        <f t="shared" si="138"/>
        <v>0</v>
      </c>
      <c r="O473" s="59">
        <f t="shared" si="139"/>
        <v>0</v>
      </c>
      <c r="P473" s="59">
        <f t="shared" si="140"/>
        <v>438.25118005521</v>
      </c>
      <c r="Q473" s="59">
        <f>IF(H473=1,I473*VEHICLE!$C$69,IF(H473=2,VEHICLE!$C$70*I473,IF(H473=3,VEHICLE!$C$71*I473,0)))</f>
        <v>0</v>
      </c>
      <c r="R473" s="59">
        <f>(J473+K473+O473+Q473)</f>
        <v>438.25118005521</v>
      </c>
      <c r="S473" s="59">
        <f t="shared" si="141"/>
        <v>438.25118005521</v>
      </c>
      <c r="T473" s="59">
        <f>ABS((R473)/((2*PI()*G473)/60))</f>
        <v>0.59785578532836803</v>
      </c>
      <c r="U473" s="59">
        <f t="shared" si="142"/>
        <v>1</v>
      </c>
      <c r="V473" s="59">
        <f>INDEX(BSFC!$D$4:$AD$26,MATCH(U473,BSFC!$B$4:$B$26,0),MATCH(G473,BSFC!$D$2:$AD$2,0))</f>
        <v>920.25590927999997</v>
      </c>
      <c r="W473" s="59">
        <f t="shared" si="146"/>
        <v>0.11202867727631674</v>
      </c>
      <c r="X473" s="59">
        <f t="shared" si="143"/>
        <v>0.11202867727631674</v>
      </c>
      <c r="Y473" s="59">
        <f t="shared" si="144"/>
        <v>0.34616861278381872</v>
      </c>
      <c r="Z473" s="79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x14ac:dyDescent="0.3">
      <c r="A474" s="55">
        <v>2</v>
      </c>
      <c r="B474" s="59" t="s">
        <v>108</v>
      </c>
      <c r="C474" s="59">
        <f t="shared" si="134"/>
        <v>471</v>
      </c>
      <c r="D474" s="59">
        <f t="shared" si="137"/>
        <v>29.998170000000002</v>
      </c>
      <c r="E474" s="59">
        <f t="shared" si="136"/>
        <v>13.41</v>
      </c>
      <c r="F474" s="91">
        <f>($C$4/E474)+F473</f>
        <v>58.016194027016269</v>
      </c>
      <c r="G474" s="59">
        <f t="shared" si="135"/>
        <v>7000</v>
      </c>
      <c r="H474" s="59">
        <v>3</v>
      </c>
      <c r="I474" s="91">
        <f>E474-E473</f>
        <v>0</v>
      </c>
      <c r="J474" s="59">
        <f>(0.5*VEHICLE!$C$71*VEHICLE!$C$28*VEHICLE!$C$27*'Drive Cycle'!E474^2)</f>
        <v>159.97581505520998</v>
      </c>
      <c r="K474" s="59">
        <f>IF(A474=1,VEHICLE!$S$5,IF(A474=2,VEHICLE!$Q$5,IF(A474=3,VEHICLE!$R$5,IF(A474=4,VEHICLE!$P$5,1))))</f>
        <v>278.27536500000002</v>
      </c>
      <c r="L474" s="59">
        <f t="shared" si="147"/>
        <v>0</v>
      </c>
      <c r="M474" s="59">
        <f t="shared" si="145"/>
        <v>0</v>
      </c>
      <c r="N474" s="59">
        <f t="shared" si="138"/>
        <v>0</v>
      </c>
      <c r="O474" s="59">
        <f t="shared" si="139"/>
        <v>0</v>
      </c>
      <c r="P474" s="59">
        <f t="shared" si="140"/>
        <v>438.25118005521</v>
      </c>
      <c r="Q474" s="59">
        <f>IF(H474=1,I474*VEHICLE!$C$69,IF(H474=2,VEHICLE!$C$70*I474,IF(H474=3,VEHICLE!$C$71*I474,0)))</f>
        <v>0</v>
      </c>
      <c r="R474" s="59">
        <f>(J474+K474+O474+Q474)</f>
        <v>438.25118005521</v>
      </c>
      <c r="S474" s="59">
        <f t="shared" si="141"/>
        <v>438.25118005521</v>
      </c>
      <c r="T474" s="59">
        <f>ABS((R474)/((2*PI()*G474)/60))</f>
        <v>0.59785578532836803</v>
      </c>
      <c r="U474" s="59">
        <f t="shared" si="142"/>
        <v>1</v>
      </c>
      <c r="V474" s="59">
        <f>INDEX(BSFC!$D$4:$AD$26,MATCH(U474,BSFC!$B$4:$B$26,0),MATCH(G474,BSFC!$D$2:$AD$2,0))</f>
        <v>920.25590927999997</v>
      </c>
      <c r="W474" s="59">
        <f t="shared" si="146"/>
        <v>0.11202867727631674</v>
      </c>
      <c r="X474" s="59">
        <f t="shared" si="143"/>
        <v>0.11202867727631674</v>
      </c>
      <c r="Y474" s="59">
        <f t="shared" si="144"/>
        <v>0.34616861278381872</v>
      </c>
      <c r="Z474" s="79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x14ac:dyDescent="0.3">
      <c r="A475" s="55">
        <v>2</v>
      </c>
      <c r="B475" s="59" t="s">
        <v>108</v>
      </c>
      <c r="C475" s="59">
        <f t="shared" si="134"/>
        <v>472</v>
      </c>
      <c r="D475" s="59">
        <f t="shared" si="137"/>
        <v>29.998170000000002</v>
      </c>
      <c r="E475" s="59">
        <f t="shared" si="136"/>
        <v>13.41</v>
      </c>
      <c r="F475" s="91">
        <f>($C$4/E475)+F474</f>
        <v>58.090765242527084</v>
      </c>
      <c r="G475" s="59">
        <f t="shared" si="135"/>
        <v>7000</v>
      </c>
      <c r="H475" s="59">
        <v>3</v>
      </c>
      <c r="I475" s="91">
        <f>E475-E474</f>
        <v>0</v>
      </c>
      <c r="J475" s="59">
        <f>(0.5*VEHICLE!$C$71*VEHICLE!$C$28*VEHICLE!$C$27*'Drive Cycle'!E475^2)</f>
        <v>159.97581505520998</v>
      </c>
      <c r="K475" s="59">
        <f>IF(A475=1,VEHICLE!$S$5,IF(A475=2,VEHICLE!$Q$5,IF(A475=3,VEHICLE!$R$5,IF(A475=4,VEHICLE!$P$5,1))))</f>
        <v>278.27536500000002</v>
      </c>
      <c r="L475" s="59">
        <f t="shared" si="147"/>
        <v>0</v>
      </c>
      <c r="M475" s="59">
        <f t="shared" si="145"/>
        <v>0</v>
      </c>
      <c r="N475" s="59">
        <f t="shared" si="138"/>
        <v>0</v>
      </c>
      <c r="O475" s="59">
        <f t="shared" si="139"/>
        <v>0</v>
      </c>
      <c r="P475" s="59">
        <f t="shared" si="140"/>
        <v>438.25118005521</v>
      </c>
      <c r="Q475" s="59">
        <f>IF(H475=1,I475*VEHICLE!$C$69,IF(H475=2,VEHICLE!$C$70*I475,IF(H475=3,VEHICLE!$C$71*I475,0)))</f>
        <v>0</v>
      </c>
      <c r="R475" s="59">
        <f>(J475+K475+O475+Q475)</f>
        <v>438.25118005521</v>
      </c>
      <c r="S475" s="59">
        <f t="shared" si="141"/>
        <v>438.25118005521</v>
      </c>
      <c r="T475" s="59">
        <f>ABS((R475)/((2*PI()*G475)/60))</f>
        <v>0.59785578532836803</v>
      </c>
      <c r="U475" s="59">
        <f t="shared" si="142"/>
        <v>1</v>
      </c>
      <c r="V475" s="59">
        <f>INDEX(BSFC!$D$4:$AD$26,MATCH(U475,BSFC!$B$4:$B$26,0),MATCH(G475,BSFC!$D$2:$AD$2,0))</f>
        <v>920.25590927999997</v>
      </c>
      <c r="W475" s="59">
        <f t="shared" si="146"/>
        <v>0.11202867727631674</v>
      </c>
      <c r="X475" s="59">
        <f t="shared" si="143"/>
        <v>0.11202867727631674</v>
      </c>
      <c r="Y475" s="59">
        <f t="shared" si="144"/>
        <v>0.34616861278381872</v>
      </c>
      <c r="Z475" s="79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x14ac:dyDescent="0.3">
      <c r="A476" s="55">
        <v>2</v>
      </c>
      <c r="B476" s="59" t="s">
        <v>108</v>
      </c>
      <c r="C476" s="59">
        <f t="shared" si="134"/>
        <v>473</v>
      </c>
      <c r="D476" s="59">
        <f t="shared" si="137"/>
        <v>28.320420000000002</v>
      </c>
      <c r="E476" s="59">
        <f>E475-0.75</f>
        <v>12.66</v>
      </c>
      <c r="F476" s="91">
        <f>($C$4/E476)+F475</f>
        <v>58.169754184075266</v>
      </c>
      <c r="G476" s="59">
        <f>G475-500</f>
        <v>6500</v>
      </c>
      <c r="H476" s="59">
        <v>2</v>
      </c>
      <c r="I476" s="91">
        <f>E476-E475</f>
        <v>-0.75</v>
      </c>
      <c r="J476" s="59">
        <f>(0.5*VEHICLE!$C$71*VEHICLE!$C$28*VEHICLE!$C$27*'Drive Cycle'!E476^2)</f>
        <v>142.58183088995997</v>
      </c>
      <c r="K476" s="59">
        <f>IF(A476=1,VEHICLE!$S$5,IF(A476=2,VEHICLE!$Q$5,IF(A476=3,VEHICLE!$R$5,IF(A476=4,VEHICLE!$P$5,1))))</f>
        <v>278.27536500000002</v>
      </c>
      <c r="L476" s="59">
        <f t="shared" si="147"/>
        <v>0</v>
      </c>
      <c r="M476" s="59">
        <f t="shared" si="145"/>
        <v>0</v>
      </c>
      <c r="N476" s="59">
        <f t="shared" si="138"/>
        <v>0</v>
      </c>
      <c r="O476" s="59">
        <f t="shared" si="139"/>
        <v>0</v>
      </c>
      <c r="P476" s="59">
        <f t="shared" si="140"/>
        <v>420.85719588996</v>
      </c>
      <c r="Q476" s="59">
        <f>IF(H476=1,I476*VEHICLE!$C$69,IF(H476=2,VEHICLE!$C$70*I476,IF(H476=3,VEHICLE!$C$71*I476,0)))</f>
        <v>-438.86136489758803</v>
      </c>
      <c r="R476" s="59">
        <f>(J476+K476+O476+Q476)</f>
        <v>-18.004169007628036</v>
      </c>
      <c r="S476" s="59">
        <f t="shared" si="141"/>
        <v>18.004169007628036</v>
      </c>
      <c r="T476" s="59">
        <f>ABS((R476)/((2*PI()*G476)/60))</f>
        <v>2.645033071223913E-2</v>
      </c>
      <c r="U476" s="59">
        <f t="shared" si="142"/>
        <v>1</v>
      </c>
      <c r="V476" s="59">
        <f>INDEX(BSFC!$D$4:$AD$26,MATCH(U476,BSFC!$B$4:$B$26,0),MATCH(G476,BSFC!$D$2:$AD$2,0))</f>
        <v>925.65735288000019</v>
      </c>
      <c r="W476" s="59">
        <f t="shared" si="146"/>
        <v>-4.6293587290014192E-3</v>
      </c>
      <c r="X476" s="59">
        <f t="shared" si="143"/>
        <v>4.6293587290014192E-3</v>
      </c>
      <c r="Y476" s="59">
        <f t="shared" si="144"/>
        <v>-1.4304718472614384E-2</v>
      </c>
      <c r="Z476" s="79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x14ac:dyDescent="0.3">
      <c r="A477" s="55">
        <v>2</v>
      </c>
      <c r="B477" s="59" t="s">
        <v>108</v>
      </c>
      <c r="C477" s="59">
        <f t="shared" si="134"/>
        <v>474</v>
      </c>
      <c r="D477" s="59">
        <f t="shared" si="137"/>
        <v>26.642670000000003</v>
      </c>
      <c r="E477" s="59">
        <f t="shared" ref="E477:E488" si="148">E476-0.75</f>
        <v>11.91</v>
      </c>
      <c r="F477" s="91">
        <f>($C$4/E477)+F476</f>
        <v>58.253717240330516</v>
      </c>
      <c r="G477" s="59">
        <f t="shared" ref="G477:G487" si="149">G476-500</f>
        <v>6000</v>
      </c>
      <c r="H477" s="59">
        <v>2</v>
      </c>
      <c r="I477" s="91">
        <f>E477-E476</f>
        <v>-0.75</v>
      </c>
      <c r="J477" s="59">
        <f>(0.5*VEHICLE!$C$71*VEHICLE!$C$28*VEHICLE!$C$27*'Drive Cycle'!E477^2)</f>
        <v>126.18865133721</v>
      </c>
      <c r="K477" s="59">
        <f>IF(A477=1,VEHICLE!$S$5,IF(A477=2,VEHICLE!$Q$5,IF(A477=3,VEHICLE!$R$5,IF(A477=4,VEHICLE!$P$5,1))))</f>
        <v>278.27536500000002</v>
      </c>
      <c r="L477" s="59">
        <f t="shared" si="147"/>
        <v>0</v>
      </c>
      <c r="M477" s="59">
        <f t="shared" si="145"/>
        <v>0</v>
      </c>
      <c r="N477" s="59">
        <f t="shared" si="138"/>
        <v>0</v>
      </c>
      <c r="O477" s="59">
        <f t="shared" si="139"/>
        <v>0</v>
      </c>
      <c r="P477" s="59">
        <f t="shared" si="140"/>
        <v>404.46401633721001</v>
      </c>
      <c r="Q477" s="59">
        <f>IF(H477=1,I477*VEHICLE!$C$69,IF(H477=2,VEHICLE!$C$70*I477,IF(H477=3,VEHICLE!$C$71*I477,0)))</f>
        <v>-438.86136489758803</v>
      </c>
      <c r="R477" s="59">
        <f>(J477+K477+O477+Q477)</f>
        <v>-34.39734856037802</v>
      </c>
      <c r="S477" s="59">
        <f t="shared" si="141"/>
        <v>34.39734856037802</v>
      </c>
      <c r="T477" s="59">
        <f>ABS((R477)/((2*PI()*G477)/60))</f>
        <v>5.4745080526390516E-2</v>
      </c>
      <c r="U477" s="59">
        <f t="shared" si="142"/>
        <v>1</v>
      </c>
      <c r="V477" s="59">
        <f>INDEX(BSFC!$D$4:$AD$26,MATCH(U477,BSFC!$B$4:$B$26,0),MATCH(G477,BSFC!$D$2:$AD$2,0))</f>
        <v>933.91499472000044</v>
      </c>
      <c r="W477" s="59">
        <f t="shared" si="146"/>
        <v>-8.9233887775409595E-3</v>
      </c>
      <c r="X477" s="59">
        <f t="shared" si="143"/>
        <v>8.9233887775409595E-3</v>
      </c>
      <c r="Y477" s="59">
        <f t="shared" si="144"/>
        <v>-2.7573271322601563E-2</v>
      </c>
      <c r="Z477" s="79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x14ac:dyDescent="0.3">
      <c r="A478" s="55">
        <v>2</v>
      </c>
      <c r="B478" s="59" t="s">
        <v>108</v>
      </c>
      <c r="C478" s="59">
        <f t="shared" si="134"/>
        <v>475</v>
      </c>
      <c r="D478" s="59">
        <f t="shared" si="137"/>
        <v>24.964920000000003</v>
      </c>
      <c r="E478" s="59">
        <f t="shared" si="148"/>
        <v>11.16</v>
      </c>
      <c r="F478" s="91">
        <f>($C$4/E478)+F477</f>
        <v>58.343322975097543</v>
      </c>
      <c r="G478" s="59">
        <f t="shared" si="149"/>
        <v>5500</v>
      </c>
      <c r="H478" s="59">
        <v>2</v>
      </c>
      <c r="I478" s="91">
        <f>E478-E477</f>
        <v>-0.75</v>
      </c>
      <c r="J478" s="59">
        <f>(0.5*VEHICLE!$C$71*VEHICLE!$C$28*VEHICLE!$C$27*'Drive Cycle'!E478^2)</f>
        <v>110.79627639696</v>
      </c>
      <c r="K478" s="59">
        <f>IF(A478=1,VEHICLE!$S$5,IF(A478=2,VEHICLE!$Q$5,IF(A478=3,VEHICLE!$R$5,IF(A478=4,VEHICLE!$P$5,1))))</f>
        <v>278.27536500000002</v>
      </c>
      <c r="L478" s="59">
        <f t="shared" si="147"/>
        <v>0</v>
      </c>
      <c r="M478" s="59">
        <f t="shared" si="145"/>
        <v>0</v>
      </c>
      <c r="N478" s="59">
        <f t="shared" si="138"/>
        <v>0</v>
      </c>
      <c r="O478" s="59">
        <f t="shared" si="139"/>
        <v>0</v>
      </c>
      <c r="P478" s="59">
        <f t="shared" si="140"/>
        <v>389.07164139695999</v>
      </c>
      <c r="Q478" s="59">
        <f>IF(H478=1,I478*VEHICLE!$C$69,IF(H478=2,VEHICLE!$C$70*I478,IF(H478=3,VEHICLE!$C$71*I478,0)))</f>
        <v>-438.86136489758803</v>
      </c>
      <c r="R478" s="59">
        <f>(J478+K478+O478+Q478)</f>
        <v>-49.789723500628043</v>
      </c>
      <c r="S478" s="59">
        <f t="shared" si="141"/>
        <v>49.789723500628043</v>
      </c>
      <c r="T478" s="59">
        <f>ABS((R478)/((2*PI()*G478)/60))</f>
        <v>8.6446697566949032E-2</v>
      </c>
      <c r="U478" s="59">
        <f t="shared" si="142"/>
        <v>1</v>
      </c>
      <c r="V478" s="59">
        <f>INDEX(BSFC!$D$4:$AD$26,MATCH(U478,BSFC!$B$4:$B$26,0),MATCH(G478,BSFC!$D$2:$AD$2,0))</f>
        <v>937.88833920000002</v>
      </c>
      <c r="W478" s="59">
        <f t="shared" si="146"/>
        <v>-1.2971444745342012E-2</v>
      </c>
      <c r="X478" s="59">
        <f t="shared" si="143"/>
        <v>1.2971444745342012E-2</v>
      </c>
      <c r="Y478" s="59">
        <f t="shared" si="144"/>
        <v>-4.008176426310682E-2</v>
      </c>
      <c r="Z478" s="79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x14ac:dyDescent="0.3">
      <c r="A479" s="55">
        <v>2</v>
      </c>
      <c r="B479" s="59" t="s">
        <v>108</v>
      </c>
      <c r="C479" s="59">
        <f t="shared" si="134"/>
        <v>476</v>
      </c>
      <c r="D479" s="59">
        <f t="shared" si="137"/>
        <v>23.28717</v>
      </c>
      <c r="E479" s="59">
        <f t="shared" si="148"/>
        <v>10.41</v>
      </c>
      <c r="F479" s="91">
        <f>($C$4/E479)+F478</f>
        <v>58.439384454444323</v>
      </c>
      <c r="G479" s="59">
        <f t="shared" si="149"/>
        <v>5000</v>
      </c>
      <c r="H479" s="59">
        <v>2</v>
      </c>
      <c r="I479" s="91">
        <f>E479-E478</f>
        <v>-0.75</v>
      </c>
      <c r="J479" s="59">
        <f>(0.5*VEHICLE!$C$71*VEHICLE!$C$28*VEHICLE!$C$27*'Drive Cycle'!E479^2)</f>
        <v>96.404706069209993</v>
      </c>
      <c r="K479" s="59">
        <f>IF(A479=1,VEHICLE!$S$5,IF(A479=2,VEHICLE!$Q$5,IF(A479=3,VEHICLE!$R$5,IF(A479=4,VEHICLE!$P$5,1))))</f>
        <v>278.27536500000002</v>
      </c>
      <c r="L479" s="59">
        <f t="shared" si="147"/>
        <v>0</v>
      </c>
      <c r="M479" s="59">
        <f t="shared" si="145"/>
        <v>0</v>
      </c>
      <c r="N479" s="59">
        <f t="shared" si="138"/>
        <v>0</v>
      </c>
      <c r="O479" s="59">
        <f t="shared" si="139"/>
        <v>0</v>
      </c>
      <c r="P479" s="59">
        <f t="shared" si="140"/>
        <v>374.68007106921004</v>
      </c>
      <c r="Q479" s="59">
        <f>IF(H479=1,I479*VEHICLE!$C$69,IF(H479=2,VEHICLE!$C$70*I479,IF(H479=3,VEHICLE!$C$71*I479,0)))</f>
        <v>-438.86136489758803</v>
      </c>
      <c r="R479" s="59">
        <f>(J479+K479+O479+Q479)</f>
        <v>-64.181293828377989</v>
      </c>
      <c r="S479" s="59">
        <f t="shared" si="141"/>
        <v>64.181293828377989</v>
      </c>
      <c r="T479" s="59">
        <f>ABS((R479)/((2*PI()*G479)/60))</f>
        <v>0.12257724200183655</v>
      </c>
      <c r="U479" s="59">
        <f t="shared" si="142"/>
        <v>1</v>
      </c>
      <c r="V479" s="59">
        <f>INDEX(BSFC!$D$4:$AD$26,MATCH(U479,BSFC!$B$4:$B$26,0),MATCH(G479,BSFC!$D$2:$AD$2,0))</f>
        <v>967.30583135999973</v>
      </c>
      <c r="W479" s="59">
        <f t="shared" si="146"/>
        <v>-1.7245261051227666E-2</v>
      </c>
      <c r="X479" s="59">
        <f t="shared" si="143"/>
        <v>1.7245261051227666E-2</v>
      </c>
      <c r="Y479" s="59">
        <f t="shared" si="144"/>
        <v>-5.3287856648293483E-2</v>
      </c>
      <c r="Z479" s="79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x14ac:dyDescent="0.3">
      <c r="A480" s="55">
        <v>2</v>
      </c>
      <c r="B480" s="59" t="s">
        <v>108</v>
      </c>
      <c r="C480" s="59">
        <f t="shared" si="134"/>
        <v>477</v>
      </c>
      <c r="D480" s="59">
        <f t="shared" si="137"/>
        <v>21.60942</v>
      </c>
      <c r="E480" s="59">
        <f t="shared" si="148"/>
        <v>9.66</v>
      </c>
      <c r="F480" s="91">
        <f>($C$4/E480)+F479</f>
        <v>58.54290412318138</v>
      </c>
      <c r="G480" s="59">
        <f t="shared" si="149"/>
        <v>4500</v>
      </c>
      <c r="H480" s="59">
        <v>2</v>
      </c>
      <c r="I480" s="91">
        <f>E480-E479</f>
        <v>-0.75</v>
      </c>
      <c r="J480" s="59">
        <f>(0.5*VEHICLE!$C$71*VEHICLE!$C$28*VEHICLE!$C$27*'Drive Cycle'!E480^2)</f>
        <v>83.013940353959995</v>
      </c>
      <c r="K480" s="59">
        <f>IF(A480=1,VEHICLE!$S$5,IF(A480=2,VEHICLE!$Q$5,IF(A480=3,VEHICLE!$R$5,IF(A480=4,VEHICLE!$P$5,1))))</f>
        <v>278.27536500000002</v>
      </c>
      <c r="L480" s="59">
        <f t="shared" si="147"/>
        <v>0</v>
      </c>
      <c r="M480" s="59">
        <f t="shared" si="145"/>
        <v>0</v>
      </c>
      <c r="N480" s="59">
        <f t="shared" si="138"/>
        <v>0</v>
      </c>
      <c r="O480" s="59">
        <f t="shared" si="139"/>
        <v>0</v>
      </c>
      <c r="P480" s="59">
        <f t="shared" si="140"/>
        <v>361.28930535396</v>
      </c>
      <c r="Q480" s="59">
        <f>IF(H480=1,I480*VEHICLE!$C$69,IF(H480=2,VEHICLE!$C$70*I480,IF(H480=3,VEHICLE!$C$71*I480,0)))</f>
        <v>-438.86136489758803</v>
      </c>
      <c r="R480" s="59">
        <f>(J480+K480+O480+Q480)</f>
        <v>-77.572059543628029</v>
      </c>
      <c r="S480" s="59">
        <f t="shared" si="141"/>
        <v>77.572059543628029</v>
      </c>
      <c r="T480" s="59">
        <f>ABS((R480)/((2*PI()*G480)/60))</f>
        <v>0.16461302296249647</v>
      </c>
      <c r="U480" s="59">
        <f t="shared" si="142"/>
        <v>1</v>
      </c>
      <c r="V480" s="59">
        <f>INDEX(BSFC!$D$4:$AD$26,MATCH(U480,BSFC!$B$4:$B$26,0),MATCH(G480,BSFC!$D$2:$AD$2,0))</f>
        <v>996.72332351999967</v>
      </c>
      <c r="W480" s="59">
        <f t="shared" si="146"/>
        <v>-2.1477189166837843E-2</v>
      </c>
      <c r="X480" s="59">
        <f t="shared" si="143"/>
        <v>2.1477189166837843E-2</v>
      </c>
      <c r="Y480" s="59">
        <f t="shared" si="144"/>
        <v>-6.6364514525528925E-2</v>
      </c>
      <c r="Z480" s="79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x14ac:dyDescent="0.3">
      <c r="A481" s="55">
        <v>2</v>
      </c>
      <c r="B481" s="59" t="s">
        <v>108</v>
      </c>
      <c r="C481" s="59">
        <f t="shared" si="134"/>
        <v>478</v>
      </c>
      <c r="D481" s="59">
        <f t="shared" si="137"/>
        <v>19.93167</v>
      </c>
      <c r="E481" s="59">
        <f t="shared" si="148"/>
        <v>8.91</v>
      </c>
      <c r="F481" s="91">
        <f>($C$4/E481)+F480</f>
        <v>58.65513756874816</v>
      </c>
      <c r="G481" s="59">
        <f t="shared" si="149"/>
        <v>4000</v>
      </c>
      <c r="H481" s="59">
        <v>2</v>
      </c>
      <c r="I481" s="91">
        <f>E481-E480</f>
        <v>-0.75</v>
      </c>
      <c r="J481" s="59">
        <f>(0.5*VEHICLE!$C$71*VEHICLE!$C$28*VEHICLE!$C$27*'Drive Cycle'!E481^2)</f>
        <v>70.623979251210002</v>
      </c>
      <c r="K481" s="59">
        <f>IF(A481=1,VEHICLE!$S$5,IF(A481=2,VEHICLE!$Q$5,IF(A481=3,VEHICLE!$R$5,IF(A481=4,VEHICLE!$P$5,1))))</f>
        <v>278.27536500000002</v>
      </c>
      <c r="L481" s="59">
        <f t="shared" si="147"/>
        <v>0</v>
      </c>
      <c r="M481" s="59">
        <f t="shared" si="145"/>
        <v>0</v>
      </c>
      <c r="N481" s="59">
        <f t="shared" si="138"/>
        <v>0</v>
      </c>
      <c r="O481" s="59">
        <f t="shared" si="139"/>
        <v>0</v>
      </c>
      <c r="P481" s="59">
        <f t="shared" si="140"/>
        <v>348.89934425121004</v>
      </c>
      <c r="Q481" s="59">
        <f>IF(H481=1,I481*VEHICLE!$C$69,IF(H481=2,VEHICLE!$C$70*I481,IF(H481=3,VEHICLE!$C$71*I481,0)))</f>
        <v>-438.86136489758803</v>
      </c>
      <c r="R481" s="59">
        <f>(J481+K481+O481+Q481)</f>
        <v>-89.962020646377994</v>
      </c>
      <c r="S481" s="59">
        <f t="shared" si="141"/>
        <v>89.962020646377994</v>
      </c>
      <c r="T481" s="59">
        <f>ABS((R481)/((2*PI()*G481)/60))</f>
        <v>0.21476850414609305</v>
      </c>
      <c r="U481" s="59">
        <f t="shared" si="142"/>
        <v>1</v>
      </c>
      <c r="V481" s="59">
        <f>INDEX(BSFC!$D$4:$AD$26,MATCH(U481,BSFC!$B$4:$B$26,0),MATCH(G481,BSFC!$D$2:$AD$2,0))</f>
        <v>1026.1408156799998</v>
      </c>
      <c r="W481" s="59">
        <f t="shared" si="146"/>
        <v>-2.5642694790637584E-2</v>
      </c>
      <c r="X481" s="59">
        <f t="shared" si="143"/>
        <v>2.5642694790637584E-2</v>
      </c>
      <c r="Y481" s="59">
        <f t="shared" si="144"/>
        <v>-7.9235926903070131E-2</v>
      </c>
      <c r="Z481" s="79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x14ac:dyDescent="0.3">
      <c r="A482" s="55">
        <v>2</v>
      </c>
      <c r="B482" s="59" t="s">
        <v>108</v>
      </c>
      <c r="C482" s="59">
        <f t="shared" si="134"/>
        <v>479</v>
      </c>
      <c r="D482" s="59">
        <f t="shared" si="137"/>
        <v>18.253920000000001</v>
      </c>
      <c r="E482" s="59">
        <f t="shared" si="148"/>
        <v>8.16</v>
      </c>
      <c r="F482" s="91">
        <f>($C$4/E482)+F481</f>
        <v>58.777686588356005</v>
      </c>
      <c r="G482" s="59">
        <f t="shared" si="149"/>
        <v>3500</v>
      </c>
      <c r="H482" s="59">
        <v>2</v>
      </c>
      <c r="I482" s="91">
        <f>E482-E481</f>
        <v>-0.75</v>
      </c>
      <c r="J482" s="59">
        <f>(0.5*VEHICLE!$C$71*VEHICLE!$C$28*VEHICLE!$C$27*'Drive Cycle'!E482^2)</f>
        <v>59.234822760959993</v>
      </c>
      <c r="K482" s="59">
        <f>IF(A482=1,VEHICLE!$S$5,IF(A482=2,VEHICLE!$Q$5,IF(A482=3,VEHICLE!$R$5,IF(A482=4,VEHICLE!$P$5,1))))</f>
        <v>278.27536500000002</v>
      </c>
      <c r="L482" s="59">
        <f t="shared" si="147"/>
        <v>0</v>
      </c>
      <c r="M482" s="59">
        <f t="shared" si="145"/>
        <v>0</v>
      </c>
      <c r="N482" s="59">
        <f t="shared" si="138"/>
        <v>0</v>
      </c>
      <c r="O482" s="59">
        <f t="shared" si="139"/>
        <v>0</v>
      </c>
      <c r="P482" s="59">
        <f t="shared" si="140"/>
        <v>337.51018776096004</v>
      </c>
      <c r="Q482" s="59">
        <f>IF(H482=1,I482*VEHICLE!$C$69,IF(H482=2,VEHICLE!$C$70*I482,IF(H482=3,VEHICLE!$C$71*I482,0)))</f>
        <v>-438.86136489758803</v>
      </c>
      <c r="R482" s="59">
        <f>(J482+K482+O482+Q482)</f>
        <v>-101.351177136628</v>
      </c>
      <c r="S482" s="59">
        <f t="shared" si="141"/>
        <v>101.351177136628</v>
      </c>
      <c r="T482" s="59">
        <f>ABS((R482)/((2*PI()*G482)/60))</f>
        <v>0.27652355707674231</v>
      </c>
      <c r="U482" s="59">
        <f t="shared" si="142"/>
        <v>1</v>
      </c>
      <c r="V482" s="59">
        <f>INDEX(BSFC!$D$4:$AD$26,MATCH(U482,BSFC!$B$4:$B$26,0),MATCH(G482,BSFC!$D$2:$AD$2,0))</f>
        <v>1034.2259366399996</v>
      </c>
      <c r="W482" s="59">
        <f t="shared" si="146"/>
        <v>-2.9116671139915448E-2</v>
      </c>
      <c r="X482" s="59">
        <f t="shared" si="143"/>
        <v>2.9116671139915448E-2</v>
      </c>
      <c r="Y482" s="59">
        <f t="shared" si="144"/>
        <v>-8.9970513822338727E-2</v>
      </c>
      <c r="Z482" s="79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x14ac:dyDescent="0.3">
      <c r="A483" s="55">
        <v>2</v>
      </c>
      <c r="B483" s="59" t="s">
        <v>108</v>
      </c>
      <c r="C483" s="59">
        <f t="shared" si="134"/>
        <v>480</v>
      </c>
      <c r="D483" s="59">
        <f t="shared" si="137"/>
        <v>16.576170000000001</v>
      </c>
      <c r="E483" s="59">
        <f t="shared" si="148"/>
        <v>7.41</v>
      </c>
      <c r="F483" s="91">
        <f>($C$4/E483)+F482</f>
        <v>58.912639354887716</v>
      </c>
      <c r="G483" s="59">
        <f t="shared" si="149"/>
        <v>3000</v>
      </c>
      <c r="H483" s="59">
        <v>2</v>
      </c>
      <c r="I483" s="91">
        <f>E483-E482</f>
        <v>-0.75</v>
      </c>
      <c r="J483" s="59">
        <f>(0.5*VEHICLE!$C$71*VEHICLE!$C$28*VEHICLE!$C$27*'Drive Cycle'!E483^2)</f>
        <v>48.846470883209996</v>
      </c>
      <c r="K483" s="59">
        <f>IF(A483=1,VEHICLE!$S$5,IF(A483=2,VEHICLE!$Q$5,IF(A483=3,VEHICLE!$R$5,IF(A483=4,VEHICLE!$P$5,1))))</f>
        <v>278.27536500000002</v>
      </c>
      <c r="L483" s="59">
        <f t="shared" si="147"/>
        <v>0</v>
      </c>
      <c r="M483" s="59">
        <f t="shared" si="145"/>
        <v>0</v>
      </c>
      <c r="N483" s="59">
        <f t="shared" si="138"/>
        <v>0</v>
      </c>
      <c r="O483" s="59">
        <f t="shared" si="139"/>
        <v>0</v>
      </c>
      <c r="P483" s="59">
        <f t="shared" si="140"/>
        <v>327.12183588321</v>
      </c>
      <c r="Q483" s="59">
        <f>IF(H483=1,I483*VEHICLE!$C$69,IF(H483=2,VEHICLE!$C$70*I483,IF(H483=3,VEHICLE!$C$71*I483,0)))</f>
        <v>-438.86136489758803</v>
      </c>
      <c r="R483" s="59">
        <f>(J483+K483+O483+Q483)</f>
        <v>-111.73952901437804</v>
      </c>
      <c r="S483" s="59">
        <f t="shared" si="141"/>
        <v>111.73952901437804</v>
      </c>
      <c r="T483" s="59">
        <f>ABS((R483)/((2*PI()*G483)/60))</f>
        <v>0.35567796762797049</v>
      </c>
      <c r="U483" s="59">
        <f t="shared" si="142"/>
        <v>1</v>
      </c>
      <c r="V483" s="59">
        <f>INDEX(BSFC!$D$4:$AD$26,MATCH(U483,BSFC!$B$4:$B$26,0),MATCH(G483,BSFC!$D$2:$AD$2,0))</f>
        <v>1049.8371440000003</v>
      </c>
      <c r="W483" s="59">
        <f t="shared" si="146"/>
        <v>-3.2585641114544386E-2</v>
      </c>
      <c r="X483" s="59">
        <f t="shared" si="143"/>
        <v>3.2585641114544386E-2</v>
      </c>
      <c r="Y483" s="59">
        <f t="shared" si="144"/>
        <v>-0.10068963104394214</v>
      </c>
      <c r="Z483" s="79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x14ac:dyDescent="0.3">
      <c r="A484" s="55">
        <v>2</v>
      </c>
      <c r="B484" s="59" t="s">
        <v>108</v>
      </c>
      <c r="C484" s="59">
        <f t="shared" si="134"/>
        <v>481</v>
      </c>
      <c r="D484" s="59">
        <f t="shared" si="137"/>
        <v>14.898420000000002</v>
      </c>
      <c r="E484" s="59">
        <f t="shared" si="148"/>
        <v>6.66</v>
      </c>
      <c r="F484" s="91">
        <f>($C$4/E484)+F483</f>
        <v>59.06278950503787</v>
      </c>
      <c r="G484" s="59">
        <f t="shared" si="149"/>
        <v>2500</v>
      </c>
      <c r="H484" s="59">
        <v>1</v>
      </c>
      <c r="I484" s="91">
        <f>E484-E483</f>
        <v>-0.75</v>
      </c>
      <c r="J484" s="59">
        <f>(0.5*VEHICLE!$C$71*VEHICLE!$C$28*VEHICLE!$C$27*'Drive Cycle'!E484^2)</f>
        <v>39.458923617959996</v>
      </c>
      <c r="K484" s="59">
        <f>IF(A484=1,VEHICLE!$S$5,IF(A484=2,VEHICLE!$Q$5,IF(A484=3,VEHICLE!$R$5,IF(A484=4,VEHICLE!$P$5,1))))</f>
        <v>278.27536500000002</v>
      </c>
      <c r="L484" s="59">
        <f t="shared" si="147"/>
        <v>0</v>
      </c>
      <c r="M484" s="59">
        <f t="shared" si="145"/>
        <v>0</v>
      </c>
      <c r="N484" s="59">
        <f t="shared" si="138"/>
        <v>0</v>
      </c>
      <c r="O484" s="59">
        <f t="shared" si="139"/>
        <v>0</v>
      </c>
      <c r="P484" s="59">
        <f t="shared" si="140"/>
        <v>317.73428861796003</v>
      </c>
      <c r="Q484" s="59">
        <f>IF(H484=1,I484*VEHICLE!$C$69,IF(H484=2,VEHICLE!$C$70*I484,IF(H484=3,VEHICLE!$C$71*I484,0)))</f>
        <v>-440.49017657114598</v>
      </c>
      <c r="R484" s="59">
        <f>(J484+K484+O484+Q484)</f>
        <v>-122.75588795318595</v>
      </c>
      <c r="S484" s="59">
        <f t="shared" si="141"/>
        <v>122.75588795318595</v>
      </c>
      <c r="T484" s="59">
        <f>ABS((R484)/((2*PI()*G484)/60))</f>
        <v>0.46889295267322539</v>
      </c>
      <c r="U484" s="59">
        <f t="shared" si="142"/>
        <v>1</v>
      </c>
      <c r="V484" s="59">
        <f>INDEX(BSFC!$D$4:$AD$26,MATCH(U484,BSFC!$B$4:$B$26,0),MATCH(G484,BSFC!$D$2:$AD$2,0))</f>
        <v>1065.4483513600007</v>
      </c>
      <c r="W484" s="59">
        <f t="shared" si="146"/>
        <v>-3.6330571788737477E-2</v>
      </c>
      <c r="X484" s="59">
        <f t="shared" si="143"/>
        <v>3.6330571788737477E-2</v>
      </c>
      <c r="Y484" s="59">
        <f t="shared" si="144"/>
        <v>-0.1122614668271988</v>
      </c>
      <c r="Z484" s="79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x14ac:dyDescent="0.3">
      <c r="A485" s="55">
        <v>2</v>
      </c>
      <c r="B485" s="59" t="s">
        <v>108</v>
      </c>
      <c r="C485" s="59">
        <f t="shared" si="134"/>
        <v>482</v>
      </c>
      <c r="D485" s="59">
        <f t="shared" si="137"/>
        <v>13.22067</v>
      </c>
      <c r="E485" s="59">
        <f t="shared" si="148"/>
        <v>5.91</v>
      </c>
      <c r="F485" s="91">
        <f>($C$4/E485)+F484</f>
        <v>59.231994242770526</v>
      </c>
      <c r="G485" s="59">
        <f t="shared" si="149"/>
        <v>2000</v>
      </c>
      <c r="H485" s="59">
        <v>1</v>
      </c>
      <c r="I485" s="91">
        <f>E485-E484</f>
        <v>-0.75</v>
      </c>
      <c r="J485" s="59">
        <f>(0.5*VEHICLE!$C$71*VEHICLE!$C$28*VEHICLE!$C$27*'Drive Cycle'!E485^2)</f>
        <v>31.072180965209999</v>
      </c>
      <c r="K485" s="59">
        <f>IF(A485=1,VEHICLE!$S$5,IF(A485=2,VEHICLE!$Q$5,IF(A485=3,VEHICLE!$R$5,IF(A485=4,VEHICLE!$P$5,1))))</f>
        <v>278.27536500000002</v>
      </c>
      <c r="L485" s="59">
        <f t="shared" si="147"/>
        <v>0</v>
      </c>
      <c r="M485" s="59">
        <f t="shared" si="145"/>
        <v>0</v>
      </c>
      <c r="N485" s="59">
        <f t="shared" si="138"/>
        <v>0</v>
      </c>
      <c r="O485" s="59">
        <f t="shared" si="139"/>
        <v>0</v>
      </c>
      <c r="P485" s="59">
        <f t="shared" si="140"/>
        <v>309.34754596521003</v>
      </c>
      <c r="Q485" s="59">
        <f>IF(H485=1,I485*VEHICLE!$C$69,IF(H485=2,VEHICLE!$C$70*I485,IF(H485=3,VEHICLE!$C$71*I485,0)))</f>
        <v>-440.49017657114598</v>
      </c>
      <c r="R485" s="59">
        <f>(J485+K485+O485+Q485)</f>
        <v>-131.14263060593595</v>
      </c>
      <c r="S485" s="59">
        <f t="shared" si="141"/>
        <v>131.14263060593595</v>
      </c>
      <c r="T485" s="59">
        <f>ABS((R485)/((2*PI()*G485)/60))</f>
        <v>0.62615993733027564</v>
      </c>
      <c r="U485" s="59">
        <f t="shared" si="142"/>
        <v>1</v>
      </c>
      <c r="V485" s="59">
        <f>INDEX(BSFC!$D$4:$AD$26,MATCH(U485,BSFC!$B$4:$B$26,0),MATCH(G485,BSFC!$D$2:$AD$2,0))</f>
        <v>1081.059558720001</v>
      </c>
      <c r="W485" s="59">
        <f t="shared" si="146"/>
        <v>-3.9381387325620333E-2</v>
      </c>
      <c r="X485" s="59">
        <f t="shared" si="143"/>
        <v>3.9381387325620333E-2</v>
      </c>
      <c r="Y485" s="59">
        <f t="shared" si="144"/>
        <v>-0.12168848683616683</v>
      </c>
      <c r="Z485" s="79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x14ac:dyDescent="0.3">
      <c r="A486" s="55">
        <v>2</v>
      </c>
      <c r="B486" s="59" t="s">
        <v>108</v>
      </c>
      <c r="C486" s="59">
        <f t="shared" si="134"/>
        <v>483</v>
      </c>
      <c r="D486" s="59">
        <f t="shared" si="137"/>
        <v>11.542920000000001</v>
      </c>
      <c r="E486" s="59">
        <f t="shared" si="148"/>
        <v>5.16</v>
      </c>
      <c r="F486" s="91">
        <f>($C$4/E486)+F485</f>
        <v>59.425792692382927</v>
      </c>
      <c r="G486" s="59">
        <f t="shared" si="149"/>
        <v>1500</v>
      </c>
      <c r="H486" s="59">
        <v>1</v>
      </c>
      <c r="I486" s="91">
        <f>E486-E485</f>
        <v>-0.75</v>
      </c>
      <c r="J486" s="59">
        <f>(0.5*VEHICLE!$C$71*VEHICLE!$C$28*VEHICLE!$C$27*'Drive Cycle'!E486^2)</f>
        <v>23.686242924959998</v>
      </c>
      <c r="K486" s="59">
        <f>IF(A486=1,VEHICLE!$S$5,IF(A486=2,VEHICLE!$Q$5,IF(A486=3,VEHICLE!$R$5,IF(A486=4,VEHICLE!$P$5,1))))</f>
        <v>278.27536500000002</v>
      </c>
      <c r="L486" s="59">
        <f t="shared" si="147"/>
        <v>0</v>
      </c>
      <c r="M486" s="59">
        <f t="shared" si="145"/>
        <v>0</v>
      </c>
      <c r="N486" s="59">
        <f t="shared" si="138"/>
        <v>0</v>
      </c>
      <c r="O486" s="59">
        <f t="shared" si="139"/>
        <v>0</v>
      </c>
      <c r="P486" s="59">
        <f t="shared" si="140"/>
        <v>301.96160792496005</v>
      </c>
      <c r="Q486" s="59">
        <f>IF(H486=1,I486*VEHICLE!$C$69,IF(H486=2,VEHICLE!$C$70*I486,IF(H486=3,VEHICLE!$C$71*I486,0)))</f>
        <v>-440.49017657114598</v>
      </c>
      <c r="R486" s="59">
        <f>(J486+K486+O486+Q486)</f>
        <v>-138.52856864618593</v>
      </c>
      <c r="S486" s="59">
        <f t="shared" si="141"/>
        <v>138.52856864618593</v>
      </c>
      <c r="T486" s="59">
        <f>ABS((R486)/((2*PI()*G486)/60))</f>
        <v>0.88190025837941755</v>
      </c>
      <c r="U486" s="59">
        <f t="shared" si="142"/>
        <v>1</v>
      </c>
      <c r="V486" s="59">
        <f>INDEX(BSFC!$D$4:$AD$26,MATCH(U486,BSFC!$B$4:$B$26,0),MATCH(G486,BSFC!$D$2:$AD$2,0))</f>
        <v>1159.5484262400005</v>
      </c>
      <c r="W486" s="59">
        <f t="shared" si="146"/>
        <v>-4.4619606600823543E-2</v>
      </c>
      <c r="X486" s="59">
        <f t="shared" si="143"/>
        <v>4.4619606600823543E-2</v>
      </c>
      <c r="Y486" s="59">
        <f t="shared" si="144"/>
        <v>-0.13787458439654474</v>
      </c>
      <c r="Z486" s="79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x14ac:dyDescent="0.3">
      <c r="A487" s="55">
        <v>2</v>
      </c>
      <c r="B487" s="59" t="s">
        <v>108</v>
      </c>
      <c r="C487" s="59">
        <f t="shared" si="134"/>
        <v>484</v>
      </c>
      <c r="D487" s="59">
        <f t="shared" si="137"/>
        <v>9.8651700000000009</v>
      </c>
      <c r="E487" s="59">
        <f t="shared" si="148"/>
        <v>4.41</v>
      </c>
      <c r="F487" s="91">
        <f>($C$4/E487)+F486</f>
        <v>59.652550061997438</v>
      </c>
      <c r="G487" s="59">
        <f t="shared" si="149"/>
        <v>1000</v>
      </c>
      <c r="H487" s="59">
        <v>1</v>
      </c>
      <c r="I487" s="91">
        <f>E487-E486</f>
        <v>-0.75</v>
      </c>
      <c r="J487" s="59">
        <f>(0.5*VEHICLE!$C$71*VEHICLE!$C$28*VEHICLE!$C$27*'Drive Cycle'!E487^2)</f>
        <v>17.30110949721</v>
      </c>
      <c r="K487" s="59">
        <f>IF(A487=1,VEHICLE!$S$5,IF(A487=2,VEHICLE!$Q$5,IF(A487=3,VEHICLE!$R$5,IF(A487=4,VEHICLE!$P$5,1))))</f>
        <v>278.27536500000002</v>
      </c>
      <c r="L487" s="59">
        <f t="shared" si="147"/>
        <v>0</v>
      </c>
      <c r="M487" s="59">
        <f t="shared" si="145"/>
        <v>0</v>
      </c>
      <c r="N487" s="59">
        <f t="shared" si="138"/>
        <v>0</v>
      </c>
      <c r="O487" s="59">
        <f t="shared" si="139"/>
        <v>0</v>
      </c>
      <c r="P487" s="59">
        <f t="shared" si="140"/>
        <v>295.57647449721003</v>
      </c>
      <c r="Q487" s="59">
        <f>IF(H487=1,I487*VEHICLE!$C$69,IF(H487=2,VEHICLE!$C$70*I487,IF(H487=3,VEHICLE!$C$71*I487,0)))</f>
        <v>-440.49017657114598</v>
      </c>
      <c r="R487" s="59">
        <f>(J487+K487+O487+Q487)</f>
        <v>-144.91370207393595</v>
      </c>
      <c r="S487" s="59">
        <f t="shared" si="141"/>
        <v>144.91370207393595</v>
      </c>
      <c r="T487" s="59">
        <f>ABS((R487)/((2*PI()*G487)/60))</f>
        <v>1.3838239204087892</v>
      </c>
      <c r="U487" s="59">
        <f t="shared" si="142"/>
        <v>2</v>
      </c>
      <c r="V487" s="59">
        <f>INDEX(BSFC!$D$4:$AD$26,MATCH(U487,BSFC!$B$4:$B$26,0),MATCH(G487,BSFC!$D$2:$AD$2,0))</f>
        <v>1081.7276661600004</v>
      </c>
      <c r="W487" s="59">
        <f t="shared" si="146"/>
        <v>-4.3543655760845651E-2</v>
      </c>
      <c r="X487" s="59">
        <f t="shared" si="143"/>
        <v>4.3543655760845651E-2</v>
      </c>
      <c r="Y487" s="59">
        <f t="shared" si="144"/>
        <v>-0.13454989630101305</v>
      </c>
      <c r="Z487" s="79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x14ac:dyDescent="0.3">
      <c r="A488" s="55">
        <v>2</v>
      </c>
      <c r="B488" s="59" t="s">
        <v>108</v>
      </c>
      <c r="C488" s="59">
        <f t="shared" ref="C488:C551" si="150">C487+1</f>
        <v>485</v>
      </c>
      <c r="D488" s="59">
        <f t="shared" si="137"/>
        <v>8.1874200000000013</v>
      </c>
      <c r="E488" s="59">
        <f t="shared" si="148"/>
        <v>3.66</v>
      </c>
      <c r="F488" s="91">
        <f>($C$4/E488)+F487</f>
        <v>59.925774105713288</v>
      </c>
      <c r="G488" s="59">
        <f>G487</f>
        <v>1000</v>
      </c>
      <c r="H488" s="59">
        <v>1</v>
      </c>
      <c r="I488" s="91">
        <f>E488-E487</f>
        <v>-0.75</v>
      </c>
      <c r="J488" s="59">
        <f>(0.5*VEHICLE!$C$71*VEHICLE!$C$28*VEHICLE!$C$27*'Drive Cycle'!E488^2)</f>
        <v>11.916780681960001</v>
      </c>
      <c r="K488" s="59">
        <f>IF(A488=1,VEHICLE!$S$5,IF(A488=2,VEHICLE!$Q$5,IF(A488=3,VEHICLE!$R$5,IF(A488=4,VEHICLE!$P$5,1))))</f>
        <v>278.27536500000002</v>
      </c>
      <c r="L488" s="59">
        <f t="shared" si="147"/>
        <v>0</v>
      </c>
      <c r="M488" s="59">
        <f t="shared" si="145"/>
        <v>0</v>
      </c>
      <c r="N488" s="59">
        <f t="shared" si="138"/>
        <v>0</v>
      </c>
      <c r="O488" s="59">
        <f t="shared" si="139"/>
        <v>0</v>
      </c>
      <c r="P488" s="59">
        <f t="shared" si="140"/>
        <v>290.19214568196003</v>
      </c>
      <c r="Q488" s="59">
        <f>IF(H488=1,I488*VEHICLE!$C$69,IF(H488=2,VEHICLE!$C$70*I488,IF(H488=3,VEHICLE!$C$71*I488,0)))</f>
        <v>-440.49017657114598</v>
      </c>
      <c r="R488" s="59">
        <f>(J488+K488+O488+Q488)</f>
        <v>-150.29803088918595</v>
      </c>
      <c r="S488" s="59">
        <f t="shared" si="141"/>
        <v>150.29803088918595</v>
      </c>
      <c r="T488" s="59">
        <f>ABS((R488)/((2*PI()*G488)/60))</f>
        <v>1.4352404731795392</v>
      </c>
      <c r="U488" s="59">
        <f t="shared" si="142"/>
        <v>2</v>
      </c>
      <c r="V488" s="59">
        <f>INDEX(BSFC!$D$4:$AD$26,MATCH(U488,BSFC!$B$4:$B$26,0),MATCH(G488,BSFC!$D$2:$AD$2,0))</f>
        <v>1081.7276661600004</v>
      </c>
      <c r="W488" s="59">
        <f t="shared" si="146"/>
        <v>-4.5161538383945203E-2</v>
      </c>
      <c r="X488" s="59">
        <f t="shared" si="143"/>
        <v>4.5161538383945203E-2</v>
      </c>
      <c r="Y488" s="59">
        <f t="shared" si="144"/>
        <v>-0.13954915360639067</v>
      </c>
      <c r="Z488" s="79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x14ac:dyDescent="0.3">
      <c r="A489" s="55">
        <v>2</v>
      </c>
      <c r="B489" s="58" t="s">
        <v>123</v>
      </c>
      <c r="C489" s="58">
        <f t="shared" si="150"/>
        <v>486</v>
      </c>
      <c r="D489" s="58">
        <f t="shared" si="137"/>
        <v>8.1874200000000013</v>
      </c>
      <c r="E489" s="58">
        <f>E488</f>
        <v>3.66</v>
      </c>
      <c r="F489" s="90">
        <f>($C$4/E489)+F488</f>
        <v>60.198998149429137</v>
      </c>
      <c r="G489" s="58">
        <f>G488</f>
        <v>1000</v>
      </c>
      <c r="H489" s="58">
        <v>1</v>
      </c>
      <c r="I489" s="90">
        <f>E489-E488</f>
        <v>0</v>
      </c>
      <c r="J489" s="58">
        <f>(0.5*VEHICLE!$C$71*VEHICLE!$C$28*VEHICLE!$C$27*'Drive Cycle'!E489^2)</f>
        <v>11.916780681960001</v>
      </c>
      <c r="K489" s="58">
        <f>IF(A489=1,VEHICLE!$S$5,IF(A489=2,VEHICLE!$Q$5,IF(A489=3,VEHICLE!$R$5,IF(A489=4,VEHICLE!$P$5,1))))</f>
        <v>278.27536500000002</v>
      </c>
      <c r="L489" s="58">
        <f t="shared" si="147"/>
        <v>0</v>
      </c>
      <c r="M489" s="58">
        <f t="shared" si="145"/>
        <v>0</v>
      </c>
      <c r="N489" s="58">
        <f t="shared" si="138"/>
        <v>0</v>
      </c>
      <c r="O489" s="58">
        <f t="shared" si="139"/>
        <v>0</v>
      </c>
      <c r="P489" s="58">
        <f t="shared" si="140"/>
        <v>290.19214568196003</v>
      </c>
      <c r="Q489" s="58">
        <f>IF(H489=1,I489*VEHICLE!$C$69,IF(H489=2,VEHICLE!$C$70*I489,IF(H489=3,VEHICLE!$C$71*I489,0)))</f>
        <v>0</v>
      </c>
      <c r="R489" s="58">
        <f>(J489+K489+O489+Q489)</f>
        <v>290.19214568196003</v>
      </c>
      <c r="S489" s="58">
        <f t="shared" si="141"/>
        <v>290.19214568196003</v>
      </c>
      <c r="T489" s="58">
        <f>ABS((R489)/((2*PI()*G489)/60))</f>
        <v>2.7711308659036411</v>
      </c>
      <c r="U489" s="58">
        <f t="shared" si="142"/>
        <v>3</v>
      </c>
      <c r="V489" s="58">
        <f>INDEX(BSFC!$D$4:$AD$26,MATCH(U489,BSFC!$B$4:$B$26,0),MATCH(G489,BSFC!$D$2:$AD$2,0))</f>
        <v>927.64713984000002</v>
      </c>
      <c r="W489" s="58">
        <f t="shared" si="146"/>
        <v>7.4776642762750783E-2</v>
      </c>
      <c r="X489" s="58">
        <f t="shared" si="143"/>
        <v>7.4776642762750783E-2</v>
      </c>
      <c r="Y489" s="58">
        <f t="shared" si="144"/>
        <v>0.2310598261368999</v>
      </c>
      <c r="Z489" s="79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x14ac:dyDescent="0.3">
      <c r="A490" s="55">
        <v>2</v>
      </c>
      <c r="B490" s="58" t="s">
        <v>123</v>
      </c>
      <c r="C490" s="58">
        <f t="shared" si="150"/>
        <v>487</v>
      </c>
      <c r="D490" s="58">
        <f t="shared" si="137"/>
        <v>8.1874200000000013</v>
      </c>
      <c r="E490" s="58">
        <f t="shared" ref="E490:E495" si="151">E489</f>
        <v>3.66</v>
      </c>
      <c r="F490" s="90">
        <f>($C$4/E490)+F489</f>
        <v>60.472222193144987</v>
      </c>
      <c r="G490" s="58">
        <f t="shared" ref="G490:G495" si="152">G489</f>
        <v>1000</v>
      </c>
      <c r="H490" s="58">
        <v>1</v>
      </c>
      <c r="I490" s="90">
        <f>E490-E489</f>
        <v>0</v>
      </c>
      <c r="J490" s="58">
        <f>(0.5*VEHICLE!$C$71*VEHICLE!$C$28*VEHICLE!$C$27*'Drive Cycle'!E490^2)</f>
        <v>11.916780681960001</v>
      </c>
      <c r="K490" s="58">
        <f>IF(A490=1,VEHICLE!$S$5,IF(A490=2,VEHICLE!$Q$5,IF(A490=3,VEHICLE!$R$5,IF(A490=4,VEHICLE!$P$5,1))))</f>
        <v>278.27536500000002</v>
      </c>
      <c r="L490" s="58">
        <f t="shared" si="147"/>
        <v>0</v>
      </c>
      <c r="M490" s="58">
        <f t="shared" si="145"/>
        <v>0</v>
      </c>
      <c r="N490" s="58">
        <f t="shared" si="138"/>
        <v>0</v>
      </c>
      <c r="O490" s="58">
        <f t="shared" si="139"/>
        <v>0</v>
      </c>
      <c r="P490" s="58">
        <f t="shared" si="140"/>
        <v>290.19214568196003</v>
      </c>
      <c r="Q490" s="58">
        <f>IF(H490=1,I490*VEHICLE!$C$69,IF(H490=2,VEHICLE!$C$70*I490,IF(H490=3,VEHICLE!$C$71*I490,0)))</f>
        <v>0</v>
      </c>
      <c r="R490" s="58">
        <f>(J490+K490+O490+Q490)</f>
        <v>290.19214568196003</v>
      </c>
      <c r="S490" s="58">
        <f t="shared" si="141"/>
        <v>290.19214568196003</v>
      </c>
      <c r="T490" s="58">
        <f>ABS((R490)/((2*PI()*G490)/60))</f>
        <v>2.7711308659036411</v>
      </c>
      <c r="U490" s="58">
        <f t="shared" si="142"/>
        <v>3</v>
      </c>
      <c r="V490" s="58">
        <f>INDEX(BSFC!$D$4:$AD$26,MATCH(U490,BSFC!$B$4:$B$26,0),MATCH(G490,BSFC!$D$2:$AD$2,0))</f>
        <v>927.64713984000002</v>
      </c>
      <c r="W490" s="58">
        <f t="shared" si="146"/>
        <v>7.4776642762750783E-2</v>
      </c>
      <c r="X490" s="58">
        <f t="shared" si="143"/>
        <v>7.4776642762750783E-2</v>
      </c>
      <c r="Y490" s="58">
        <f t="shared" si="144"/>
        <v>0.2310598261368999</v>
      </c>
      <c r="Z490" s="79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x14ac:dyDescent="0.3">
      <c r="A491" s="55">
        <v>2</v>
      </c>
      <c r="B491" s="58" t="s">
        <v>123</v>
      </c>
      <c r="C491" s="58">
        <f t="shared" si="150"/>
        <v>488</v>
      </c>
      <c r="D491" s="58">
        <f t="shared" si="137"/>
        <v>8.1874200000000013</v>
      </c>
      <c r="E491" s="58">
        <f t="shared" si="151"/>
        <v>3.66</v>
      </c>
      <c r="F491" s="90">
        <f>($C$4/E491)+F490</f>
        <v>60.745446236860836</v>
      </c>
      <c r="G491" s="58">
        <f t="shared" si="152"/>
        <v>1000</v>
      </c>
      <c r="H491" s="58">
        <v>1</v>
      </c>
      <c r="I491" s="90">
        <f>E491-E490</f>
        <v>0</v>
      </c>
      <c r="J491" s="58">
        <f>(0.5*VEHICLE!$C$71*VEHICLE!$C$28*VEHICLE!$C$27*'Drive Cycle'!E491^2)</f>
        <v>11.916780681960001</v>
      </c>
      <c r="K491" s="58">
        <f>IF(A491=1,VEHICLE!$S$5,IF(A491=2,VEHICLE!$Q$5,IF(A491=3,VEHICLE!$R$5,IF(A491=4,VEHICLE!$P$5,1))))</f>
        <v>278.27536500000002</v>
      </c>
      <c r="L491" s="58">
        <f t="shared" si="147"/>
        <v>0</v>
      </c>
      <c r="M491" s="58">
        <f t="shared" si="145"/>
        <v>0</v>
      </c>
      <c r="N491" s="58">
        <f t="shared" si="138"/>
        <v>0</v>
      </c>
      <c r="O491" s="58">
        <f t="shared" si="139"/>
        <v>0</v>
      </c>
      <c r="P491" s="58">
        <f t="shared" si="140"/>
        <v>290.19214568196003</v>
      </c>
      <c r="Q491" s="58">
        <f>IF(H491=1,I491*VEHICLE!$C$69,IF(H491=2,VEHICLE!$C$70*I491,IF(H491=3,VEHICLE!$C$71*I491,0)))</f>
        <v>0</v>
      </c>
      <c r="R491" s="58">
        <f>(J491+K491+O491+Q491)</f>
        <v>290.19214568196003</v>
      </c>
      <c r="S491" s="58">
        <f t="shared" si="141"/>
        <v>290.19214568196003</v>
      </c>
      <c r="T491" s="58">
        <f>ABS((R491)/((2*PI()*G491)/60))</f>
        <v>2.7711308659036411</v>
      </c>
      <c r="U491" s="58">
        <f t="shared" si="142"/>
        <v>3</v>
      </c>
      <c r="V491" s="58">
        <f>INDEX(BSFC!$D$4:$AD$26,MATCH(U491,BSFC!$B$4:$B$26,0),MATCH(G491,BSFC!$D$2:$AD$2,0))</f>
        <v>927.64713984000002</v>
      </c>
      <c r="W491" s="58">
        <f t="shared" si="146"/>
        <v>7.4776642762750783E-2</v>
      </c>
      <c r="X491" s="58">
        <f t="shared" si="143"/>
        <v>7.4776642762750783E-2</v>
      </c>
      <c r="Y491" s="58">
        <f t="shared" si="144"/>
        <v>0.2310598261368999</v>
      </c>
      <c r="Z491" s="79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x14ac:dyDescent="0.3">
      <c r="A492" s="55">
        <v>2</v>
      </c>
      <c r="B492" s="58" t="s">
        <v>123</v>
      </c>
      <c r="C492" s="58">
        <f t="shared" si="150"/>
        <v>489</v>
      </c>
      <c r="D492" s="58">
        <f t="shared" si="137"/>
        <v>8.1874200000000013</v>
      </c>
      <c r="E492" s="58">
        <f t="shared" si="151"/>
        <v>3.66</v>
      </c>
      <c r="F492" s="90">
        <f>($C$4/E492)+F491</f>
        <v>61.018670280576686</v>
      </c>
      <c r="G492" s="58">
        <f t="shared" si="152"/>
        <v>1000</v>
      </c>
      <c r="H492" s="58">
        <v>1</v>
      </c>
      <c r="I492" s="90">
        <f>E492-E491</f>
        <v>0</v>
      </c>
      <c r="J492" s="58">
        <f>(0.5*VEHICLE!$C$71*VEHICLE!$C$28*VEHICLE!$C$27*'Drive Cycle'!E492^2)</f>
        <v>11.916780681960001</v>
      </c>
      <c r="K492" s="58">
        <f>IF(A492=1,VEHICLE!$S$5,IF(A492=2,VEHICLE!$Q$5,IF(A492=3,VEHICLE!$R$5,IF(A492=4,VEHICLE!$P$5,1))))</f>
        <v>278.27536500000002</v>
      </c>
      <c r="L492" s="58">
        <f t="shared" si="147"/>
        <v>0</v>
      </c>
      <c r="M492" s="58">
        <f t="shared" si="145"/>
        <v>0</v>
      </c>
      <c r="N492" s="58">
        <f t="shared" si="138"/>
        <v>0</v>
      </c>
      <c r="O492" s="58">
        <f t="shared" si="139"/>
        <v>0</v>
      </c>
      <c r="P492" s="58">
        <f t="shared" si="140"/>
        <v>290.19214568196003</v>
      </c>
      <c r="Q492" s="58">
        <f>IF(H492=1,I492*VEHICLE!$C$69,IF(H492=2,VEHICLE!$C$70*I492,IF(H492=3,VEHICLE!$C$71*I492,0)))</f>
        <v>0</v>
      </c>
      <c r="R492" s="58">
        <f>(J492+K492+O492+Q492)</f>
        <v>290.19214568196003</v>
      </c>
      <c r="S492" s="58">
        <f t="shared" si="141"/>
        <v>290.19214568196003</v>
      </c>
      <c r="T492" s="58">
        <f>ABS((R492)/((2*PI()*G492)/60))</f>
        <v>2.7711308659036411</v>
      </c>
      <c r="U492" s="58">
        <f t="shared" si="142"/>
        <v>3</v>
      </c>
      <c r="V492" s="58">
        <f>INDEX(BSFC!$D$4:$AD$26,MATCH(U492,BSFC!$B$4:$B$26,0),MATCH(G492,BSFC!$D$2:$AD$2,0))</f>
        <v>927.64713984000002</v>
      </c>
      <c r="W492" s="58">
        <f t="shared" si="146"/>
        <v>7.4776642762750783E-2</v>
      </c>
      <c r="X492" s="58">
        <f t="shared" si="143"/>
        <v>7.4776642762750783E-2</v>
      </c>
      <c r="Y492" s="58">
        <f t="shared" si="144"/>
        <v>0.2310598261368999</v>
      </c>
      <c r="Z492" s="79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x14ac:dyDescent="0.3">
      <c r="A493" s="55">
        <v>2</v>
      </c>
      <c r="B493" s="58" t="s">
        <v>123</v>
      </c>
      <c r="C493" s="58">
        <f t="shared" si="150"/>
        <v>490</v>
      </c>
      <c r="D493" s="58">
        <f t="shared" si="137"/>
        <v>8.1874200000000013</v>
      </c>
      <c r="E493" s="58">
        <f t="shared" si="151"/>
        <v>3.66</v>
      </c>
      <c r="F493" s="90">
        <f>($C$4/E493)+F492</f>
        <v>61.291894324292535</v>
      </c>
      <c r="G493" s="58">
        <f t="shared" si="152"/>
        <v>1000</v>
      </c>
      <c r="H493" s="58">
        <v>1</v>
      </c>
      <c r="I493" s="90">
        <f>E493-E492</f>
        <v>0</v>
      </c>
      <c r="J493" s="58">
        <f>(0.5*VEHICLE!$C$71*VEHICLE!$C$28*VEHICLE!$C$27*'Drive Cycle'!E493^2)</f>
        <v>11.916780681960001</v>
      </c>
      <c r="K493" s="58">
        <f>IF(A493=1,VEHICLE!$S$5,IF(A493=2,VEHICLE!$Q$5,IF(A493=3,VEHICLE!$R$5,IF(A493=4,VEHICLE!$P$5,1))))</f>
        <v>278.27536500000002</v>
      </c>
      <c r="L493" s="58">
        <f t="shared" si="147"/>
        <v>0</v>
      </c>
      <c r="M493" s="58">
        <f t="shared" si="145"/>
        <v>0</v>
      </c>
      <c r="N493" s="58">
        <f t="shared" si="138"/>
        <v>0</v>
      </c>
      <c r="O493" s="58">
        <f t="shared" si="139"/>
        <v>0</v>
      </c>
      <c r="P493" s="58">
        <f t="shared" si="140"/>
        <v>290.19214568196003</v>
      </c>
      <c r="Q493" s="58">
        <f>IF(H493=1,I493*VEHICLE!$C$69,IF(H493=2,VEHICLE!$C$70*I493,IF(H493=3,VEHICLE!$C$71*I493,0)))</f>
        <v>0</v>
      </c>
      <c r="R493" s="58">
        <f>(J493+K493+O493+Q493)</f>
        <v>290.19214568196003</v>
      </c>
      <c r="S493" s="58">
        <f t="shared" si="141"/>
        <v>290.19214568196003</v>
      </c>
      <c r="T493" s="58">
        <f>ABS((R493)/((2*PI()*G493)/60))</f>
        <v>2.7711308659036411</v>
      </c>
      <c r="U493" s="58">
        <f t="shared" si="142"/>
        <v>3</v>
      </c>
      <c r="V493" s="58">
        <f>INDEX(BSFC!$D$4:$AD$26,MATCH(U493,BSFC!$B$4:$B$26,0),MATCH(G493,BSFC!$D$2:$AD$2,0))</f>
        <v>927.64713984000002</v>
      </c>
      <c r="W493" s="58">
        <f t="shared" si="146"/>
        <v>7.4776642762750783E-2</v>
      </c>
      <c r="X493" s="58">
        <f t="shared" si="143"/>
        <v>7.4776642762750783E-2</v>
      </c>
      <c r="Y493" s="58">
        <f t="shared" si="144"/>
        <v>0.2310598261368999</v>
      </c>
      <c r="Z493" s="79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x14ac:dyDescent="0.3">
      <c r="A494" s="55">
        <v>2</v>
      </c>
      <c r="B494" s="58" t="s">
        <v>123</v>
      </c>
      <c r="C494" s="58">
        <f t="shared" si="150"/>
        <v>491</v>
      </c>
      <c r="D494" s="58">
        <f t="shared" si="137"/>
        <v>8.1874200000000013</v>
      </c>
      <c r="E494" s="58">
        <f>E493</f>
        <v>3.66</v>
      </c>
      <c r="F494" s="90">
        <f>($C$4/E494)+F493</f>
        <v>61.565118368008385</v>
      </c>
      <c r="G494" s="58">
        <f t="shared" si="152"/>
        <v>1000</v>
      </c>
      <c r="H494" s="58">
        <v>1</v>
      </c>
      <c r="I494" s="90">
        <f>E494-E493</f>
        <v>0</v>
      </c>
      <c r="J494" s="58">
        <f>(0.5*VEHICLE!$C$71*VEHICLE!$C$28*VEHICLE!$C$27*'Drive Cycle'!E494^2)</f>
        <v>11.916780681960001</v>
      </c>
      <c r="K494" s="58">
        <f>IF(A494=1,VEHICLE!$S$5,IF(A494=2,VEHICLE!$Q$5,IF(A494=3,VEHICLE!$R$5,IF(A494=4,VEHICLE!$P$5,1))))</f>
        <v>278.27536500000002</v>
      </c>
      <c r="L494" s="58">
        <f t="shared" si="147"/>
        <v>0</v>
      </c>
      <c r="M494" s="58">
        <f t="shared" si="145"/>
        <v>0</v>
      </c>
      <c r="N494" s="58">
        <f t="shared" si="138"/>
        <v>0</v>
      </c>
      <c r="O494" s="58">
        <f t="shared" si="139"/>
        <v>0</v>
      </c>
      <c r="P494" s="58">
        <f t="shared" si="140"/>
        <v>290.19214568196003</v>
      </c>
      <c r="Q494" s="58">
        <f>IF(H494=1,I494*VEHICLE!$C$69,IF(H494=2,VEHICLE!$C$70*I494,IF(H494=3,VEHICLE!$C$71*I494,0)))</f>
        <v>0</v>
      </c>
      <c r="R494" s="58">
        <f>(J494+K494+O494+Q494)</f>
        <v>290.19214568196003</v>
      </c>
      <c r="S494" s="58">
        <f t="shared" si="141"/>
        <v>290.19214568196003</v>
      </c>
      <c r="T494" s="58">
        <f>ABS((R494)/((2*PI()*G494)/60))</f>
        <v>2.7711308659036411</v>
      </c>
      <c r="U494" s="58">
        <f t="shared" si="142"/>
        <v>3</v>
      </c>
      <c r="V494" s="58">
        <f>INDEX(BSFC!$D$4:$AD$26,MATCH(U494,BSFC!$B$4:$B$26,0),MATCH(G494,BSFC!$D$2:$AD$2,0))</f>
        <v>927.64713984000002</v>
      </c>
      <c r="W494" s="58">
        <f t="shared" si="146"/>
        <v>7.4776642762750783E-2</v>
      </c>
      <c r="X494" s="58">
        <f t="shared" si="143"/>
        <v>7.4776642762750783E-2</v>
      </c>
      <c r="Y494" s="58">
        <f t="shared" si="144"/>
        <v>0.2310598261368999</v>
      </c>
      <c r="Z494" s="79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x14ac:dyDescent="0.3">
      <c r="A495" s="55">
        <v>2</v>
      </c>
      <c r="B495" s="58" t="s">
        <v>123</v>
      </c>
      <c r="C495" s="58">
        <f t="shared" si="150"/>
        <v>492</v>
      </c>
      <c r="D495" s="58">
        <f t="shared" si="137"/>
        <v>8.1874200000000013</v>
      </c>
      <c r="E495" s="58">
        <f t="shared" si="151"/>
        <v>3.66</v>
      </c>
      <c r="F495" s="90">
        <f>($C$4/E495)+F494</f>
        <v>61.838342411724234</v>
      </c>
      <c r="G495" s="58">
        <f t="shared" si="152"/>
        <v>1000</v>
      </c>
      <c r="H495" s="58">
        <v>1</v>
      </c>
      <c r="I495" s="90">
        <f>E495-E494</f>
        <v>0</v>
      </c>
      <c r="J495" s="58">
        <f>(0.5*VEHICLE!$C$71*VEHICLE!$C$28*VEHICLE!$C$27*'Drive Cycle'!E495^2)</f>
        <v>11.916780681960001</v>
      </c>
      <c r="K495" s="58">
        <f>IF(A495=1,VEHICLE!$S$5,IF(A495=2,VEHICLE!$Q$5,IF(A495=3,VEHICLE!$R$5,IF(A495=4,VEHICLE!$P$5,1))))</f>
        <v>278.27536500000002</v>
      </c>
      <c r="L495" s="58">
        <f t="shared" si="147"/>
        <v>0</v>
      </c>
      <c r="M495" s="58">
        <f t="shared" si="145"/>
        <v>0</v>
      </c>
      <c r="N495" s="58">
        <f t="shared" si="138"/>
        <v>0</v>
      </c>
      <c r="O495" s="58">
        <f t="shared" si="139"/>
        <v>0</v>
      </c>
      <c r="P495" s="58">
        <f t="shared" si="140"/>
        <v>290.19214568196003</v>
      </c>
      <c r="Q495" s="58">
        <f>IF(H495=1,I495*VEHICLE!$C$69,IF(H495=2,VEHICLE!$C$70*I495,IF(H495=3,VEHICLE!$C$71*I495,0)))</f>
        <v>0</v>
      </c>
      <c r="R495" s="58">
        <f>(J495+K495+O495+Q495)</f>
        <v>290.19214568196003</v>
      </c>
      <c r="S495" s="58">
        <f t="shared" si="141"/>
        <v>290.19214568196003</v>
      </c>
      <c r="T495" s="58">
        <f>ABS((R495)/((2*PI()*G495)/60))</f>
        <v>2.7711308659036411</v>
      </c>
      <c r="U495" s="58">
        <f t="shared" si="142"/>
        <v>3</v>
      </c>
      <c r="V495" s="58">
        <f>INDEX(BSFC!$D$4:$AD$26,MATCH(U495,BSFC!$B$4:$B$26,0),MATCH(G495,BSFC!$D$2:$AD$2,0))</f>
        <v>927.64713984000002</v>
      </c>
      <c r="W495" s="58">
        <f t="shared" si="146"/>
        <v>7.4776642762750783E-2</v>
      </c>
      <c r="X495" s="58">
        <f t="shared" si="143"/>
        <v>7.4776642762750783E-2</v>
      </c>
      <c r="Y495" s="58">
        <f t="shared" si="144"/>
        <v>0.2310598261368999</v>
      </c>
      <c r="Z495" s="79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x14ac:dyDescent="0.3">
      <c r="A496" s="55">
        <v>2</v>
      </c>
      <c r="B496" s="58" t="s">
        <v>123</v>
      </c>
      <c r="C496" s="58">
        <f t="shared" si="150"/>
        <v>493</v>
      </c>
      <c r="D496" s="58">
        <f t="shared" si="137"/>
        <v>9.8651700000000009</v>
      </c>
      <c r="E496" s="58">
        <f>E495+0.75</f>
        <v>4.41</v>
      </c>
      <c r="F496" s="90">
        <f>($C$4/E496)+F495</f>
        <v>62.065099781338745</v>
      </c>
      <c r="G496" s="58">
        <f>G495+500</f>
        <v>1500</v>
      </c>
      <c r="H496" s="58">
        <v>1</v>
      </c>
      <c r="I496" s="90">
        <f>E496-E495</f>
        <v>0.75</v>
      </c>
      <c r="J496" s="58">
        <f>(0.5*VEHICLE!$C$71*VEHICLE!$C$28*VEHICLE!$C$27*'Drive Cycle'!E496^2)</f>
        <v>17.30110949721</v>
      </c>
      <c r="K496" s="58">
        <f>IF(A496=1,VEHICLE!$S$5,IF(A496=2,VEHICLE!$Q$5,IF(A496=3,VEHICLE!$R$5,IF(A496=4,VEHICLE!$P$5,1))))</f>
        <v>278.27536500000002</v>
      </c>
      <c r="L496" s="58">
        <f t="shared" si="147"/>
        <v>0</v>
      </c>
      <c r="M496" s="58">
        <f t="shared" si="145"/>
        <v>0</v>
      </c>
      <c r="N496" s="58">
        <f t="shared" si="138"/>
        <v>0</v>
      </c>
      <c r="O496" s="58">
        <f t="shared" si="139"/>
        <v>0</v>
      </c>
      <c r="P496" s="58">
        <f t="shared" si="140"/>
        <v>295.57647449721003</v>
      </c>
      <c r="Q496" s="58">
        <f>IF(H496=1,I496*VEHICLE!$C$69,IF(H496=2,VEHICLE!$C$70*I496,IF(H496=3,VEHICLE!$C$71*I496,0)))</f>
        <v>440.49017657114598</v>
      </c>
      <c r="R496" s="58">
        <f>(J496+K496+O496+Q496)</f>
        <v>736.06665106835601</v>
      </c>
      <c r="S496" s="58">
        <f t="shared" si="141"/>
        <v>736.06665106835601</v>
      </c>
      <c r="T496" s="58">
        <f>ABS((R496)/((2*PI()*G496)/60))</f>
        <v>4.685945838505047</v>
      </c>
      <c r="U496" s="58">
        <f t="shared" si="142"/>
        <v>5</v>
      </c>
      <c r="V496" s="58">
        <f>INDEX(BSFC!$D$4:$AD$26,MATCH(U496,BSFC!$B$4:$B$26,0),MATCH(G496,BSFC!$D$2:$AD$2,0))</f>
        <v>750.31367136000006</v>
      </c>
      <c r="W496" s="58">
        <f t="shared" si="146"/>
        <v>0.15341135314687732</v>
      </c>
      <c r="X496" s="58">
        <f t="shared" si="143"/>
        <v>0.15341135314687732</v>
      </c>
      <c r="Y496" s="58">
        <f t="shared" si="144"/>
        <v>0.47404108122385086</v>
      </c>
      <c r="Z496" s="79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x14ac:dyDescent="0.3">
      <c r="A497" s="55">
        <v>2</v>
      </c>
      <c r="B497" s="58" t="s">
        <v>123</v>
      </c>
      <c r="C497" s="58">
        <f t="shared" si="150"/>
        <v>494</v>
      </c>
      <c r="D497" s="58">
        <f t="shared" si="137"/>
        <v>11.542920000000001</v>
      </c>
      <c r="E497" s="58">
        <f t="shared" ref="E497:E504" si="153">E496+0.75</f>
        <v>5.16</v>
      </c>
      <c r="F497" s="90">
        <f>($C$4/E497)+F496</f>
        <v>62.258898230951147</v>
      </c>
      <c r="G497" s="58">
        <f>G496+500</f>
        <v>2000</v>
      </c>
      <c r="H497" s="58">
        <v>2</v>
      </c>
      <c r="I497" s="90">
        <f>E497-E496</f>
        <v>0.75</v>
      </c>
      <c r="J497" s="58">
        <f>(0.5*VEHICLE!$C$71*VEHICLE!$C$28*VEHICLE!$C$27*'Drive Cycle'!E497^2)</f>
        <v>23.686242924959998</v>
      </c>
      <c r="K497" s="58">
        <f>IF(A497=1,VEHICLE!$S$5,IF(A497=2,VEHICLE!$Q$5,IF(A497=3,VEHICLE!$R$5,IF(A497=4,VEHICLE!$P$5,1))))</f>
        <v>278.27536500000002</v>
      </c>
      <c r="L497" s="58">
        <f t="shared" si="147"/>
        <v>0</v>
      </c>
      <c r="M497" s="58">
        <f t="shared" si="145"/>
        <v>0</v>
      </c>
      <c r="N497" s="58">
        <f t="shared" si="138"/>
        <v>0</v>
      </c>
      <c r="O497" s="58">
        <f t="shared" si="139"/>
        <v>0</v>
      </c>
      <c r="P497" s="58">
        <f t="shared" si="140"/>
        <v>301.96160792496005</v>
      </c>
      <c r="Q497" s="58">
        <f>IF(H497=1,I497*VEHICLE!$C$69,IF(H497=2,VEHICLE!$C$70*I497,IF(H497=3,VEHICLE!$C$71*I497,0)))</f>
        <v>438.86136489758803</v>
      </c>
      <c r="R497" s="58">
        <f>(J497+K497+O497+Q497)</f>
        <v>740.82297282254808</v>
      </c>
      <c r="S497" s="58">
        <f t="shared" si="141"/>
        <v>740.82297282254808</v>
      </c>
      <c r="T497" s="58">
        <f>ABS((R497)/((2*PI()*G497)/60))</f>
        <v>3.5371691424222411</v>
      </c>
      <c r="U497" s="58">
        <f t="shared" si="142"/>
        <v>4</v>
      </c>
      <c r="V497" s="58">
        <f>INDEX(BSFC!$D$4:$AD$26,MATCH(U497,BSFC!$B$4:$B$26,0),MATCH(G497,BSFC!$D$2:$AD$2,0))</f>
        <v>841.28841311999997</v>
      </c>
      <c r="W497" s="58">
        <f t="shared" si="146"/>
        <v>0.17312382866908954</v>
      </c>
      <c r="X497" s="58">
        <f t="shared" si="143"/>
        <v>0.17312382866908954</v>
      </c>
      <c r="Y497" s="58">
        <f t="shared" si="144"/>
        <v>0.53495263058748665</v>
      </c>
      <c r="Z497" s="79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x14ac:dyDescent="0.3">
      <c r="A498" s="55">
        <v>2</v>
      </c>
      <c r="B498" s="58" t="s">
        <v>123</v>
      </c>
      <c r="C498" s="58">
        <f t="shared" si="150"/>
        <v>495</v>
      </c>
      <c r="D498" s="58">
        <f t="shared" si="137"/>
        <v>13.22067</v>
      </c>
      <c r="E498" s="58">
        <f t="shared" si="153"/>
        <v>5.91</v>
      </c>
      <c r="F498" s="90">
        <f>($C$4/E498)+F497</f>
        <v>62.428102968683802</v>
      </c>
      <c r="G498" s="58">
        <f t="shared" ref="G498:G507" si="154">G497+500</f>
        <v>2500</v>
      </c>
      <c r="H498" s="58">
        <v>2</v>
      </c>
      <c r="I498" s="90">
        <f>E498-E497</f>
        <v>0.75</v>
      </c>
      <c r="J498" s="58">
        <f>(0.5*VEHICLE!$C$71*VEHICLE!$C$28*VEHICLE!$C$27*'Drive Cycle'!E498^2)</f>
        <v>31.072180965209999</v>
      </c>
      <c r="K498" s="58">
        <f>IF(A498=1,VEHICLE!$S$5,IF(A498=2,VEHICLE!$Q$5,IF(A498=3,VEHICLE!$R$5,IF(A498=4,VEHICLE!$P$5,1))))</f>
        <v>278.27536500000002</v>
      </c>
      <c r="L498" s="58">
        <f t="shared" si="147"/>
        <v>0</v>
      </c>
      <c r="M498" s="58">
        <f t="shared" si="145"/>
        <v>0</v>
      </c>
      <c r="N498" s="58">
        <f t="shared" si="138"/>
        <v>0</v>
      </c>
      <c r="O498" s="58">
        <f t="shared" si="139"/>
        <v>0</v>
      </c>
      <c r="P498" s="58">
        <f t="shared" si="140"/>
        <v>309.34754596521003</v>
      </c>
      <c r="Q498" s="58">
        <f>IF(H498=1,I498*VEHICLE!$C$69,IF(H498=2,VEHICLE!$C$70*I498,IF(H498=3,VEHICLE!$C$71*I498,0)))</f>
        <v>438.86136489758803</v>
      </c>
      <c r="R498" s="58">
        <f>(J498+K498+O498+Q498)</f>
        <v>748.20891086279812</v>
      </c>
      <c r="S498" s="58">
        <f t="shared" si="141"/>
        <v>748.20891086279812</v>
      </c>
      <c r="T498" s="58">
        <f>ABS((R498)/((2*PI()*G498)/60))</f>
        <v>2.8579475191012231</v>
      </c>
      <c r="U498" s="58">
        <f t="shared" si="142"/>
        <v>3</v>
      </c>
      <c r="V498" s="58">
        <f>INDEX(BSFC!$D$4:$AD$26,MATCH(U498,BSFC!$B$4:$B$26,0),MATCH(G498,BSFC!$D$2:$AD$2,0))</f>
        <v>898.36185024000031</v>
      </c>
      <c r="W498" s="58">
        <f t="shared" si="146"/>
        <v>0.18671176153576632</v>
      </c>
      <c r="X498" s="58">
        <f t="shared" si="143"/>
        <v>0.18671176153576632</v>
      </c>
      <c r="Y498" s="58">
        <f t="shared" si="144"/>
        <v>0.57693934314551787</v>
      </c>
      <c r="Z498" s="79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x14ac:dyDescent="0.3">
      <c r="A499" s="55">
        <v>2</v>
      </c>
      <c r="B499" s="58" t="s">
        <v>123</v>
      </c>
      <c r="C499" s="58">
        <f t="shared" si="150"/>
        <v>496</v>
      </c>
      <c r="D499" s="58">
        <f t="shared" si="137"/>
        <v>14.898420000000002</v>
      </c>
      <c r="E499" s="58">
        <f t="shared" si="153"/>
        <v>6.66</v>
      </c>
      <c r="F499" s="90">
        <f>($C$4/E499)+F498</f>
        <v>62.578253118833956</v>
      </c>
      <c r="G499" s="58">
        <f t="shared" si="154"/>
        <v>3000</v>
      </c>
      <c r="H499" s="58">
        <v>2</v>
      </c>
      <c r="I499" s="90">
        <f>E499-E498</f>
        <v>0.75</v>
      </c>
      <c r="J499" s="58">
        <f>(0.5*VEHICLE!$C$71*VEHICLE!$C$28*VEHICLE!$C$27*'Drive Cycle'!E499^2)</f>
        <v>39.458923617959996</v>
      </c>
      <c r="K499" s="58">
        <f>IF(A499=1,VEHICLE!$S$5,IF(A499=2,VEHICLE!$Q$5,IF(A499=3,VEHICLE!$R$5,IF(A499=4,VEHICLE!$P$5,1))))</f>
        <v>278.27536500000002</v>
      </c>
      <c r="L499" s="58">
        <f t="shared" si="147"/>
        <v>0</v>
      </c>
      <c r="M499" s="58">
        <f t="shared" si="145"/>
        <v>0</v>
      </c>
      <c r="N499" s="58">
        <f t="shared" si="138"/>
        <v>0</v>
      </c>
      <c r="O499" s="58">
        <f t="shared" si="139"/>
        <v>0</v>
      </c>
      <c r="P499" s="58">
        <f t="shared" si="140"/>
        <v>317.73428861796003</v>
      </c>
      <c r="Q499" s="58">
        <f>IF(H499=1,I499*VEHICLE!$C$69,IF(H499=2,VEHICLE!$C$70*I499,IF(H499=3,VEHICLE!$C$71*I499,0)))</f>
        <v>438.86136489758803</v>
      </c>
      <c r="R499" s="58">
        <f>(J499+K499+O499+Q499)</f>
        <v>756.59565351554807</v>
      </c>
      <c r="S499" s="58">
        <f t="shared" si="141"/>
        <v>756.59565351554807</v>
      </c>
      <c r="T499" s="58">
        <f>ABS((R499)/((2*PI()*G499)/60))</f>
        <v>2.4083187635768484</v>
      </c>
      <c r="U499" s="58">
        <f t="shared" si="142"/>
        <v>3</v>
      </c>
      <c r="V499" s="58">
        <f>INDEX(BSFC!$D$4:$AD$26,MATCH(U499,BSFC!$B$4:$B$26,0),MATCH(G499,BSFC!$D$2:$AD$2,0))</f>
        <v>875.83654128000001</v>
      </c>
      <c r="W499" s="58">
        <f t="shared" si="146"/>
        <v>0.18407058897848302</v>
      </c>
      <c r="X499" s="58">
        <f t="shared" si="143"/>
        <v>0.18407058897848302</v>
      </c>
      <c r="Y499" s="58">
        <f t="shared" si="144"/>
        <v>0.56877811994351257</v>
      </c>
      <c r="Z499" s="79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x14ac:dyDescent="0.3">
      <c r="A500" s="55">
        <v>2</v>
      </c>
      <c r="B500" s="58" t="s">
        <v>123</v>
      </c>
      <c r="C500" s="58">
        <f t="shared" si="150"/>
        <v>497</v>
      </c>
      <c r="D500" s="58">
        <f t="shared" si="137"/>
        <v>16.576170000000001</v>
      </c>
      <c r="E500" s="58">
        <f t="shared" si="153"/>
        <v>7.41</v>
      </c>
      <c r="F500" s="90">
        <f>($C$4/E500)+F499</f>
        <v>62.713205885365667</v>
      </c>
      <c r="G500" s="58">
        <f t="shared" si="154"/>
        <v>3500</v>
      </c>
      <c r="H500" s="58">
        <v>2</v>
      </c>
      <c r="I500" s="90">
        <f>E500-E499</f>
        <v>0.75</v>
      </c>
      <c r="J500" s="58">
        <f>(0.5*VEHICLE!$C$71*VEHICLE!$C$28*VEHICLE!$C$27*'Drive Cycle'!E500^2)</f>
        <v>48.846470883209996</v>
      </c>
      <c r="K500" s="58">
        <f>IF(A500=1,VEHICLE!$S$5,IF(A500=2,VEHICLE!$Q$5,IF(A500=3,VEHICLE!$R$5,IF(A500=4,VEHICLE!$P$5,1))))</f>
        <v>278.27536500000002</v>
      </c>
      <c r="L500" s="58">
        <f t="shared" si="147"/>
        <v>0</v>
      </c>
      <c r="M500" s="58">
        <f t="shared" si="145"/>
        <v>0</v>
      </c>
      <c r="N500" s="58">
        <f t="shared" si="138"/>
        <v>0</v>
      </c>
      <c r="O500" s="58">
        <f t="shared" si="139"/>
        <v>0</v>
      </c>
      <c r="P500" s="58">
        <f t="shared" si="140"/>
        <v>327.12183588321</v>
      </c>
      <c r="Q500" s="58">
        <f>IF(H500=1,I500*VEHICLE!$C$69,IF(H500=2,VEHICLE!$C$70*I500,IF(H500=3,VEHICLE!$C$71*I500,0)))</f>
        <v>438.86136489758803</v>
      </c>
      <c r="R500" s="58">
        <f>(J500+K500+O500+Q500)</f>
        <v>765.98320078079803</v>
      </c>
      <c r="S500" s="58">
        <f t="shared" si="141"/>
        <v>765.98320078079803</v>
      </c>
      <c r="T500" s="58">
        <f>ABS((R500)/((2*PI()*G500)/60))</f>
        <v>2.0898859325076988</v>
      </c>
      <c r="U500" s="58">
        <f t="shared" si="142"/>
        <v>3</v>
      </c>
      <c r="V500" s="58">
        <f>INDEX(BSFC!$D$4:$AD$26,MATCH(U500,BSFC!$B$4:$B$26,0),MATCH(G500,BSFC!$D$2:$AD$2,0))</f>
        <v>819.92766336000011</v>
      </c>
      <c r="W500" s="58">
        <f t="shared" si="146"/>
        <v>0.17445855999700377</v>
      </c>
      <c r="X500" s="58">
        <f t="shared" si="143"/>
        <v>0.17445855999700377</v>
      </c>
      <c r="Y500" s="58">
        <f t="shared" si="144"/>
        <v>0.53907695039074166</v>
      </c>
      <c r="Z500" s="79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x14ac:dyDescent="0.3">
      <c r="A501" s="55">
        <v>2</v>
      </c>
      <c r="B501" s="59" t="s">
        <v>109</v>
      </c>
      <c r="C501" s="59">
        <f t="shared" si="150"/>
        <v>498</v>
      </c>
      <c r="D501" s="59">
        <f t="shared" si="137"/>
        <v>18.253920000000001</v>
      </c>
      <c r="E501" s="59">
        <f t="shared" si="153"/>
        <v>8.16</v>
      </c>
      <c r="F501" s="91">
        <f>($C$4/E501)+F500</f>
        <v>62.835754904973513</v>
      </c>
      <c r="G501" s="59">
        <f t="shared" si="154"/>
        <v>4000</v>
      </c>
      <c r="H501" s="59">
        <v>2</v>
      </c>
      <c r="I501" s="91">
        <f>E501-E500</f>
        <v>0.75</v>
      </c>
      <c r="J501" s="59">
        <f>(0.5*VEHICLE!$C$71*VEHICLE!$C$28*VEHICLE!$C$27*'Drive Cycle'!E501^2)</f>
        <v>59.234822760959993</v>
      </c>
      <c r="K501" s="59">
        <f>IF(A501=1,VEHICLE!$S$5,IF(A501=2,VEHICLE!$Q$5,IF(A501=3,VEHICLE!$R$5,IF(A501=4,VEHICLE!$P$5,1))))</f>
        <v>278.27536500000002</v>
      </c>
      <c r="L501" s="59">
        <f t="shared" si="147"/>
        <v>0</v>
      </c>
      <c r="M501" s="59">
        <f t="shared" si="145"/>
        <v>0</v>
      </c>
      <c r="N501" s="59">
        <f t="shared" si="138"/>
        <v>0</v>
      </c>
      <c r="O501" s="59">
        <f t="shared" si="139"/>
        <v>0</v>
      </c>
      <c r="P501" s="59">
        <f t="shared" si="140"/>
        <v>337.51018776096004</v>
      </c>
      <c r="Q501" s="59">
        <f>IF(H501=1,I501*VEHICLE!$C$69,IF(H501=2,VEHICLE!$C$70*I501,IF(H501=3,VEHICLE!$C$71*I501,0)))</f>
        <v>438.86136489758803</v>
      </c>
      <c r="R501" s="59">
        <f>(J501+K501+O501+Q501)</f>
        <v>776.37155265854813</v>
      </c>
      <c r="S501" s="59">
        <f t="shared" si="141"/>
        <v>776.37155265854813</v>
      </c>
      <c r="T501" s="59">
        <f>ABS((R501)/((2*PI()*G501)/60))</f>
        <v>1.8534505542230648</v>
      </c>
      <c r="U501" s="59">
        <f t="shared" si="142"/>
        <v>2</v>
      </c>
      <c r="V501" s="59">
        <f>INDEX(BSFC!$D$4:$AD$26,MATCH(U501,BSFC!$B$4:$B$26,0),MATCH(G501,BSFC!$D$2:$AD$2,0))</f>
        <v>918.89477663999969</v>
      </c>
      <c r="W501" s="59">
        <f t="shared" si="146"/>
        <v>0.19816771235272956</v>
      </c>
      <c r="X501" s="59">
        <f t="shared" si="143"/>
        <v>0.19816771235272956</v>
      </c>
      <c r="Y501" s="59">
        <f t="shared" si="144"/>
        <v>0.61233823116993435</v>
      </c>
      <c r="Z501" s="79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x14ac:dyDescent="0.3">
      <c r="A502" s="55">
        <v>2</v>
      </c>
      <c r="B502" s="59" t="s">
        <v>109</v>
      </c>
      <c r="C502" s="59">
        <f t="shared" si="150"/>
        <v>499</v>
      </c>
      <c r="D502" s="59">
        <f t="shared" si="137"/>
        <v>19.93167</v>
      </c>
      <c r="E502" s="59">
        <f t="shared" si="153"/>
        <v>8.91</v>
      </c>
      <c r="F502" s="91">
        <f>($C$4/E502)+F501</f>
        <v>62.947988350540292</v>
      </c>
      <c r="G502" s="59">
        <f t="shared" si="154"/>
        <v>4500</v>
      </c>
      <c r="H502" s="59">
        <v>2</v>
      </c>
      <c r="I502" s="91">
        <f>E502-E501</f>
        <v>0.75</v>
      </c>
      <c r="J502" s="59">
        <f>(0.5*VEHICLE!$C$71*VEHICLE!$C$28*VEHICLE!$C$27*'Drive Cycle'!E502^2)</f>
        <v>70.623979251210002</v>
      </c>
      <c r="K502" s="59">
        <f>IF(A502=1,VEHICLE!$S$5,IF(A502=2,VEHICLE!$Q$5,IF(A502=3,VEHICLE!$R$5,IF(A502=4,VEHICLE!$P$5,1))))</f>
        <v>278.27536500000002</v>
      </c>
      <c r="L502" s="59">
        <f t="shared" si="147"/>
        <v>0</v>
      </c>
      <c r="M502" s="59">
        <f t="shared" si="145"/>
        <v>0</v>
      </c>
      <c r="N502" s="59">
        <f t="shared" si="138"/>
        <v>0</v>
      </c>
      <c r="O502" s="59">
        <f t="shared" si="139"/>
        <v>0</v>
      </c>
      <c r="P502" s="59">
        <f t="shared" si="140"/>
        <v>348.89934425121004</v>
      </c>
      <c r="Q502" s="59">
        <f>IF(H502=1,I502*VEHICLE!$C$69,IF(H502=2,VEHICLE!$C$70*I502,IF(H502=3,VEHICLE!$C$71*I502,0)))</f>
        <v>438.86136489758803</v>
      </c>
      <c r="R502" s="59">
        <f>(J502+K502+O502+Q502)</f>
        <v>787.76070914879801</v>
      </c>
      <c r="S502" s="59">
        <f t="shared" si="141"/>
        <v>787.76070914879801</v>
      </c>
      <c r="T502" s="59">
        <f>ABS((R502)/((2*PI()*G502)/60))</f>
        <v>1.6716801444614406</v>
      </c>
      <c r="U502" s="59">
        <f t="shared" si="142"/>
        <v>2</v>
      </c>
      <c r="V502" s="59">
        <f>INDEX(BSFC!$D$4:$AD$26,MATCH(U502,BSFC!$B$4:$B$26,0),MATCH(G502,BSFC!$D$2:$AD$2,0))</f>
        <v>900.04656767999984</v>
      </c>
      <c r="W502" s="59">
        <f t="shared" si="146"/>
        <v>0.19695036733959398</v>
      </c>
      <c r="X502" s="59">
        <f t="shared" si="143"/>
        <v>0.19695036733959398</v>
      </c>
      <c r="Y502" s="59">
        <f t="shared" si="144"/>
        <v>0.60857663507934534</v>
      </c>
      <c r="Z502" s="79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x14ac:dyDescent="0.3">
      <c r="A503" s="55">
        <v>2</v>
      </c>
      <c r="B503" s="59" t="s">
        <v>109</v>
      </c>
      <c r="C503" s="59">
        <f t="shared" si="150"/>
        <v>500</v>
      </c>
      <c r="D503" s="59">
        <f t="shared" si="137"/>
        <v>21.60942</v>
      </c>
      <c r="E503" s="59">
        <f t="shared" si="153"/>
        <v>9.66</v>
      </c>
      <c r="F503" s="91">
        <f>($C$4/E503)+F502</f>
        <v>63.05150801927735</v>
      </c>
      <c r="G503" s="59">
        <f t="shared" si="154"/>
        <v>5000</v>
      </c>
      <c r="H503" s="59">
        <v>2</v>
      </c>
      <c r="I503" s="91">
        <f>E503-E502</f>
        <v>0.75</v>
      </c>
      <c r="J503" s="59">
        <f>(0.5*VEHICLE!$C$71*VEHICLE!$C$28*VEHICLE!$C$27*'Drive Cycle'!E503^2)</f>
        <v>83.013940353959995</v>
      </c>
      <c r="K503" s="59">
        <f>IF(A503=1,VEHICLE!$S$5,IF(A503=2,VEHICLE!$Q$5,IF(A503=3,VEHICLE!$R$5,IF(A503=4,VEHICLE!$P$5,1))))</f>
        <v>278.27536500000002</v>
      </c>
      <c r="L503" s="59">
        <f t="shared" si="147"/>
        <v>0</v>
      </c>
      <c r="M503" s="59">
        <f t="shared" si="145"/>
        <v>0</v>
      </c>
      <c r="N503" s="59">
        <f t="shared" si="138"/>
        <v>0</v>
      </c>
      <c r="O503" s="59">
        <f t="shared" si="139"/>
        <v>0</v>
      </c>
      <c r="P503" s="59">
        <f t="shared" si="140"/>
        <v>361.28930535396</v>
      </c>
      <c r="Q503" s="59">
        <f>IF(H503=1,I503*VEHICLE!$C$69,IF(H503=2,VEHICLE!$C$70*I503,IF(H503=3,VEHICLE!$C$71*I503,0)))</f>
        <v>438.86136489758803</v>
      </c>
      <c r="R503" s="59">
        <f>(J503+K503+O503+Q503)</f>
        <v>800.15067025154804</v>
      </c>
      <c r="S503" s="59">
        <f t="shared" si="141"/>
        <v>800.15067025154804</v>
      </c>
      <c r="T503" s="59">
        <f>ABS((R503)/((2*PI()*G503)/60))</f>
        <v>1.5281752126659245</v>
      </c>
      <c r="U503" s="59">
        <f t="shared" si="142"/>
        <v>2</v>
      </c>
      <c r="V503" s="59">
        <f>INDEX(BSFC!$D$4:$AD$26,MATCH(U503,BSFC!$B$4:$B$26,0),MATCH(G503,BSFC!$D$2:$AD$2,0))</f>
        <v>881.19835871999999</v>
      </c>
      <c r="W503" s="59">
        <f t="shared" si="146"/>
        <v>0.19585873815399221</v>
      </c>
      <c r="X503" s="59">
        <f t="shared" si="143"/>
        <v>0.19585873815399221</v>
      </c>
      <c r="Y503" s="59">
        <f t="shared" si="144"/>
        <v>0.60520350089583586</v>
      </c>
      <c r="Z503" s="79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x14ac:dyDescent="0.3">
      <c r="A504" s="55">
        <v>2</v>
      </c>
      <c r="B504" s="59" t="s">
        <v>109</v>
      </c>
      <c r="C504" s="59">
        <f t="shared" si="150"/>
        <v>501</v>
      </c>
      <c r="D504" s="59">
        <f t="shared" si="137"/>
        <v>23.28717</v>
      </c>
      <c r="E504" s="59">
        <f t="shared" si="153"/>
        <v>10.41</v>
      </c>
      <c r="F504" s="91">
        <f>($C$4/E504)+F503</f>
        <v>63.147569498624129</v>
      </c>
      <c r="G504" s="59">
        <f t="shared" si="154"/>
        <v>5500</v>
      </c>
      <c r="H504" s="59">
        <v>3</v>
      </c>
      <c r="I504" s="91">
        <f>E504-E503</f>
        <v>0.75</v>
      </c>
      <c r="J504" s="59">
        <f>(0.5*VEHICLE!$C$71*VEHICLE!$C$28*VEHICLE!$C$27*'Drive Cycle'!E504^2)</f>
        <v>96.404706069209993</v>
      </c>
      <c r="K504" s="59">
        <f>IF(A504=1,VEHICLE!$S$5,IF(A504=2,VEHICLE!$Q$5,IF(A504=3,VEHICLE!$R$5,IF(A504=4,VEHICLE!$P$5,1))))</f>
        <v>278.27536500000002</v>
      </c>
      <c r="L504" s="59">
        <f t="shared" si="147"/>
        <v>0</v>
      </c>
      <c r="M504" s="59">
        <f t="shared" si="145"/>
        <v>0</v>
      </c>
      <c r="N504" s="59">
        <f t="shared" si="138"/>
        <v>0</v>
      </c>
      <c r="O504" s="59">
        <f t="shared" si="139"/>
        <v>0</v>
      </c>
      <c r="P504" s="59">
        <f t="shared" si="140"/>
        <v>374.68007106921004</v>
      </c>
      <c r="Q504" s="59">
        <f>IF(H504=1,I504*VEHICLE!$C$69,IF(H504=2,VEHICLE!$C$70*I504,IF(H504=3,VEHICLE!$C$71*I504,0)))</f>
        <v>0.87525000000000008</v>
      </c>
      <c r="R504" s="59">
        <f>(J504+K504+O504+Q504)</f>
        <v>375.55532106921004</v>
      </c>
      <c r="S504" s="59">
        <f t="shared" si="141"/>
        <v>375.55532106921004</v>
      </c>
      <c r="T504" s="59">
        <f>ABS((R504)/((2*PI()*G504)/60))</f>
        <v>0.65205257184685761</v>
      </c>
      <c r="U504" s="59">
        <f t="shared" si="142"/>
        <v>1</v>
      </c>
      <c r="V504" s="59">
        <f>INDEX(BSFC!$D$4:$AD$26,MATCH(U504,BSFC!$B$4:$B$26,0),MATCH(G504,BSFC!$D$2:$AD$2,0))</f>
        <v>937.88833920000002</v>
      </c>
      <c r="W504" s="59">
        <f t="shared" si="146"/>
        <v>9.7841376765367832E-2</v>
      </c>
      <c r="X504" s="59">
        <f t="shared" si="143"/>
        <v>9.7841376765367832E-2</v>
      </c>
      <c r="Y504" s="59">
        <f t="shared" si="144"/>
        <v>0.30232985420498659</v>
      </c>
      <c r="Z504" s="79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x14ac:dyDescent="0.3">
      <c r="A505" s="55">
        <v>2</v>
      </c>
      <c r="B505" s="59" t="s">
        <v>109</v>
      </c>
      <c r="C505" s="59">
        <f t="shared" si="150"/>
        <v>502</v>
      </c>
      <c r="D505" s="59">
        <f t="shared" si="137"/>
        <v>25.524170000000002</v>
      </c>
      <c r="E505" s="59">
        <f>E504+1</f>
        <v>11.41</v>
      </c>
      <c r="F505" s="91">
        <f>($C$4/E505)+F504</f>
        <v>63.235211917554892</v>
      </c>
      <c r="G505" s="59">
        <f>G504+500</f>
        <v>6000</v>
      </c>
      <c r="H505" s="59">
        <v>3</v>
      </c>
      <c r="I505" s="91">
        <f>E505-E504</f>
        <v>1</v>
      </c>
      <c r="J505" s="59">
        <f>(0.5*VEHICLE!$C$71*VEHICLE!$C$28*VEHICLE!$C$27*'Drive Cycle'!E505^2)</f>
        <v>115.81586753120997</v>
      </c>
      <c r="K505" s="59">
        <f>IF(A505=1,VEHICLE!$S$5,IF(A505=2,VEHICLE!$Q$5,IF(A505=3,VEHICLE!$R$5,IF(A505=4,VEHICLE!$P$5,1))))</f>
        <v>278.27536500000002</v>
      </c>
      <c r="L505" s="59">
        <f t="shared" si="147"/>
        <v>0</v>
      </c>
      <c r="M505" s="59">
        <f t="shared" si="145"/>
        <v>0</v>
      </c>
      <c r="N505" s="59">
        <f t="shared" si="138"/>
        <v>0</v>
      </c>
      <c r="O505" s="59">
        <f t="shared" si="139"/>
        <v>0</v>
      </c>
      <c r="P505" s="59">
        <f t="shared" si="140"/>
        <v>394.09123253120998</v>
      </c>
      <c r="Q505" s="59">
        <f>IF(H505=1,I505*VEHICLE!$C$69,IF(H505=2,VEHICLE!$C$70*I505,IF(H505=3,VEHICLE!$C$71*I505,0)))</f>
        <v>1.167</v>
      </c>
      <c r="R505" s="59">
        <f>(J505+K505+O505+Q505)</f>
        <v>395.25823253120996</v>
      </c>
      <c r="S505" s="59">
        <f t="shared" si="141"/>
        <v>395.25823253120996</v>
      </c>
      <c r="T505" s="59">
        <f>ABS((R505)/((2*PI()*G505)/60))</f>
        <v>0.62907301505107849</v>
      </c>
      <c r="U505" s="59">
        <f t="shared" si="142"/>
        <v>1</v>
      </c>
      <c r="V505" s="59">
        <f>INDEX(BSFC!$D$4:$AD$26,MATCH(U505,BSFC!$B$4:$B$26,0),MATCH(G505,BSFC!$D$2:$AD$2,0))</f>
        <v>933.91499472000044</v>
      </c>
      <c r="W505" s="59">
        <f t="shared" si="146"/>
        <v>0.1025382194853949</v>
      </c>
      <c r="X505" s="59">
        <f t="shared" si="143"/>
        <v>0.1025382194853949</v>
      </c>
      <c r="Y505" s="59">
        <f t="shared" si="144"/>
        <v>0.31684309820987022</v>
      </c>
      <c r="Z505" s="79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x14ac:dyDescent="0.3">
      <c r="A506" s="55">
        <v>2</v>
      </c>
      <c r="B506" s="59" t="s">
        <v>109</v>
      </c>
      <c r="C506" s="59">
        <f t="shared" si="150"/>
        <v>503</v>
      </c>
      <c r="D506" s="59">
        <f t="shared" si="137"/>
        <v>27.76117</v>
      </c>
      <c r="E506" s="59">
        <f t="shared" ref="E506:E507" si="155">E505+1</f>
        <v>12.41</v>
      </c>
      <c r="F506" s="91">
        <f>($C$4/E506)+F505</f>
        <v>63.315792094831281</v>
      </c>
      <c r="G506" s="59">
        <f t="shared" si="154"/>
        <v>6500</v>
      </c>
      <c r="H506" s="59">
        <v>3</v>
      </c>
      <c r="I506" s="91">
        <f>E506-E505</f>
        <v>1</v>
      </c>
      <c r="J506" s="59">
        <f>(0.5*VEHICLE!$C$71*VEHICLE!$C$28*VEHICLE!$C$27*'Drive Cycle'!E506^2)</f>
        <v>137.00623719320998</v>
      </c>
      <c r="K506" s="59">
        <f>IF(A506=1,VEHICLE!$S$5,IF(A506=2,VEHICLE!$Q$5,IF(A506=3,VEHICLE!$R$5,IF(A506=4,VEHICLE!$P$5,1))))</f>
        <v>278.27536500000002</v>
      </c>
      <c r="L506" s="59">
        <f t="shared" si="147"/>
        <v>0</v>
      </c>
      <c r="M506" s="59">
        <f t="shared" si="145"/>
        <v>0</v>
      </c>
      <c r="N506" s="59">
        <f t="shared" si="138"/>
        <v>0</v>
      </c>
      <c r="O506" s="59">
        <f t="shared" si="139"/>
        <v>0</v>
      </c>
      <c r="P506" s="59">
        <f t="shared" si="140"/>
        <v>415.28160219321001</v>
      </c>
      <c r="Q506" s="59">
        <f>IF(H506=1,I506*VEHICLE!$C$69,IF(H506=2,VEHICLE!$C$70*I506,IF(H506=3,VEHICLE!$C$71*I506,0)))</f>
        <v>1.167</v>
      </c>
      <c r="R506" s="59">
        <f>(J506+K506+O506+Q506)</f>
        <v>416.44860219320998</v>
      </c>
      <c r="S506" s="59">
        <f t="shared" si="141"/>
        <v>416.44860219320998</v>
      </c>
      <c r="T506" s="59">
        <f>ABS((R506)/((2*PI()*G506)/60))</f>
        <v>0.61181403307162796</v>
      </c>
      <c r="U506" s="59">
        <f t="shared" si="142"/>
        <v>1</v>
      </c>
      <c r="V506" s="59">
        <f>INDEX(BSFC!$D$4:$AD$26,MATCH(U506,BSFC!$B$4:$B$26,0),MATCH(G506,BSFC!$D$2:$AD$2,0))</f>
        <v>925.65735288000019</v>
      </c>
      <c r="W506" s="59">
        <f t="shared" si="146"/>
        <v>0.1070801974213175</v>
      </c>
      <c r="X506" s="59">
        <f t="shared" si="143"/>
        <v>0.1070801974213175</v>
      </c>
      <c r="Y506" s="59">
        <f t="shared" si="144"/>
        <v>0.33087781003187106</v>
      </c>
      <c r="Z506" s="79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x14ac:dyDescent="0.3">
      <c r="A507" s="55">
        <v>2</v>
      </c>
      <c r="B507" s="59" t="s">
        <v>109</v>
      </c>
      <c r="C507" s="59">
        <f t="shared" si="150"/>
        <v>504</v>
      </c>
      <c r="D507" s="59">
        <f t="shared" si="137"/>
        <v>29.998170000000002</v>
      </c>
      <c r="E507" s="59">
        <f t="shared" si="155"/>
        <v>13.41</v>
      </c>
      <c r="F507" s="91">
        <f>($C$4/E507)+F506</f>
        <v>63.390363310342096</v>
      </c>
      <c r="G507" s="59">
        <f t="shared" si="154"/>
        <v>7000</v>
      </c>
      <c r="H507" s="59">
        <v>3</v>
      </c>
      <c r="I507" s="91">
        <f>E507-E506</f>
        <v>1</v>
      </c>
      <c r="J507" s="59">
        <f>(0.5*VEHICLE!$C$71*VEHICLE!$C$28*VEHICLE!$C$27*'Drive Cycle'!E507^2)</f>
        <v>159.97581505520998</v>
      </c>
      <c r="K507" s="59">
        <f>IF(A507=1,VEHICLE!$S$5,IF(A507=2,VEHICLE!$Q$5,IF(A507=3,VEHICLE!$R$5,IF(A507=4,VEHICLE!$P$5,1))))</f>
        <v>278.27536500000002</v>
      </c>
      <c r="L507" s="59">
        <f t="shared" si="147"/>
        <v>0</v>
      </c>
      <c r="M507" s="59">
        <f t="shared" si="145"/>
        <v>0</v>
      </c>
      <c r="N507" s="59">
        <f t="shared" si="138"/>
        <v>0</v>
      </c>
      <c r="O507" s="59">
        <f t="shared" si="139"/>
        <v>0</v>
      </c>
      <c r="P507" s="59">
        <f t="shared" si="140"/>
        <v>438.25118005521</v>
      </c>
      <c r="Q507" s="59">
        <f>IF(H507=1,I507*VEHICLE!$C$69,IF(H507=2,VEHICLE!$C$70*I507,IF(H507=3,VEHICLE!$C$71*I507,0)))</f>
        <v>1.167</v>
      </c>
      <c r="R507" s="59">
        <f>(J507+K507+O507+Q507)</f>
        <v>439.41818005520997</v>
      </c>
      <c r="S507" s="59">
        <f t="shared" si="141"/>
        <v>439.41818005520997</v>
      </c>
      <c r="T507" s="59">
        <f>ABS((R507)/((2*PI()*G507)/60))</f>
        <v>0.59944778948769573</v>
      </c>
      <c r="U507" s="59">
        <f t="shared" si="142"/>
        <v>1</v>
      </c>
      <c r="V507" s="59">
        <f>INDEX(BSFC!$D$4:$AD$26,MATCH(U507,BSFC!$B$4:$B$26,0),MATCH(G507,BSFC!$D$2:$AD$2,0))</f>
        <v>920.25590927999997</v>
      </c>
      <c r="W507" s="59">
        <f t="shared" si="146"/>
        <v>0.11232699356690833</v>
      </c>
      <c r="X507" s="59">
        <f t="shared" si="143"/>
        <v>0.11232699356690833</v>
      </c>
      <c r="Y507" s="59">
        <f t="shared" si="144"/>
        <v>0.34709041012174668</v>
      </c>
      <c r="Z507" s="79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x14ac:dyDescent="0.3">
      <c r="A508" s="55">
        <v>2</v>
      </c>
      <c r="B508" s="59" t="s">
        <v>109</v>
      </c>
      <c r="C508" s="59">
        <f t="shared" si="150"/>
        <v>505</v>
      </c>
      <c r="D508" s="59">
        <f t="shared" si="137"/>
        <v>29.998170000000002</v>
      </c>
      <c r="E508" s="59">
        <f>E507</f>
        <v>13.41</v>
      </c>
      <c r="F508" s="91">
        <f>($C$4/E508)+F507</f>
        <v>63.464934525852911</v>
      </c>
      <c r="G508" s="59">
        <v>7000</v>
      </c>
      <c r="H508" s="59">
        <v>3</v>
      </c>
      <c r="I508" s="91">
        <f>E508-E507</f>
        <v>0</v>
      </c>
      <c r="J508" s="59">
        <f>(0.5*VEHICLE!$C$71*VEHICLE!$C$28*VEHICLE!$C$27*'Drive Cycle'!E508^2)</f>
        <v>159.97581505520998</v>
      </c>
      <c r="K508" s="59">
        <f>IF(A508=1,VEHICLE!$S$5,IF(A508=2,VEHICLE!$Q$5,IF(A508=3,VEHICLE!$R$5,IF(A508=4,VEHICLE!$P$5,1))))</f>
        <v>278.27536500000002</v>
      </c>
      <c r="L508" s="59">
        <f t="shared" si="147"/>
        <v>0</v>
      </c>
      <c r="M508" s="59">
        <f t="shared" si="145"/>
        <v>0</v>
      </c>
      <c r="N508" s="59">
        <f t="shared" si="138"/>
        <v>0</v>
      </c>
      <c r="O508" s="59">
        <f t="shared" si="139"/>
        <v>0</v>
      </c>
      <c r="P508" s="59">
        <f t="shared" si="140"/>
        <v>438.25118005521</v>
      </c>
      <c r="Q508" s="59">
        <f>IF(H508=1,I508*VEHICLE!$C$69,IF(H508=2,VEHICLE!$C$70*I508,IF(H508=3,VEHICLE!$C$71*I508,0)))</f>
        <v>0</v>
      </c>
      <c r="R508" s="59">
        <f>(J508+K508+O508+Q508)</f>
        <v>438.25118005521</v>
      </c>
      <c r="S508" s="59">
        <f t="shared" si="141"/>
        <v>438.25118005521</v>
      </c>
      <c r="T508" s="59">
        <f>ABS((R508)/((2*PI()*G508)/60))</f>
        <v>0.59785578532836803</v>
      </c>
      <c r="U508" s="59">
        <f t="shared" si="142"/>
        <v>1</v>
      </c>
      <c r="V508" s="59">
        <f>INDEX(BSFC!$D$4:$AD$26,MATCH(U508,BSFC!$B$4:$B$26,0),MATCH(G508,BSFC!$D$2:$AD$2,0))</f>
        <v>920.25590927999997</v>
      </c>
      <c r="W508" s="59">
        <f t="shared" si="146"/>
        <v>0.11202867727631674</v>
      </c>
      <c r="X508" s="59">
        <f t="shared" si="143"/>
        <v>0.11202867727631674</v>
      </c>
      <c r="Y508" s="59">
        <f t="shared" si="144"/>
        <v>0.34616861278381872</v>
      </c>
      <c r="Z508" s="79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x14ac:dyDescent="0.3">
      <c r="A509" s="55">
        <v>2</v>
      </c>
      <c r="B509" s="59" t="s">
        <v>109</v>
      </c>
      <c r="C509" s="59">
        <f t="shared" si="150"/>
        <v>506</v>
      </c>
      <c r="D509" s="59">
        <f t="shared" si="137"/>
        <v>29.998170000000002</v>
      </c>
      <c r="E509" s="59">
        <f t="shared" ref="E509:E529" si="156">E508</f>
        <v>13.41</v>
      </c>
      <c r="F509" s="91">
        <f>($C$4/E509)+F508</f>
        <v>63.539505741363726</v>
      </c>
      <c r="G509" s="59">
        <f t="shared" ref="G509:G529" si="157">G508</f>
        <v>7000</v>
      </c>
      <c r="H509" s="59">
        <v>3</v>
      </c>
      <c r="I509" s="91">
        <f>E509-E508</f>
        <v>0</v>
      </c>
      <c r="J509" s="59">
        <f>(0.5*VEHICLE!$C$71*VEHICLE!$C$28*VEHICLE!$C$27*'Drive Cycle'!E509^2)</f>
        <v>159.97581505520998</v>
      </c>
      <c r="K509" s="59">
        <f>IF(A509=1,VEHICLE!$S$5,IF(A509=2,VEHICLE!$Q$5,IF(A509=3,VEHICLE!$R$5,IF(A509=4,VEHICLE!$P$5,1))))</f>
        <v>278.27536500000002</v>
      </c>
      <c r="L509" s="59">
        <f t="shared" si="147"/>
        <v>0</v>
      </c>
      <c r="M509" s="59">
        <f t="shared" si="145"/>
        <v>0</v>
      </c>
      <c r="N509" s="59">
        <f t="shared" si="138"/>
        <v>0</v>
      </c>
      <c r="O509" s="59">
        <f t="shared" si="139"/>
        <v>0</v>
      </c>
      <c r="P509" s="59">
        <f t="shared" si="140"/>
        <v>438.25118005521</v>
      </c>
      <c r="Q509" s="59">
        <f>IF(H509=1,I509*VEHICLE!$C$69,IF(H509=2,VEHICLE!$C$70*I509,IF(H509=3,VEHICLE!$C$71*I509,0)))</f>
        <v>0</v>
      </c>
      <c r="R509" s="59">
        <f>(J509+K509+O509+Q509)</f>
        <v>438.25118005521</v>
      </c>
      <c r="S509" s="59">
        <f t="shared" si="141"/>
        <v>438.25118005521</v>
      </c>
      <c r="T509" s="59">
        <f>ABS((R509)/((2*PI()*G509)/60))</f>
        <v>0.59785578532836803</v>
      </c>
      <c r="U509" s="59">
        <f t="shared" si="142"/>
        <v>1</v>
      </c>
      <c r="V509" s="59">
        <f>INDEX(BSFC!$D$4:$AD$26,MATCH(U509,BSFC!$B$4:$B$26,0),MATCH(G509,BSFC!$D$2:$AD$2,0))</f>
        <v>920.25590927999997</v>
      </c>
      <c r="W509" s="59">
        <f t="shared" si="146"/>
        <v>0.11202867727631674</v>
      </c>
      <c r="X509" s="59">
        <f t="shared" si="143"/>
        <v>0.11202867727631674</v>
      </c>
      <c r="Y509" s="59">
        <f t="shared" si="144"/>
        <v>0.34616861278381872</v>
      </c>
      <c r="Z509" s="79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x14ac:dyDescent="0.3">
      <c r="A510" s="55">
        <v>2</v>
      </c>
      <c r="B510" s="59" t="s">
        <v>109</v>
      </c>
      <c r="C510" s="59">
        <f t="shared" si="150"/>
        <v>507</v>
      </c>
      <c r="D510" s="59">
        <f t="shared" si="137"/>
        <v>29.998170000000002</v>
      </c>
      <c r="E510" s="59">
        <f t="shared" si="156"/>
        <v>13.41</v>
      </c>
      <c r="F510" s="91">
        <f>($C$4/E510)+F509</f>
        <v>63.614076956874541</v>
      </c>
      <c r="G510" s="59">
        <f t="shared" si="157"/>
        <v>7000</v>
      </c>
      <c r="H510" s="59">
        <v>3</v>
      </c>
      <c r="I510" s="91">
        <f>E510-E509</f>
        <v>0</v>
      </c>
      <c r="J510" s="59">
        <f>(0.5*VEHICLE!$C$71*VEHICLE!$C$28*VEHICLE!$C$27*'Drive Cycle'!E510^2)</f>
        <v>159.97581505520998</v>
      </c>
      <c r="K510" s="59">
        <f>IF(A510=1,VEHICLE!$S$5,IF(A510=2,VEHICLE!$Q$5,IF(A510=3,VEHICLE!$R$5,IF(A510=4,VEHICLE!$P$5,1))))</f>
        <v>278.27536500000002</v>
      </c>
      <c r="L510" s="59">
        <f t="shared" si="147"/>
        <v>0</v>
      </c>
      <c r="M510" s="59">
        <f t="shared" si="145"/>
        <v>0</v>
      </c>
      <c r="N510" s="59">
        <f t="shared" si="138"/>
        <v>0</v>
      </c>
      <c r="O510" s="59">
        <f t="shared" si="139"/>
        <v>0</v>
      </c>
      <c r="P510" s="59">
        <f t="shared" si="140"/>
        <v>438.25118005521</v>
      </c>
      <c r="Q510" s="59">
        <f>IF(H510=1,I510*VEHICLE!$C$69,IF(H510=2,VEHICLE!$C$70*I510,IF(H510=3,VEHICLE!$C$71*I510,0)))</f>
        <v>0</v>
      </c>
      <c r="R510" s="59">
        <f>(J510+K510+O510+Q510)</f>
        <v>438.25118005521</v>
      </c>
      <c r="S510" s="59">
        <f t="shared" si="141"/>
        <v>438.25118005521</v>
      </c>
      <c r="T510" s="59">
        <f>ABS((R510)/((2*PI()*G510)/60))</f>
        <v>0.59785578532836803</v>
      </c>
      <c r="U510" s="59">
        <f t="shared" si="142"/>
        <v>1</v>
      </c>
      <c r="V510" s="59">
        <f>INDEX(BSFC!$D$4:$AD$26,MATCH(U510,BSFC!$B$4:$B$26,0),MATCH(G510,BSFC!$D$2:$AD$2,0))</f>
        <v>920.25590927999997</v>
      </c>
      <c r="W510" s="59">
        <f t="shared" si="146"/>
        <v>0.11202867727631674</v>
      </c>
      <c r="X510" s="59">
        <f t="shared" si="143"/>
        <v>0.11202867727631674</v>
      </c>
      <c r="Y510" s="59">
        <f t="shared" si="144"/>
        <v>0.34616861278381872</v>
      </c>
      <c r="Z510" s="79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x14ac:dyDescent="0.3">
      <c r="A511" s="55">
        <v>2</v>
      </c>
      <c r="B511" s="59" t="s">
        <v>109</v>
      </c>
      <c r="C511" s="59">
        <f t="shared" si="150"/>
        <v>508</v>
      </c>
      <c r="D511" s="59">
        <f t="shared" si="137"/>
        <v>29.998170000000002</v>
      </c>
      <c r="E511" s="59">
        <f t="shared" si="156"/>
        <v>13.41</v>
      </c>
      <c r="F511" s="91">
        <f>($C$4/E511)+F510</f>
        <v>63.688648172385356</v>
      </c>
      <c r="G511" s="59">
        <f t="shared" si="157"/>
        <v>7000</v>
      </c>
      <c r="H511" s="59">
        <v>3</v>
      </c>
      <c r="I511" s="91">
        <f>E511-E510</f>
        <v>0</v>
      </c>
      <c r="J511" s="59">
        <f>(0.5*VEHICLE!$C$71*VEHICLE!$C$28*VEHICLE!$C$27*'Drive Cycle'!E511^2)</f>
        <v>159.97581505520998</v>
      </c>
      <c r="K511" s="59">
        <f>IF(A511=1,VEHICLE!$S$5,IF(A511=2,VEHICLE!$Q$5,IF(A511=3,VEHICLE!$R$5,IF(A511=4,VEHICLE!$P$5,1))))</f>
        <v>278.27536500000002</v>
      </c>
      <c r="L511" s="59">
        <f t="shared" si="147"/>
        <v>0</v>
      </c>
      <c r="M511" s="59">
        <f t="shared" si="145"/>
        <v>0</v>
      </c>
      <c r="N511" s="59">
        <f t="shared" si="138"/>
        <v>0</v>
      </c>
      <c r="O511" s="59">
        <f t="shared" si="139"/>
        <v>0</v>
      </c>
      <c r="P511" s="59">
        <f t="shared" si="140"/>
        <v>438.25118005521</v>
      </c>
      <c r="Q511" s="59">
        <f>IF(H511=1,I511*VEHICLE!$C$69,IF(H511=2,VEHICLE!$C$70*I511,IF(H511=3,VEHICLE!$C$71*I511,0)))</f>
        <v>0</v>
      </c>
      <c r="R511" s="59">
        <f>(J511+K511+O511+Q511)</f>
        <v>438.25118005521</v>
      </c>
      <c r="S511" s="59">
        <f t="shared" si="141"/>
        <v>438.25118005521</v>
      </c>
      <c r="T511" s="59">
        <f>ABS((R511)/((2*PI()*G511)/60))</f>
        <v>0.59785578532836803</v>
      </c>
      <c r="U511" s="59">
        <f t="shared" si="142"/>
        <v>1</v>
      </c>
      <c r="V511" s="59">
        <f>INDEX(BSFC!$D$4:$AD$26,MATCH(U511,BSFC!$B$4:$B$26,0),MATCH(G511,BSFC!$D$2:$AD$2,0))</f>
        <v>920.25590927999997</v>
      </c>
      <c r="W511" s="59">
        <f t="shared" si="146"/>
        <v>0.11202867727631674</v>
      </c>
      <c r="X511" s="59">
        <f t="shared" si="143"/>
        <v>0.11202867727631674</v>
      </c>
      <c r="Y511" s="59">
        <f t="shared" si="144"/>
        <v>0.34616861278381872</v>
      </c>
      <c r="Z511" s="79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x14ac:dyDescent="0.3">
      <c r="A512" s="55">
        <v>2</v>
      </c>
      <c r="B512" s="59" t="s">
        <v>109</v>
      </c>
      <c r="C512" s="59">
        <f t="shared" si="150"/>
        <v>509</v>
      </c>
      <c r="D512" s="59">
        <f t="shared" si="137"/>
        <v>29.998170000000002</v>
      </c>
      <c r="E512" s="59">
        <f t="shared" si="156"/>
        <v>13.41</v>
      </c>
      <c r="F512" s="91">
        <f>($C$4/E512)+F511</f>
        <v>63.763219387896171</v>
      </c>
      <c r="G512" s="59">
        <f t="shared" si="157"/>
        <v>7000</v>
      </c>
      <c r="H512" s="59">
        <v>3</v>
      </c>
      <c r="I512" s="91">
        <f>E512-E511</f>
        <v>0</v>
      </c>
      <c r="J512" s="59">
        <f>(0.5*VEHICLE!$C$71*VEHICLE!$C$28*VEHICLE!$C$27*'Drive Cycle'!E512^2)</f>
        <v>159.97581505520998</v>
      </c>
      <c r="K512" s="59">
        <f>IF(A512=1,VEHICLE!$S$5,IF(A512=2,VEHICLE!$Q$5,IF(A512=3,VEHICLE!$R$5,IF(A512=4,VEHICLE!$P$5,1))))</f>
        <v>278.27536500000002</v>
      </c>
      <c r="L512" s="59">
        <f t="shared" si="147"/>
        <v>0</v>
      </c>
      <c r="M512" s="59">
        <f t="shared" si="145"/>
        <v>0</v>
      </c>
      <c r="N512" s="59">
        <f t="shared" si="138"/>
        <v>0</v>
      </c>
      <c r="O512" s="59">
        <f t="shared" si="139"/>
        <v>0</v>
      </c>
      <c r="P512" s="59">
        <f t="shared" si="140"/>
        <v>438.25118005521</v>
      </c>
      <c r="Q512" s="59">
        <f>IF(H512=1,I512*VEHICLE!$C$69,IF(H512=2,VEHICLE!$C$70*I512,IF(H512=3,VEHICLE!$C$71*I512,0)))</f>
        <v>0</v>
      </c>
      <c r="R512" s="59">
        <f>(J512+K512+O512+Q512)</f>
        <v>438.25118005521</v>
      </c>
      <c r="S512" s="59">
        <f t="shared" si="141"/>
        <v>438.25118005521</v>
      </c>
      <c r="T512" s="59">
        <f>ABS((R512)/((2*PI()*G512)/60))</f>
        <v>0.59785578532836803</v>
      </c>
      <c r="U512" s="59">
        <f t="shared" si="142"/>
        <v>1</v>
      </c>
      <c r="V512" s="59">
        <f>INDEX(BSFC!$D$4:$AD$26,MATCH(U512,BSFC!$B$4:$B$26,0),MATCH(G512,BSFC!$D$2:$AD$2,0))</f>
        <v>920.25590927999997</v>
      </c>
      <c r="W512" s="59">
        <f t="shared" si="146"/>
        <v>0.11202867727631674</v>
      </c>
      <c r="X512" s="59">
        <f t="shared" si="143"/>
        <v>0.11202867727631674</v>
      </c>
      <c r="Y512" s="59">
        <f t="shared" si="144"/>
        <v>0.34616861278381872</v>
      </c>
      <c r="Z512" s="79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x14ac:dyDescent="0.3">
      <c r="A513" s="55">
        <v>2</v>
      </c>
      <c r="B513" s="59" t="s">
        <v>109</v>
      </c>
      <c r="C513" s="59">
        <f t="shared" si="150"/>
        <v>510</v>
      </c>
      <c r="D513" s="59">
        <f t="shared" si="137"/>
        <v>29.998170000000002</v>
      </c>
      <c r="E513" s="59">
        <f t="shared" si="156"/>
        <v>13.41</v>
      </c>
      <c r="F513" s="91">
        <f>($C$4/E513)+F512</f>
        <v>63.837790603406987</v>
      </c>
      <c r="G513" s="59">
        <f t="shared" si="157"/>
        <v>7000</v>
      </c>
      <c r="H513" s="59">
        <v>3</v>
      </c>
      <c r="I513" s="91">
        <f>E513-E512</f>
        <v>0</v>
      </c>
      <c r="J513" s="59">
        <f>(0.5*VEHICLE!$C$71*VEHICLE!$C$28*VEHICLE!$C$27*'Drive Cycle'!E513^2)</f>
        <v>159.97581505520998</v>
      </c>
      <c r="K513" s="59">
        <f>IF(A513=1,VEHICLE!$S$5,IF(A513=2,VEHICLE!$Q$5,IF(A513=3,VEHICLE!$R$5,IF(A513=4,VEHICLE!$P$5,1))))</f>
        <v>278.27536500000002</v>
      </c>
      <c r="L513" s="59">
        <f t="shared" si="147"/>
        <v>0</v>
      </c>
      <c r="M513" s="59">
        <f t="shared" si="145"/>
        <v>0</v>
      </c>
      <c r="N513" s="59">
        <f t="shared" si="138"/>
        <v>0</v>
      </c>
      <c r="O513" s="59">
        <f t="shared" si="139"/>
        <v>0</v>
      </c>
      <c r="P513" s="59">
        <f t="shared" si="140"/>
        <v>438.25118005521</v>
      </c>
      <c r="Q513" s="59">
        <f>IF(H513=1,I513*VEHICLE!$C$69,IF(H513=2,VEHICLE!$C$70*I513,IF(H513=3,VEHICLE!$C$71*I513,0)))</f>
        <v>0</v>
      </c>
      <c r="R513" s="59">
        <f>(J513+K513+O513+Q513)</f>
        <v>438.25118005521</v>
      </c>
      <c r="S513" s="59">
        <f t="shared" si="141"/>
        <v>438.25118005521</v>
      </c>
      <c r="T513" s="59">
        <f>ABS((R513)/((2*PI()*G513)/60))</f>
        <v>0.59785578532836803</v>
      </c>
      <c r="U513" s="59">
        <f t="shared" si="142"/>
        <v>1</v>
      </c>
      <c r="V513" s="59">
        <f>INDEX(BSFC!$D$4:$AD$26,MATCH(U513,BSFC!$B$4:$B$26,0),MATCH(G513,BSFC!$D$2:$AD$2,0))</f>
        <v>920.25590927999997</v>
      </c>
      <c r="W513" s="59">
        <f t="shared" si="146"/>
        <v>0.11202867727631674</v>
      </c>
      <c r="X513" s="59">
        <f t="shared" si="143"/>
        <v>0.11202867727631674</v>
      </c>
      <c r="Y513" s="59">
        <f t="shared" si="144"/>
        <v>0.34616861278381872</v>
      </c>
      <c r="Z513" s="79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x14ac:dyDescent="0.3">
      <c r="A514" s="55">
        <v>2</v>
      </c>
      <c r="B514" s="59" t="s">
        <v>109</v>
      </c>
      <c r="C514" s="59">
        <f t="shared" si="150"/>
        <v>511</v>
      </c>
      <c r="D514" s="59">
        <f t="shared" si="137"/>
        <v>29.998170000000002</v>
      </c>
      <c r="E514" s="59">
        <f t="shared" si="156"/>
        <v>13.41</v>
      </c>
      <c r="F514" s="91">
        <f>($C$4/E514)+F513</f>
        <v>63.912361818917802</v>
      </c>
      <c r="G514" s="59">
        <f t="shared" si="157"/>
        <v>7000</v>
      </c>
      <c r="H514" s="59">
        <v>3</v>
      </c>
      <c r="I514" s="91">
        <f>E514-E513</f>
        <v>0</v>
      </c>
      <c r="J514" s="59">
        <f>(0.5*VEHICLE!$C$71*VEHICLE!$C$28*VEHICLE!$C$27*'Drive Cycle'!E514^2)</f>
        <v>159.97581505520998</v>
      </c>
      <c r="K514" s="59">
        <f>IF(A514=1,VEHICLE!$S$5,IF(A514=2,VEHICLE!$Q$5,IF(A514=3,VEHICLE!$R$5,IF(A514=4,VEHICLE!$P$5,1))))</f>
        <v>278.27536500000002</v>
      </c>
      <c r="L514" s="59">
        <f t="shared" si="147"/>
        <v>0</v>
      </c>
      <c r="M514" s="59">
        <f t="shared" si="145"/>
        <v>0</v>
      </c>
      <c r="N514" s="59">
        <f t="shared" si="138"/>
        <v>0</v>
      </c>
      <c r="O514" s="59">
        <f t="shared" si="139"/>
        <v>0</v>
      </c>
      <c r="P514" s="59">
        <f t="shared" si="140"/>
        <v>438.25118005521</v>
      </c>
      <c r="Q514" s="59">
        <f>IF(H514=1,I514*VEHICLE!$C$69,IF(H514=2,VEHICLE!$C$70*I514,IF(H514=3,VEHICLE!$C$71*I514,0)))</f>
        <v>0</v>
      </c>
      <c r="R514" s="59">
        <f>(J514+K514+O514+Q514)</f>
        <v>438.25118005521</v>
      </c>
      <c r="S514" s="59">
        <f t="shared" si="141"/>
        <v>438.25118005521</v>
      </c>
      <c r="T514" s="59">
        <f>ABS((R514)/((2*PI()*G514)/60))</f>
        <v>0.59785578532836803</v>
      </c>
      <c r="U514" s="59">
        <f t="shared" si="142"/>
        <v>1</v>
      </c>
      <c r="V514" s="59">
        <f>INDEX(BSFC!$D$4:$AD$26,MATCH(U514,BSFC!$B$4:$B$26,0),MATCH(G514,BSFC!$D$2:$AD$2,0))</f>
        <v>920.25590927999997</v>
      </c>
      <c r="W514" s="59">
        <f t="shared" si="146"/>
        <v>0.11202867727631674</v>
      </c>
      <c r="X514" s="59">
        <f t="shared" si="143"/>
        <v>0.11202867727631674</v>
      </c>
      <c r="Y514" s="59">
        <f t="shared" si="144"/>
        <v>0.34616861278381872</v>
      </c>
      <c r="Z514" s="79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x14ac:dyDescent="0.3">
      <c r="A515" s="55">
        <v>2</v>
      </c>
      <c r="B515" s="59" t="s">
        <v>109</v>
      </c>
      <c r="C515" s="59">
        <f t="shared" si="150"/>
        <v>512</v>
      </c>
      <c r="D515" s="59">
        <f t="shared" si="137"/>
        <v>29.998170000000002</v>
      </c>
      <c r="E515" s="59">
        <f t="shared" si="156"/>
        <v>13.41</v>
      </c>
      <c r="F515" s="91">
        <f>($C$4/E515)+F514</f>
        <v>63.986933034428617</v>
      </c>
      <c r="G515" s="59">
        <f t="shared" si="157"/>
        <v>7000</v>
      </c>
      <c r="H515" s="59">
        <v>3</v>
      </c>
      <c r="I515" s="91">
        <f>E515-E514</f>
        <v>0</v>
      </c>
      <c r="J515" s="59">
        <f>(0.5*VEHICLE!$C$71*VEHICLE!$C$28*VEHICLE!$C$27*'Drive Cycle'!E515^2)</f>
        <v>159.97581505520998</v>
      </c>
      <c r="K515" s="59">
        <f>IF(A515=1,VEHICLE!$S$5,IF(A515=2,VEHICLE!$Q$5,IF(A515=3,VEHICLE!$R$5,IF(A515=4,VEHICLE!$P$5,1))))</f>
        <v>278.27536500000002</v>
      </c>
      <c r="L515" s="59">
        <f t="shared" si="147"/>
        <v>0</v>
      </c>
      <c r="M515" s="59">
        <f t="shared" si="145"/>
        <v>0</v>
      </c>
      <c r="N515" s="59">
        <f t="shared" si="138"/>
        <v>0</v>
      </c>
      <c r="O515" s="59">
        <f t="shared" si="139"/>
        <v>0</v>
      </c>
      <c r="P515" s="59">
        <f t="shared" si="140"/>
        <v>438.25118005521</v>
      </c>
      <c r="Q515" s="59">
        <f>IF(H515=1,I515*VEHICLE!$C$69,IF(H515=2,VEHICLE!$C$70*I515,IF(H515=3,VEHICLE!$C$71*I515,0)))</f>
        <v>0</v>
      </c>
      <c r="R515" s="59">
        <f>(J515+K515+O515+Q515)</f>
        <v>438.25118005521</v>
      </c>
      <c r="S515" s="59">
        <f t="shared" si="141"/>
        <v>438.25118005521</v>
      </c>
      <c r="T515" s="59">
        <f>ABS((R515)/((2*PI()*G515)/60))</f>
        <v>0.59785578532836803</v>
      </c>
      <c r="U515" s="59">
        <f t="shared" si="142"/>
        <v>1</v>
      </c>
      <c r="V515" s="59">
        <f>INDEX(BSFC!$D$4:$AD$26,MATCH(U515,BSFC!$B$4:$B$26,0),MATCH(G515,BSFC!$D$2:$AD$2,0))</f>
        <v>920.25590927999997</v>
      </c>
      <c r="W515" s="59">
        <f t="shared" si="146"/>
        <v>0.11202867727631674</v>
      </c>
      <c r="X515" s="59">
        <f t="shared" si="143"/>
        <v>0.11202867727631674</v>
      </c>
      <c r="Y515" s="59">
        <f t="shared" si="144"/>
        <v>0.34616861278381872</v>
      </c>
      <c r="Z515" s="79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x14ac:dyDescent="0.3">
      <c r="A516" s="55">
        <v>2</v>
      </c>
      <c r="B516" s="59" t="s">
        <v>109</v>
      </c>
      <c r="C516" s="59">
        <f t="shared" si="150"/>
        <v>513</v>
      </c>
      <c r="D516" s="59">
        <f t="shared" ref="D516:D579" si="158">E516*2.237</f>
        <v>29.998170000000002</v>
      </c>
      <c r="E516" s="59">
        <f t="shared" si="156"/>
        <v>13.41</v>
      </c>
      <c r="F516" s="91">
        <f>($C$4/E516)+F515</f>
        <v>64.061504249939432</v>
      </c>
      <c r="G516" s="59">
        <f t="shared" si="157"/>
        <v>7000</v>
      </c>
      <c r="H516" s="59">
        <v>3</v>
      </c>
      <c r="I516" s="91">
        <f>E516-E515</f>
        <v>0</v>
      </c>
      <c r="J516" s="59">
        <f>(0.5*VEHICLE!$C$71*VEHICLE!$C$28*VEHICLE!$C$27*'Drive Cycle'!E516^2)</f>
        <v>159.97581505520998</v>
      </c>
      <c r="K516" s="59">
        <f>IF(A516=1,VEHICLE!$S$5,IF(A516=2,VEHICLE!$Q$5,IF(A516=3,VEHICLE!$R$5,IF(A516=4,VEHICLE!$P$5,1))))</f>
        <v>278.27536500000002</v>
      </c>
      <c r="L516" s="59">
        <f t="shared" si="147"/>
        <v>0</v>
      </c>
      <c r="M516" s="59">
        <f t="shared" si="145"/>
        <v>0</v>
      </c>
      <c r="N516" s="59">
        <f t="shared" ref="N516:N579" si="159">DEGREES(ATAN(M516/$C$4))</f>
        <v>0</v>
      </c>
      <c r="O516" s="59">
        <f t="shared" ref="O516:O579" si="160">9.81*SIN(RADIANS(N516))*($C$47)</f>
        <v>0</v>
      </c>
      <c r="P516" s="59">
        <f t="shared" ref="P516:P579" si="161">J516+K516+O516</f>
        <v>438.25118005521</v>
      </c>
      <c r="Q516" s="59">
        <f>IF(H516=1,I516*VEHICLE!$C$69,IF(H516=2,VEHICLE!$C$70*I516,IF(H516=3,VEHICLE!$C$71*I516,0)))</f>
        <v>0</v>
      </c>
      <c r="R516" s="59">
        <f>(J516+K516+O516+Q516)</f>
        <v>438.25118005521</v>
      </c>
      <c r="S516" s="59">
        <f t="shared" ref="S516:S579" si="162">ABS(R516)</f>
        <v>438.25118005521</v>
      </c>
      <c r="T516" s="59">
        <f>ABS((R516)/((2*PI()*G516)/60))</f>
        <v>0.59785578532836803</v>
      </c>
      <c r="U516" s="59">
        <f t="shared" ref="U516:U579" si="163">ROUNDUP(T516,0)</f>
        <v>1</v>
      </c>
      <c r="V516" s="59">
        <f>INDEX(BSFC!$D$4:$AD$26,MATCH(U516,BSFC!$B$4:$B$26,0),MATCH(G516,BSFC!$D$2:$AD$2,0))</f>
        <v>920.25590927999997</v>
      </c>
      <c r="W516" s="59">
        <f t="shared" si="146"/>
        <v>0.11202867727631674</v>
      </c>
      <c r="X516" s="59">
        <f t="shared" ref="X516:X579" si="164">ABS(W516)</f>
        <v>0.11202867727631674</v>
      </c>
      <c r="Y516" s="59">
        <f t="shared" ref="Y516:Y579" si="165">W516*3.09</f>
        <v>0.34616861278381872</v>
      </c>
      <c r="Z516" s="79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x14ac:dyDescent="0.3">
      <c r="A517" s="55">
        <v>2</v>
      </c>
      <c r="B517" s="59" t="s">
        <v>109</v>
      </c>
      <c r="C517" s="59">
        <f t="shared" si="150"/>
        <v>514</v>
      </c>
      <c r="D517" s="59">
        <f t="shared" si="158"/>
        <v>29.998170000000002</v>
      </c>
      <c r="E517" s="59">
        <f t="shared" si="156"/>
        <v>13.41</v>
      </c>
      <c r="F517" s="91">
        <f>($C$4/E517)+F516</f>
        <v>64.136075465450247</v>
      </c>
      <c r="G517" s="59">
        <f t="shared" si="157"/>
        <v>7000</v>
      </c>
      <c r="H517" s="59">
        <v>3</v>
      </c>
      <c r="I517" s="91">
        <f>E517-E516</f>
        <v>0</v>
      </c>
      <c r="J517" s="59">
        <f>(0.5*VEHICLE!$C$71*VEHICLE!$C$28*VEHICLE!$C$27*'Drive Cycle'!E517^2)</f>
        <v>159.97581505520998</v>
      </c>
      <c r="K517" s="59">
        <f>IF(A517=1,VEHICLE!$S$5,IF(A517=2,VEHICLE!$Q$5,IF(A517=3,VEHICLE!$R$5,IF(A517=4,VEHICLE!$P$5,1))))</f>
        <v>278.27536500000002</v>
      </c>
      <c r="L517" s="59">
        <f t="shared" si="147"/>
        <v>0</v>
      </c>
      <c r="M517" s="59">
        <f t="shared" ref="M517:M580" si="166">L517-L516</f>
        <v>0</v>
      </c>
      <c r="N517" s="59">
        <f t="shared" si="159"/>
        <v>0</v>
      </c>
      <c r="O517" s="59">
        <f t="shared" si="160"/>
        <v>0</v>
      </c>
      <c r="P517" s="59">
        <f t="shared" si="161"/>
        <v>438.25118005521</v>
      </c>
      <c r="Q517" s="59">
        <f>IF(H517=1,I517*VEHICLE!$C$69,IF(H517=2,VEHICLE!$C$70*I517,IF(H517=3,VEHICLE!$C$71*I517,0)))</f>
        <v>0</v>
      </c>
      <c r="R517" s="59">
        <f>(J517+K517+O517+Q517)</f>
        <v>438.25118005521</v>
      </c>
      <c r="S517" s="59">
        <f t="shared" si="162"/>
        <v>438.25118005521</v>
      </c>
      <c r="T517" s="59">
        <f>ABS((R517)/((2*PI()*G517)/60))</f>
        <v>0.59785578532836803</v>
      </c>
      <c r="U517" s="59">
        <f t="shared" si="163"/>
        <v>1</v>
      </c>
      <c r="V517" s="59">
        <f>INDEX(BSFC!$D$4:$AD$26,MATCH(U517,BSFC!$B$4:$B$26,0),MATCH(G517,BSFC!$D$2:$AD$2,0))</f>
        <v>920.25590927999997</v>
      </c>
      <c r="W517" s="59">
        <f t="shared" ref="W517:W580" si="167">(R517*V517/3600)/1000</f>
        <v>0.11202867727631674</v>
      </c>
      <c r="X517" s="59">
        <f t="shared" si="164"/>
        <v>0.11202867727631674</v>
      </c>
      <c r="Y517" s="59">
        <f t="shared" si="165"/>
        <v>0.34616861278381872</v>
      </c>
      <c r="Z517" s="79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x14ac:dyDescent="0.3">
      <c r="A518" s="55">
        <v>2</v>
      </c>
      <c r="B518" s="59" t="s">
        <v>109</v>
      </c>
      <c r="C518" s="59">
        <f t="shared" si="150"/>
        <v>515</v>
      </c>
      <c r="D518" s="59">
        <f t="shared" si="158"/>
        <v>29.998170000000002</v>
      </c>
      <c r="E518" s="59">
        <f t="shared" si="156"/>
        <v>13.41</v>
      </c>
      <c r="F518" s="91">
        <f>($C$4/E518)+F517</f>
        <v>64.210646680961062</v>
      </c>
      <c r="G518" s="59">
        <f t="shared" si="157"/>
        <v>7000</v>
      </c>
      <c r="H518" s="59">
        <v>3</v>
      </c>
      <c r="I518" s="91">
        <f>E518-E517</f>
        <v>0</v>
      </c>
      <c r="J518" s="59">
        <f>(0.5*VEHICLE!$C$71*VEHICLE!$C$28*VEHICLE!$C$27*'Drive Cycle'!E518^2)</f>
        <v>159.97581505520998</v>
      </c>
      <c r="K518" s="59">
        <f>IF(A518=1,VEHICLE!$S$5,IF(A518=2,VEHICLE!$Q$5,IF(A518=3,VEHICLE!$R$5,IF(A518=4,VEHICLE!$P$5,1))))</f>
        <v>278.27536500000002</v>
      </c>
      <c r="L518" s="59">
        <f t="shared" si="147"/>
        <v>0</v>
      </c>
      <c r="M518" s="59">
        <f t="shared" si="166"/>
        <v>0</v>
      </c>
      <c r="N518" s="59">
        <f t="shared" si="159"/>
        <v>0</v>
      </c>
      <c r="O518" s="59">
        <f t="shared" si="160"/>
        <v>0</v>
      </c>
      <c r="P518" s="59">
        <f t="shared" si="161"/>
        <v>438.25118005521</v>
      </c>
      <c r="Q518" s="59">
        <f>IF(H518=1,I518*VEHICLE!$C$69,IF(H518=2,VEHICLE!$C$70*I518,IF(H518=3,VEHICLE!$C$71*I518,0)))</f>
        <v>0</v>
      </c>
      <c r="R518" s="59">
        <f>(J518+K518+O518+Q518)</f>
        <v>438.25118005521</v>
      </c>
      <c r="S518" s="59">
        <f t="shared" si="162"/>
        <v>438.25118005521</v>
      </c>
      <c r="T518" s="59">
        <f>ABS((R518)/((2*PI()*G518)/60))</f>
        <v>0.59785578532836803</v>
      </c>
      <c r="U518" s="59">
        <f t="shared" si="163"/>
        <v>1</v>
      </c>
      <c r="V518" s="59">
        <f>INDEX(BSFC!$D$4:$AD$26,MATCH(U518,BSFC!$B$4:$B$26,0),MATCH(G518,BSFC!$D$2:$AD$2,0))</f>
        <v>920.25590927999997</v>
      </c>
      <c r="W518" s="59">
        <f t="shared" si="167"/>
        <v>0.11202867727631674</v>
      </c>
      <c r="X518" s="59">
        <f t="shared" si="164"/>
        <v>0.11202867727631674</v>
      </c>
      <c r="Y518" s="59">
        <f t="shared" si="165"/>
        <v>0.34616861278381872</v>
      </c>
      <c r="Z518" s="79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x14ac:dyDescent="0.3">
      <c r="A519" s="55">
        <v>2</v>
      </c>
      <c r="B519" s="59" t="s">
        <v>109</v>
      </c>
      <c r="C519" s="59">
        <f t="shared" si="150"/>
        <v>516</v>
      </c>
      <c r="D519" s="59">
        <f t="shared" si="158"/>
        <v>29.998170000000002</v>
      </c>
      <c r="E519" s="59">
        <f t="shared" si="156"/>
        <v>13.41</v>
      </c>
      <c r="F519" s="91">
        <f>($C$4/E519)+F518</f>
        <v>64.285217896471877</v>
      </c>
      <c r="G519" s="59">
        <f t="shared" si="157"/>
        <v>7000</v>
      </c>
      <c r="H519" s="59">
        <v>3</v>
      </c>
      <c r="I519" s="91">
        <f>E519-E518</f>
        <v>0</v>
      </c>
      <c r="J519" s="59">
        <f>(0.5*VEHICLE!$C$71*VEHICLE!$C$28*VEHICLE!$C$27*'Drive Cycle'!E519^2)</f>
        <v>159.97581505520998</v>
      </c>
      <c r="K519" s="59">
        <f>IF(A519=1,VEHICLE!$S$5,IF(A519=2,VEHICLE!$Q$5,IF(A519=3,VEHICLE!$R$5,IF(A519=4,VEHICLE!$P$5,1))))</f>
        <v>278.27536500000002</v>
      </c>
      <c r="L519" s="59">
        <f t="shared" si="147"/>
        <v>0</v>
      </c>
      <c r="M519" s="59">
        <f t="shared" si="166"/>
        <v>0</v>
      </c>
      <c r="N519" s="59">
        <f t="shared" si="159"/>
        <v>0</v>
      </c>
      <c r="O519" s="59">
        <f t="shared" si="160"/>
        <v>0</v>
      </c>
      <c r="P519" s="59">
        <f t="shared" si="161"/>
        <v>438.25118005521</v>
      </c>
      <c r="Q519" s="59">
        <f>IF(H519=1,I519*VEHICLE!$C$69,IF(H519=2,VEHICLE!$C$70*I519,IF(H519=3,VEHICLE!$C$71*I519,0)))</f>
        <v>0</v>
      </c>
      <c r="R519" s="59">
        <f>(J519+K519+O519+Q519)</f>
        <v>438.25118005521</v>
      </c>
      <c r="S519" s="59">
        <f t="shared" si="162"/>
        <v>438.25118005521</v>
      </c>
      <c r="T519" s="59">
        <f>ABS((R519)/((2*PI()*G519)/60))</f>
        <v>0.59785578532836803</v>
      </c>
      <c r="U519" s="59">
        <f t="shared" si="163"/>
        <v>1</v>
      </c>
      <c r="V519" s="59">
        <f>INDEX(BSFC!$D$4:$AD$26,MATCH(U519,BSFC!$B$4:$B$26,0),MATCH(G519,BSFC!$D$2:$AD$2,0))</f>
        <v>920.25590927999997</v>
      </c>
      <c r="W519" s="59">
        <f t="shared" si="167"/>
        <v>0.11202867727631674</v>
      </c>
      <c r="X519" s="59">
        <f t="shared" si="164"/>
        <v>0.11202867727631674</v>
      </c>
      <c r="Y519" s="59">
        <f t="shared" si="165"/>
        <v>0.34616861278381872</v>
      </c>
      <c r="Z519" s="79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x14ac:dyDescent="0.3">
      <c r="A520" s="55">
        <v>2</v>
      </c>
      <c r="B520" s="59" t="s">
        <v>109</v>
      </c>
      <c r="C520" s="59">
        <f t="shared" si="150"/>
        <v>517</v>
      </c>
      <c r="D520" s="59">
        <f t="shared" si="158"/>
        <v>29.998170000000002</v>
      </c>
      <c r="E520" s="59">
        <f t="shared" si="156"/>
        <v>13.41</v>
      </c>
      <c r="F520" s="91">
        <f>($C$4/E520)+F519</f>
        <v>64.359789111982693</v>
      </c>
      <c r="G520" s="59">
        <f t="shared" si="157"/>
        <v>7000</v>
      </c>
      <c r="H520" s="59">
        <v>3</v>
      </c>
      <c r="I520" s="91">
        <f>E520-E519</f>
        <v>0</v>
      </c>
      <c r="J520" s="59">
        <f>(0.5*VEHICLE!$C$71*VEHICLE!$C$28*VEHICLE!$C$27*'Drive Cycle'!E520^2)</f>
        <v>159.97581505520998</v>
      </c>
      <c r="K520" s="59">
        <f>IF(A520=1,VEHICLE!$S$5,IF(A520=2,VEHICLE!$Q$5,IF(A520=3,VEHICLE!$R$5,IF(A520=4,VEHICLE!$P$5,1))))</f>
        <v>278.27536500000002</v>
      </c>
      <c r="L520" s="59">
        <f t="shared" si="147"/>
        <v>0</v>
      </c>
      <c r="M520" s="59">
        <f t="shared" si="166"/>
        <v>0</v>
      </c>
      <c r="N520" s="59">
        <f t="shared" si="159"/>
        <v>0</v>
      </c>
      <c r="O520" s="59">
        <f t="shared" si="160"/>
        <v>0</v>
      </c>
      <c r="P520" s="59">
        <f t="shared" si="161"/>
        <v>438.25118005521</v>
      </c>
      <c r="Q520" s="59">
        <f>IF(H520=1,I520*VEHICLE!$C$69,IF(H520=2,VEHICLE!$C$70*I520,IF(H520=3,VEHICLE!$C$71*I520,0)))</f>
        <v>0</v>
      </c>
      <c r="R520" s="59">
        <f>(J520+K520+O520+Q520)</f>
        <v>438.25118005521</v>
      </c>
      <c r="S520" s="59">
        <f t="shared" si="162"/>
        <v>438.25118005521</v>
      </c>
      <c r="T520" s="59">
        <f>ABS((R520)/((2*PI()*G520)/60))</f>
        <v>0.59785578532836803</v>
      </c>
      <c r="U520" s="59">
        <f t="shared" si="163"/>
        <v>1</v>
      </c>
      <c r="V520" s="59">
        <f>INDEX(BSFC!$D$4:$AD$26,MATCH(U520,BSFC!$B$4:$B$26,0),MATCH(G520,BSFC!$D$2:$AD$2,0))</f>
        <v>920.25590927999997</v>
      </c>
      <c r="W520" s="59">
        <f t="shared" si="167"/>
        <v>0.11202867727631674</v>
      </c>
      <c r="X520" s="59">
        <f t="shared" si="164"/>
        <v>0.11202867727631674</v>
      </c>
      <c r="Y520" s="59">
        <f t="shared" si="165"/>
        <v>0.34616861278381872</v>
      </c>
      <c r="Z520" s="79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x14ac:dyDescent="0.3">
      <c r="A521" s="55">
        <v>2</v>
      </c>
      <c r="B521" s="59" t="s">
        <v>109</v>
      </c>
      <c r="C521" s="59">
        <f t="shared" si="150"/>
        <v>518</v>
      </c>
      <c r="D521" s="59">
        <f t="shared" si="158"/>
        <v>29.998170000000002</v>
      </c>
      <c r="E521" s="59">
        <f t="shared" si="156"/>
        <v>13.41</v>
      </c>
      <c r="F521" s="91">
        <f>($C$4/E521)+F520</f>
        <v>64.434360327493508</v>
      </c>
      <c r="G521" s="59">
        <f t="shared" si="157"/>
        <v>7000</v>
      </c>
      <c r="H521" s="59">
        <v>3</v>
      </c>
      <c r="I521" s="91">
        <f>E521-E520</f>
        <v>0</v>
      </c>
      <c r="J521" s="59">
        <f>(0.5*VEHICLE!$C$71*VEHICLE!$C$28*VEHICLE!$C$27*'Drive Cycle'!E521^2)</f>
        <v>159.97581505520998</v>
      </c>
      <c r="K521" s="59">
        <f>IF(A521=1,VEHICLE!$S$5,IF(A521=2,VEHICLE!$Q$5,IF(A521=3,VEHICLE!$R$5,IF(A521=4,VEHICLE!$P$5,1))))</f>
        <v>278.27536500000002</v>
      </c>
      <c r="L521" s="59">
        <f t="shared" si="147"/>
        <v>0</v>
      </c>
      <c r="M521" s="59">
        <f t="shared" si="166"/>
        <v>0</v>
      </c>
      <c r="N521" s="59">
        <f t="shared" si="159"/>
        <v>0</v>
      </c>
      <c r="O521" s="59">
        <f t="shared" si="160"/>
        <v>0</v>
      </c>
      <c r="P521" s="59">
        <f t="shared" si="161"/>
        <v>438.25118005521</v>
      </c>
      <c r="Q521" s="59">
        <f>IF(H521=1,I521*VEHICLE!$C$69,IF(H521=2,VEHICLE!$C$70*I521,IF(H521=3,VEHICLE!$C$71*I521,0)))</f>
        <v>0</v>
      </c>
      <c r="R521" s="59">
        <f>(J521+K521+O521+Q521)</f>
        <v>438.25118005521</v>
      </c>
      <c r="S521" s="59">
        <f t="shared" si="162"/>
        <v>438.25118005521</v>
      </c>
      <c r="T521" s="59">
        <f>ABS((R521)/((2*PI()*G521)/60))</f>
        <v>0.59785578532836803</v>
      </c>
      <c r="U521" s="59">
        <f t="shared" si="163"/>
        <v>1</v>
      </c>
      <c r="V521" s="59">
        <f>INDEX(BSFC!$D$4:$AD$26,MATCH(U521,BSFC!$B$4:$B$26,0),MATCH(G521,BSFC!$D$2:$AD$2,0))</f>
        <v>920.25590927999997</v>
      </c>
      <c r="W521" s="59">
        <f t="shared" si="167"/>
        <v>0.11202867727631674</v>
      </c>
      <c r="X521" s="59">
        <f t="shared" si="164"/>
        <v>0.11202867727631674</v>
      </c>
      <c r="Y521" s="59">
        <f t="shared" si="165"/>
        <v>0.34616861278381872</v>
      </c>
      <c r="Z521" s="79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x14ac:dyDescent="0.3">
      <c r="A522" s="55">
        <v>2</v>
      </c>
      <c r="B522" s="59" t="s">
        <v>109</v>
      </c>
      <c r="C522" s="59">
        <f t="shared" si="150"/>
        <v>519</v>
      </c>
      <c r="D522" s="59">
        <f t="shared" si="158"/>
        <v>29.998170000000002</v>
      </c>
      <c r="E522" s="59">
        <f t="shared" si="156"/>
        <v>13.41</v>
      </c>
      <c r="F522" s="91">
        <f>($C$4/E522)+F521</f>
        <v>64.508931543004323</v>
      </c>
      <c r="G522" s="59">
        <f t="shared" si="157"/>
        <v>7000</v>
      </c>
      <c r="H522" s="59">
        <v>3</v>
      </c>
      <c r="I522" s="91">
        <f>E522-E521</f>
        <v>0</v>
      </c>
      <c r="J522" s="59">
        <f>(0.5*VEHICLE!$C$71*VEHICLE!$C$28*VEHICLE!$C$27*'Drive Cycle'!E522^2)</f>
        <v>159.97581505520998</v>
      </c>
      <c r="K522" s="59">
        <f>IF(A522=1,VEHICLE!$S$5,IF(A522=2,VEHICLE!$Q$5,IF(A522=3,VEHICLE!$R$5,IF(A522=4,VEHICLE!$P$5,1))))</f>
        <v>278.27536500000002</v>
      </c>
      <c r="L522" s="59">
        <f t="shared" si="147"/>
        <v>0</v>
      </c>
      <c r="M522" s="59">
        <f t="shared" si="166"/>
        <v>0</v>
      </c>
      <c r="N522" s="59">
        <f t="shared" si="159"/>
        <v>0</v>
      </c>
      <c r="O522" s="59">
        <f t="shared" si="160"/>
        <v>0</v>
      </c>
      <c r="P522" s="59">
        <f t="shared" si="161"/>
        <v>438.25118005521</v>
      </c>
      <c r="Q522" s="59">
        <f>IF(H522=1,I522*VEHICLE!$C$69,IF(H522=2,VEHICLE!$C$70*I522,IF(H522=3,VEHICLE!$C$71*I522,0)))</f>
        <v>0</v>
      </c>
      <c r="R522" s="59">
        <f>(J522+K522+O522+Q522)</f>
        <v>438.25118005521</v>
      </c>
      <c r="S522" s="59">
        <f t="shared" si="162"/>
        <v>438.25118005521</v>
      </c>
      <c r="T522" s="59">
        <f>ABS((R522)/((2*PI()*G522)/60))</f>
        <v>0.59785578532836803</v>
      </c>
      <c r="U522" s="59">
        <f t="shared" si="163"/>
        <v>1</v>
      </c>
      <c r="V522" s="59">
        <f>INDEX(BSFC!$D$4:$AD$26,MATCH(U522,BSFC!$B$4:$B$26,0),MATCH(G522,BSFC!$D$2:$AD$2,0))</f>
        <v>920.25590927999997</v>
      </c>
      <c r="W522" s="59">
        <f t="shared" si="167"/>
        <v>0.11202867727631674</v>
      </c>
      <c r="X522" s="59">
        <f t="shared" si="164"/>
        <v>0.11202867727631674</v>
      </c>
      <c r="Y522" s="59">
        <f t="shared" si="165"/>
        <v>0.34616861278381872</v>
      </c>
      <c r="Z522" s="79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x14ac:dyDescent="0.3">
      <c r="A523" s="55">
        <v>2</v>
      </c>
      <c r="B523" s="59" t="s">
        <v>109</v>
      </c>
      <c r="C523" s="59">
        <f t="shared" si="150"/>
        <v>520</v>
      </c>
      <c r="D523" s="59">
        <f t="shared" si="158"/>
        <v>29.998170000000002</v>
      </c>
      <c r="E523" s="59">
        <f t="shared" si="156"/>
        <v>13.41</v>
      </c>
      <c r="F523" s="91">
        <f>($C$4/E523)+F522</f>
        <v>64.583502758515138</v>
      </c>
      <c r="G523" s="59">
        <f t="shared" si="157"/>
        <v>7000</v>
      </c>
      <c r="H523" s="59">
        <v>3</v>
      </c>
      <c r="I523" s="91">
        <f>E523-E522</f>
        <v>0</v>
      </c>
      <c r="J523" s="59">
        <f>(0.5*VEHICLE!$C$71*VEHICLE!$C$28*VEHICLE!$C$27*'Drive Cycle'!E523^2)</f>
        <v>159.97581505520998</v>
      </c>
      <c r="K523" s="59">
        <f>IF(A523=1,VEHICLE!$S$5,IF(A523=2,VEHICLE!$Q$5,IF(A523=3,VEHICLE!$R$5,IF(A523=4,VEHICLE!$P$5,1))))</f>
        <v>278.27536500000002</v>
      </c>
      <c r="L523" s="59">
        <f t="shared" si="147"/>
        <v>0</v>
      </c>
      <c r="M523" s="59">
        <f t="shared" si="166"/>
        <v>0</v>
      </c>
      <c r="N523" s="59">
        <f t="shared" si="159"/>
        <v>0</v>
      </c>
      <c r="O523" s="59">
        <f t="shared" si="160"/>
        <v>0</v>
      </c>
      <c r="P523" s="59">
        <f t="shared" si="161"/>
        <v>438.25118005521</v>
      </c>
      <c r="Q523" s="59">
        <f>IF(H523=1,I523*VEHICLE!$C$69,IF(H523=2,VEHICLE!$C$70*I523,IF(H523=3,VEHICLE!$C$71*I523,0)))</f>
        <v>0</v>
      </c>
      <c r="R523" s="59">
        <f>(J523+K523+O523+Q523)</f>
        <v>438.25118005521</v>
      </c>
      <c r="S523" s="59">
        <f t="shared" si="162"/>
        <v>438.25118005521</v>
      </c>
      <c r="T523" s="59">
        <f>ABS((R523)/((2*PI()*G523)/60))</f>
        <v>0.59785578532836803</v>
      </c>
      <c r="U523" s="59">
        <f t="shared" si="163"/>
        <v>1</v>
      </c>
      <c r="V523" s="59">
        <f>INDEX(BSFC!$D$4:$AD$26,MATCH(U523,BSFC!$B$4:$B$26,0),MATCH(G523,BSFC!$D$2:$AD$2,0))</f>
        <v>920.25590927999997</v>
      </c>
      <c r="W523" s="59">
        <f t="shared" si="167"/>
        <v>0.11202867727631674</v>
      </c>
      <c r="X523" s="59">
        <f t="shared" si="164"/>
        <v>0.11202867727631674</v>
      </c>
      <c r="Y523" s="59">
        <f t="shared" si="165"/>
        <v>0.34616861278381872</v>
      </c>
      <c r="Z523" s="79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x14ac:dyDescent="0.3">
      <c r="A524" s="55">
        <v>2</v>
      </c>
      <c r="B524" s="59" t="s">
        <v>109</v>
      </c>
      <c r="C524" s="59">
        <f t="shared" si="150"/>
        <v>521</v>
      </c>
      <c r="D524" s="59">
        <f t="shared" si="158"/>
        <v>29.998170000000002</v>
      </c>
      <c r="E524" s="59">
        <f t="shared" si="156"/>
        <v>13.41</v>
      </c>
      <c r="F524" s="91">
        <f>($C$4/E524)+F523</f>
        <v>64.658073974025953</v>
      </c>
      <c r="G524" s="59">
        <f t="shared" si="157"/>
        <v>7000</v>
      </c>
      <c r="H524" s="59">
        <v>3</v>
      </c>
      <c r="I524" s="91">
        <f>E524-E523</f>
        <v>0</v>
      </c>
      <c r="J524" s="59">
        <f>(0.5*VEHICLE!$C$71*VEHICLE!$C$28*VEHICLE!$C$27*'Drive Cycle'!E524^2)</f>
        <v>159.97581505520998</v>
      </c>
      <c r="K524" s="59">
        <f>IF(A524=1,VEHICLE!$S$5,IF(A524=2,VEHICLE!$Q$5,IF(A524=3,VEHICLE!$R$5,IF(A524=4,VEHICLE!$P$5,1))))</f>
        <v>278.27536500000002</v>
      </c>
      <c r="L524" s="59">
        <f t="shared" si="147"/>
        <v>0</v>
      </c>
      <c r="M524" s="59">
        <f t="shared" si="166"/>
        <v>0</v>
      </c>
      <c r="N524" s="59">
        <f t="shared" si="159"/>
        <v>0</v>
      </c>
      <c r="O524" s="59">
        <f t="shared" si="160"/>
        <v>0</v>
      </c>
      <c r="P524" s="59">
        <f t="shared" si="161"/>
        <v>438.25118005521</v>
      </c>
      <c r="Q524" s="59">
        <f>IF(H524=1,I524*VEHICLE!$C$69,IF(H524=2,VEHICLE!$C$70*I524,IF(H524=3,VEHICLE!$C$71*I524,0)))</f>
        <v>0</v>
      </c>
      <c r="R524" s="59">
        <f>(J524+K524+O524+Q524)</f>
        <v>438.25118005521</v>
      </c>
      <c r="S524" s="59">
        <f t="shared" si="162"/>
        <v>438.25118005521</v>
      </c>
      <c r="T524" s="59">
        <f>ABS((R524)/((2*PI()*G524)/60))</f>
        <v>0.59785578532836803</v>
      </c>
      <c r="U524" s="59">
        <f t="shared" si="163"/>
        <v>1</v>
      </c>
      <c r="V524" s="59">
        <f>INDEX(BSFC!$D$4:$AD$26,MATCH(U524,BSFC!$B$4:$B$26,0),MATCH(G524,BSFC!$D$2:$AD$2,0))</f>
        <v>920.25590927999997</v>
      </c>
      <c r="W524" s="59">
        <f t="shared" si="167"/>
        <v>0.11202867727631674</v>
      </c>
      <c r="X524" s="59">
        <f t="shared" si="164"/>
        <v>0.11202867727631674</v>
      </c>
      <c r="Y524" s="59">
        <f t="shared" si="165"/>
        <v>0.34616861278381872</v>
      </c>
      <c r="Z524" s="79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x14ac:dyDescent="0.3">
      <c r="A525" s="55">
        <v>2</v>
      </c>
      <c r="B525" s="59" t="s">
        <v>109</v>
      </c>
      <c r="C525" s="59">
        <f t="shared" si="150"/>
        <v>522</v>
      </c>
      <c r="D525" s="59">
        <f t="shared" si="158"/>
        <v>29.998170000000002</v>
      </c>
      <c r="E525" s="59">
        <f t="shared" si="156"/>
        <v>13.41</v>
      </c>
      <c r="F525" s="91">
        <f>($C$4/E525)+F524</f>
        <v>64.732645189536768</v>
      </c>
      <c r="G525" s="59">
        <f t="shared" si="157"/>
        <v>7000</v>
      </c>
      <c r="H525" s="59">
        <v>3</v>
      </c>
      <c r="I525" s="91">
        <f>E525-E524</f>
        <v>0</v>
      </c>
      <c r="J525" s="59">
        <f>(0.5*VEHICLE!$C$71*VEHICLE!$C$28*VEHICLE!$C$27*'Drive Cycle'!E525^2)</f>
        <v>159.97581505520998</v>
      </c>
      <c r="K525" s="59">
        <f>IF(A525=1,VEHICLE!$S$5,IF(A525=2,VEHICLE!$Q$5,IF(A525=3,VEHICLE!$R$5,IF(A525=4,VEHICLE!$P$5,1))))</f>
        <v>278.27536500000002</v>
      </c>
      <c r="L525" s="59">
        <f t="shared" si="147"/>
        <v>0</v>
      </c>
      <c r="M525" s="59">
        <f t="shared" si="166"/>
        <v>0</v>
      </c>
      <c r="N525" s="59">
        <f t="shared" si="159"/>
        <v>0</v>
      </c>
      <c r="O525" s="59">
        <f t="shared" si="160"/>
        <v>0</v>
      </c>
      <c r="P525" s="59">
        <f t="shared" si="161"/>
        <v>438.25118005521</v>
      </c>
      <c r="Q525" s="59">
        <f>IF(H525=1,I525*VEHICLE!$C$69,IF(H525=2,VEHICLE!$C$70*I525,IF(H525=3,VEHICLE!$C$71*I525,0)))</f>
        <v>0</v>
      </c>
      <c r="R525" s="59">
        <f>(J525+K525+O525+Q525)</f>
        <v>438.25118005521</v>
      </c>
      <c r="S525" s="59">
        <f t="shared" si="162"/>
        <v>438.25118005521</v>
      </c>
      <c r="T525" s="59">
        <f>ABS((R525)/((2*PI()*G525)/60))</f>
        <v>0.59785578532836803</v>
      </c>
      <c r="U525" s="59">
        <f t="shared" si="163"/>
        <v>1</v>
      </c>
      <c r="V525" s="59">
        <f>INDEX(BSFC!$D$4:$AD$26,MATCH(U525,BSFC!$B$4:$B$26,0),MATCH(G525,BSFC!$D$2:$AD$2,0))</f>
        <v>920.25590927999997</v>
      </c>
      <c r="W525" s="59">
        <f t="shared" si="167"/>
        <v>0.11202867727631674</v>
      </c>
      <c r="X525" s="59">
        <f t="shared" si="164"/>
        <v>0.11202867727631674</v>
      </c>
      <c r="Y525" s="59">
        <f t="shared" si="165"/>
        <v>0.34616861278381872</v>
      </c>
      <c r="Z525" s="79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x14ac:dyDescent="0.3">
      <c r="A526" s="55">
        <v>2</v>
      </c>
      <c r="B526" s="59" t="s">
        <v>109</v>
      </c>
      <c r="C526" s="59">
        <f t="shared" si="150"/>
        <v>523</v>
      </c>
      <c r="D526" s="59">
        <f t="shared" si="158"/>
        <v>29.998170000000002</v>
      </c>
      <c r="E526" s="59">
        <f t="shared" si="156"/>
        <v>13.41</v>
      </c>
      <c r="F526" s="91">
        <f>($C$4/E526)+F525</f>
        <v>64.807216405047583</v>
      </c>
      <c r="G526" s="59">
        <f t="shared" si="157"/>
        <v>7000</v>
      </c>
      <c r="H526" s="59">
        <v>3</v>
      </c>
      <c r="I526" s="91">
        <f>E526-E525</f>
        <v>0</v>
      </c>
      <c r="J526" s="59">
        <f>(0.5*VEHICLE!$C$71*VEHICLE!$C$28*VEHICLE!$C$27*'Drive Cycle'!E526^2)</f>
        <v>159.97581505520998</v>
      </c>
      <c r="K526" s="59">
        <f>IF(A526=1,VEHICLE!$S$5,IF(A526=2,VEHICLE!$Q$5,IF(A526=3,VEHICLE!$R$5,IF(A526=4,VEHICLE!$P$5,1))))</f>
        <v>278.27536500000002</v>
      </c>
      <c r="L526" s="59">
        <f t="shared" si="147"/>
        <v>0</v>
      </c>
      <c r="M526" s="59">
        <f t="shared" si="166"/>
        <v>0</v>
      </c>
      <c r="N526" s="59">
        <f t="shared" si="159"/>
        <v>0</v>
      </c>
      <c r="O526" s="59">
        <f t="shared" si="160"/>
        <v>0</v>
      </c>
      <c r="P526" s="59">
        <f t="shared" si="161"/>
        <v>438.25118005521</v>
      </c>
      <c r="Q526" s="59">
        <f>IF(H526=1,I526*VEHICLE!$C$69,IF(H526=2,VEHICLE!$C$70*I526,IF(H526=3,VEHICLE!$C$71*I526,0)))</f>
        <v>0</v>
      </c>
      <c r="R526" s="59">
        <f>(J526+K526+O526+Q526)</f>
        <v>438.25118005521</v>
      </c>
      <c r="S526" s="59">
        <f t="shared" si="162"/>
        <v>438.25118005521</v>
      </c>
      <c r="T526" s="59">
        <f>ABS((R526)/((2*PI()*G526)/60))</f>
        <v>0.59785578532836803</v>
      </c>
      <c r="U526" s="59">
        <f t="shared" si="163"/>
        <v>1</v>
      </c>
      <c r="V526" s="59">
        <f>INDEX(BSFC!$D$4:$AD$26,MATCH(U526,BSFC!$B$4:$B$26,0),MATCH(G526,BSFC!$D$2:$AD$2,0))</f>
        <v>920.25590927999997</v>
      </c>
      <c r="W526" s="59">
        <f t="shared" si="167"/>
        <v>0.11202867727631674</v>
      </c>
      <c r="X526" s="59">
        <f t="shared" si="164"/>
        <v>0.11202867727631674</v>
      </c>
      <c r="Y526" s="59">
        <f t="shared" si="165"/>
        <v>0.34616861278381872</v>
      </c>
      <c r="Z526" s="79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x14ac:dyDescent="0.3">
      <c r="A527" s="55">
        <v>2</v>
      </c>
      <c r="B527" s="59" t="s">
        <v>109</v>
      </c>
      <c r="C527" s="59">
        <f t="shared" si="150"/>
        <v>524</v>
      </c>
      <c r="D527" s="59">
        <f t="shared" si="158"/>
        <v>29.998170000000002</v>
      </c>
      <c r="E527" s="59">
        <f t="shared" si="156"/>
        <v>13.41</v>
      </c>
      <c r="F527" s="91">
        <f>($C$4/E527)+F526</f>
        <v>64.881787620558399</v>
      </c>
      <c r="G527" s="59">
        <f t="shared" si="157"/>
        <v>7000</v>
      </c>
      <c r="H527" s="59">
        <v>3</v>
      </c>
      <c r="I527" s="91">
        <f>E527-E526</f>
        <v>0</v>
      </c>
      <c r="J527" s="59">
        <f>(0.5*VEHICLE!$C$71*VEHICLE!$C$28*VEHICLE!$C$27*'Drive Cycle'!E527^2)</f>
        <v>159.97581505520998</v>
      </c>
      <c r="K527" s="59">
        <f>IF(A527=1,VEHICLE!$S$5,IF(A527=2,VEHICLE!$Q$5,IF(A527=3,VEHICLE!$R$5,IF(A527=4,VEHICLE!$P$5,1))))</f>
        <v>278.27536500000002</v>
      </c>
      <c r="L527" s="59">
        <f t="shared" si="147"/>
        <v>0</v>
      </c>
      <c r="M527" s="59">
        <f t="shared" si="166"/>
        <v>0</v>
      </c>
      <c r="N527" s="59">
        <f t="shared" si="159"/>
        <v>0</v>
      </c>
      <c r="O527" s="59">
        <f t="shared" si="160"/>
        <v>0</v>
      </c>
      <c r="P527" s="59">
        <f t="shared" si="161"/>
        <v>438.25118005521</v>
      </c>
      <c r="Q527" s="59">
        <f>IF(H527=1,I527*VEHICLE!$C$69,IF(H527=2,VEHICLE!$C$70*I527,IF(H527=3,VEHICLE!$C$71*I527,0)))</f>
        <v>0</v>
      </c>
      <c r="R527" s="59">
        <f>(J527+K527+O527+Q527)</f>
        <v>438.25118005521</v>
      </c>
      <c r="S527" s="59">
        <f t="shared" si="162"/>
        <v>438.25118005521</v>
      </c>
      <c r="T527" s="59">
        <f>ABS((R527)/((2*PI()*G527)/60))</f>
        <v>0.59785578532836803</v>
      </c>
      <c r="U527" s="59">
        <f t="shared" si="163"/>
        <v>1</v>
      </c>
      <c r="V527" s="59">
        <f>INDEX(BSFC!$D$4:$AD$26,MATCH(U527,BSFC!$B$4:$B$26,0),MATCH(G527,BSFC!$D$2:$AD$2,0))</f>
        <v>920.25590927999997</v>
      </c>
      <c r="W527" s="59">
        <f t="shared" si="167"/>
        <v>0.11202867727631674</v>
      </c>
      <c r="X527" s="59">
        <f t="shared" si="164"/>
        <v>0.11202867727631674</v>
      </c>
      <c r="Y527" s="59">
        <f t="shared" si="165"/>
        <v>0.34616861278381872</v>
      </c>
      <c r="Z527" s="79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x14ac:dyDescent="0.3">
      <c r="A528" s="55">
        <v>2</v>
      </c>
      <c r="B528" s="59" t="s">
        <v>109</v>
      </c>
      <c r="C528" s="59">
        <f t="shared" si="150"/>
        <v>525</v>
      </c>
      <c r="D528" s="59">
        <f t="shared" si="158"/>
        <v>29.998170000000002</v>
      </c>
      <c r="E528" s="59">
        <f t="shared" si="156"/>
        <v>13.41</v>
      </c>
      <c r="F528" s="91">
        <f>($C$4/E528)+F527</f>
        <v>64.956358836069214</v>
      </c>
      <c r="G528" s="59">
        <f t="shared" si="157"/>
        <v>7000</v>
      </c>
      <c r="H528" s="59">
        <v>3</v>
      </c>
      <c r="I528" s="91">
        <f>E528-E527</f>
        <v>0</v>
      </c>
      <c r="J528" s="59">
        <f>(0.5*VEHICLE!$C$71*VEHICLE!$C$28*VEHICLE!$C$27*'Drive Cycle'!E528^2)</f>
        <v>159.97581505520998</v>
      </c>
      <c r="K528" s="59">
        <f>IF(A528=1,VEHICLE!$S$5,IF(A528=2,VEHICLE!$Q$5,IF(A528=3,VEHICLE!$R$5,IF(A528=4,VEHICLE!$P$5,1))))</f>
        <v>278.27536500000002</v>
      </c>
      <c r="L528" s="59">
        <f t="shared" si="147"/>
        <v>0</v>
      </c>
      <c r="M528" s="59">
        <f t="shared" si="166"/>
        <v>0</v>
      </c>
      <c r="N528" s="59">
        <f t="shared" si="159"/>
        <v>0</v>
      </c>
      <c r="O528" s="59">
        <f t="shared" si="160"/>
        <v>0</v>
      </c>
      <c r="P528" s="59">
        <f t="shared" si="161"/>
        <v>438.25118005521</v>
      </c>
      <c r="Q528" s="59">
        <f>IF(H528=1,I528*VEHICLE!$C$69,IF(H528=2,VEHICLE!$C$70*I528,IF(H528=3,VEHICLE!$C$71*I528,0)))</f>
        <v>0</v>
      </c>
      <c r="R528" s="59">
        <f>(J528+K528+O528+Q528)</f>
        <v>438.25118005521</v>
      </c>
      <c r="S528" s="59">
        <f t="shared" si="162"/>
        <v>438.25118005521</v>
      </c>
      <c r="T528" s="59">
        <f>ABS((R528)/((2*PI()*G528)/60))</f>
        <v>0.59785578532836803</v>
      </c>
      <c r="U528" s="59">
        <f t="shared" si="163"/>
        <v>1</v>
      </c>
      <c r="V528" s="59">
        <f>INDEX(BSFC!$D$4:$AD$26,MATCH(U528,BSFC!$B$4:$B$26,0),MATCH(G528,BSFC!$D$2:$AD$2,0))</f>
        <v>920.25590927999997</v>
      </c>
      <c r="W528" s="59">
        <f t="shared" si="167"/>
        <v>0.11202867727631674</v>
      </c>
      <c r="X528" s="59">
        <f t="shared" si="164"/>
        <v>0.11202867727631674</v>
      </c>
      <c r="Y528" s="59">
        <f t="shared" si="165"/>
        <v>0.34616861278381872</v>
      </c>
      <c r="Z528" s="79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x14ac:dyDescent="0.3">
      <c r="A529" s="55">
        <v>2</v>
      </c>
      <c r="B529" s="59" t="s">
        <v>109</v>
      </c>
      <c r="C529" s="59">
        <f t="shared" si="150"/>
        <v>526</v>
      </c>
      <c r="D529" s="59">
        <f t="shared" si="158"/>
        <v>29.998170000000002</v>
      </c>
      <c r="E529" s="59">
        <f t="shared" si="156"/>
        <v>13.41</v>
      </c>
      <c r="F529" s="91">
        <f>($C$4/E529)+F528</f>
        <v>65.030930051580029</v>
      </c>
      <c r="G529" s="59">
        <f t="shared" si="157"/>
        <v>7000</v>
      </c>
      <c r="H529" s="59">
        <v>3</v>
      </c>
      <c r="I529" s="91">
        <f>E529-E528</f>
        <v>0</v>
      </c>
      <c r="J529" s="59">
        <f>(0.5*VEHICLE!$C$71*VEHICLE!$C$28*VEHICLE!$C$27*'Drive Cycle'!E529^2)</f>
        <v>159.97581505520998</v>
      </c>
      <c r="K529" s="59">
        <f>IF(A529=1,VEHICLE!$S$5,IF(A529=2,VEHICLE!$Q$5,IF(A529=3,VEHICLE!$R$5,IF(A529=4,VEHICLE!$P$5,1))))</f>
        <v>278.27536500000002</v>
      </c>
      <c r="L529" s="59">
        <f t="shared" si="147"/>
        <v>0</v>
      </c>
      <c r="M529" s="59">
        <f t="shared" si="166"/>
        <v>0</v>
      </c>
      <c r="N529" s="59">
        <f t="shared" si="159"/>
        <v>0</v>
      </c>
      <c r="O529" s="59">
        <f t="shared" si="160"/>
        <v>0</v>
      </c>
      <c r="P529" s="59">
        <f t="shared" si="161"/>
        <v>438.25118005521</v>
      </c>
      <c r="Q529" s="59">
        <f>IF(H529=1,I529*VEHICLE!$C$69,IF(H529=2,VEHICLE!$C$70*I529,IF(H529=3,VEHICLE!$C$71*I529,0)))</f>
        <v>0</v>
      </c>
      <c r="R529" s="59">
        <f>(J529+K529+O529+Q529)</f>
        <v>438.25118005521</v>
      </c>
      <c r="S529" s="59">
        <f t="shared" si="162"/>
        <v>438.25118005521</v>
      </c>
      <c r="T529" s="59">
        <f>ABS((R529)/((2*PI()*G529)/60))</f>
        <v>0.59785578532836803</v>
      </c>
      <c r="U529" s="59">
        <f t="shared" si="163"/>
        <v>1</v>
      </c>
      <c r="V529" s="59">
        <f>INDEX(BSFC!$D$4:$AD$26,MATCH(U529,BSFC!$B$4:$B$26,0),MATCH(G529,BSFC!$D$2:$AD$2,0))</f>
        <v>920.25590927999997</v>
      </c>
      <c r="W529" s="59">
        <f t="shared" si="167"/>
        <v>0.11202867727631674</v>
      </c>
      <c r="X529" s="59">
        <f t="shared" si="164"/>
        <v>0.11202867727631674</v>
      </c>
      <c r="Y529" s="59">
        <f t="shared" si="165"/>
        <v>0.34616861278381872</v>
      </c>
      <c r="Z529" s="79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x14ac:dyDescent="0.3">
      <c r="A530" s="55">
        <v>2</v>
      </c>
      <c r="B530" s="59" t="s">
        <v>109</v>
      </c>
      <c r="C530" s="59">
        <f t="shared" si="150"/>
        <v>527</v>
      </c>
      <c r="D530" s="59">
        <f t="shared" si="158"/>
        <v>28.320420000000002</v>
      </c>
      <c r="E530" s="59">
        <f>E529-0.75</f>
        <v>12.66</v>
      </c>
      <c r="F530" s="91">
        <f>($C$4/E530)+F529</f>
        <v>65.109918993128218</v>
      </c>
      <c r="G530" s="59">
        <f>G529-500</f>
        <v>6500</v>
      </c>
      <c r="H530" s="59">
        <v>3</v>
      </c>
      <c r="I530" s="91">
        <f>E530-E529</f>
        <v>-0.75</v>
      </c>
      <c r="J530" s="59">
        <f>(0.5*VEHICLE!$C$71*VEHICLE!$C$28*VEHICLE!$C$27*'Drive Cycle'!E530^2)</f>
        <v>142.58183088995997</v>
      </c>
      <c r="K530" s="59">
        <f>IF(A530=1,VEHICLE!$S$5,IF(A530=2,VEHICLE!$Q$5,IF(A530=3,VEHICLE!$R$5,IF(A530=4,VEHICLE!$P$5,1))))</f>
        <v>278.27536500000002</v>
      </c>
      <c r="L530" s="59">
        <f t="shared" si="147"/>
        <v>0</v>
      </c>
      <c r="M530" s="59">
        <f t="shared" si="166"/>
        <v>0</v>
      </c>
      <c r="N530" s="59">
        <f t="shared" si="159"/>
        <v>0</v>
      </c>
      <c r="O530" s="59">
        <f t="shared" si="160"/>
        <v>0</v>
      </c>
      <c r="P530" s="59">
        <f t="shared" si="161"/>
        <v>420.85719588996</v>
      </c>
      <c r="Q530" s="59">
        <f>IF(H530=1,I530*VEHICLE!$C$69,IF(H530=2,VEHICLE!$C$70*I530,IF(H530=3,VEHICLE!$C$71*I530,0)))</f>
        <v>-0.87525000000000008</v>
      </c>
      <c r="R530" s="59">
        <f>(J530+K530+O530+Q530)</f>
        <v>419.98194588996</v>
      </c>
      <c r="S530" s="59">
        <f t="shared" si="162"/>
        <v>419.98194588996</v>
      </c>
      <c r="T530" s="59">
        <f>ABS((R530)/((2*PI()*G530)/60))</f>
        <v>0.61700494797913896</v>
      </c>
      <c r="U530" s="59">
        <f t="shared" si="163"/>
        <v>1</v>
      </c>
      <c r="V530" s="59">
        <f>INDEX(BSFC!$D$4:$AD$26,MATCH(U530,BSFC!$B$4:$B$26,0),MATCH(G530,BSFC!$D$2:$AD$2,0))</f>
        <v>925.65735288000019</v>
      </c>
      <c r="W530" s="59">
        <f t="shared" si="167"/>
        <v>0.10798871563608106</v>
      </c>
      <c r="X530" s="59">
        <f t="shared" si="164"/>
        <v>0.10798871563608106</v>
      </c>
      <c r="Y530" s="59">
        <f t="shared" si="165"/>
        <v>0.33368513131549049</v>
      </c>
      <c r="Z530" s="79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x14ac:dyDescent="0.3">
      <c r="A531" s="55">
        <v>2</v>
      </c>
      <c r="B531" s="59" t="s">
        <v>109</v>
      </c>
      <c r="C531" s="59">
        <f t="shared" si="150"/>
        <v>528</v>
      </c>
      <c r="D531" s="59">
        <f t="shared" si="158"/>
        <v>26.642670000000003</v>
      </c>
      <c r="E531" s="59">
        <f t="shared" ref="E531:E538" si="168">E530-0.75</f>
        <v>11.91</v>
      </c>
      <c r="F531" s="91">
        <f>($C$4/E531)+F530</f>
        <v>65.193882049383461</v>
      </c>
      <c r="G531" s="59">
        <f t="shared" ref="G531:G538" si="169">G530-500</f>
        <v>6000</v>
      </c>
      <c r="H531" s="59">
        <v>3</v>
      </c>
      <c r="I531" s="91">
        <f>E531-E530</f>
        <v>-0.75</v>
      </c>
      <c r="J531" s="59">
        <f>(0.5*VEHICLE!$C$71*VEHICLE!$C$28*VEHICLE!$C$27*'Drive Cycle'!E531^2)</f>
        <v>126.18865133721</v>
      </c>
      <c r="K531" s="59">
        <f>IF(A531=1,VEHICLE!$S$5,IF(A531=2,VEHICLE!$Q$5,IF(A531=3,VEHICLE!$R$5,IF(A531=4,VEHICLE!$P$5,1))))</f>
        <v>278.27536500000002</v>
      </c>
      <c r="L531" s="59">
        <f t="shared" si="147"/>
        <v>0</v>
      </c>
      <c r="M531" s="59">
        <f t="shared" si="166"/>
        <v>0</v>
      </c>
      <c r="N531" s="59">
        <f t="shared" si="159"/>
        <v>0</v>
      </c>
      <c r="O531" s="59">
        <f t="shared" si="160"/>
        <v>0</v>
      </c>
      <c r="P531" s="59">
        <f t="shared" si="161"/>
        <v>404.46401633721001</v>
      </c>
      <c r="Q531" s="59">
        <f>IF(H531=1,I531*VEHICLE!$C$69,IF(H531=2,VEHICLE!$C$70*I531,IF(H531=3,VEHICLE!$C$71*I531,0)))</f>
        <v>-0.87525000000000008</v>
      </c>
      <c r="R531" s="59">
        <f>(J531+K531+O531+Q531)</f>
        <v>403.58876633721002</v>
      </c>
      <c r="S531" s="59">
        <f t="shared" si="162"/>
        <v>403.58876633721002</v>
      </c>
      <c r="T531" s="59">
        <f>ABS((R531)/((2*PI()*G531)/60))</f>
        <v>0.64233147138926905</v>
      </c>
      <c r="U531" s="59">
        <f t="shared" si="163"/>
        <v>1</v>
      </c>
      <c r="V531" s="59">
        <f>INDEX(BSFC!$D$4:$AD$26,MATCH(U531,BSFC!$B$4:$B$26,0),MATCH(G531,BSFC!$D$2:$AD$2,0))</f>
        <v>933.91499472000044</v>
      </c>
      <c r="W531" s="59">
        <f t="shared" si="167"/>
        <v>0.10469933349524084</v>
      </c>
      <c r="X531" s="59">
        <f t="shared" si="164"/>
        <v>0.10469933349524084</v>
      </c>
      <c r="Y531" s="59">
        <f t="shared" si="165"/>
        <v>0.32352094050029417</v>
      </c>
      <c r="Z531" s="79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x14ac:dyDescent="0.3">
      <c r="A532" s="55">
        <v>2</v>
      </c>
      <c r="B532" s="59" t="s">
        <v>109</v>
      </c>
      <c r="C532" s="59">
        <f t="shared" si="150"/>
        <v>529</v>
      </c>
      <c r="D532" s="59">
        <f t="shared" si="158"/>
        <v>24.964920000000003</v>
      </c>
      <c r="E532" s="59">
        <f t="shared" si="168"/>
        <v>11.16</v>
      </c>
      <c r="F532" s="91">
        <f>($C$4/E532)+F531</f>
        <v>65.283487784150481</v>
      </c>
      <c r="G532" s="59">
        <f t="shared" si="169"/>
        <v>5500</v>
      </c>
      <c r="H532" s="59">
        <v>3</v>
      </c>
      <c r="I532" s="91">
        <f>E532-E531</f>
        <v>-0.75</v>
      </c>
      <c r="J532" s="59">
        <f>(0.5*VEHICLE!$C$71*VEHICLE!$C$28*VEHICLE!$C$27*'Drive Cycle'!E532^2)</f>
        <v>110.79627639696</v>
      </c>
      <c r="K532" s="59">
        <f>IF(A532=1,VEHICLE!$S$5,IF(A532=2,VEHICLE!$Q$5,IF(A532=3,VEHICLE!$R$5,IF(A532=4,VEHICLE!$P$5,1))))</f>
        <v>278.27536500000002</v>
      </c>
      <c r="L532" s="59">
        <f t="shared" ref="L532:L595" si="170">L531</f>
        <v>0</v>
      </c>
      <c r="M532" s="59">
        <f t="shared" si="166"/>
        <v>0</v>
      </c>
      <c r="N532" s="59">
        <f t="shared" si="159"/>
        <v>0</v>
      </c>
      <c r="O532" s="59">
        <f t="shared" si="160"/>
        <v>0</v>
      </c>
      <c r="P532" s="59">
        <f t="shared" si="161"/>
        <v>389.07164139695999</v>
      </c>
      <c r="Q532" s="59">
        <f>IF(H532=1,I532*VEHICLE!$C$69,IF(H532=2,VEHICLE!$C$70*I532,IF(H532=3,VEHICLE!$C$71*I532,0)))</f>
        <v>-0.87525000000000008</v>
      </c>
      <c r="R532" s="59">
        <f>(J532+K532+O532+Q532)</f>
        <v>388.19639139696</v>
      </c>
      <c r="S532" s="59">
        <f t="shared" si="162"/>
        <v>388.19639139696</v>
      </c>
      <c r="T532" s="59">
        <f>ABS((R532)/((2*PI()*G532)/60))</f>
        <v>0.67400044997740705</v>
      </c>
      <c r="U532" s="59">
        <f t="shared" si="163"/>
        <v>1</v>
      </c>
      <c r="V532" s="59">
        <f>INDEX(BSFC!$D$4:$AD$26,MATCH(U532,BSFC!$B$4:$B$26,0),MATCH(G532,BSFC!$D$2:$AD$2,0))</f>
        <v>937.88833920000002</v>
      </c>
      <c r="W532" s="59">
        <f t="shared" si="167"/>
        <v>0.10113468578075777</v>
      </c>
      <c r="X532" s="59">
        <f t="shared" si="164"/>
        <v>0.10113468578075777</v>
      </c>
      <c r="Y532" s="59">
        <f t="shared" si="165"/>
        <v>0.31250617906254147</v>
      </c>
      <c r="Z532" s="79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x14ac:dyDescent="0.3">
      <c r="A533" s="55">
        <v>2</v>
      </c>
      <c r="B533" s="59" t="s">
        <v>109</v>
      </c>
      <c r="C533" s="59">
        <f t="shared" si="150"/>
        <v>530</v>
      </c>
      <c r="D533" s="59">
        <f t="shared" si="158"/>
        <v>23.28717</v>
      </c>
      <c r="E533" s="59">
        <f t="shared" si="168"/>
        <v>10.41</v>
      </c>
      <c r="F533" s="91">
        <f>($C$4/E533)+F532</f>
        <v>65.379549263497267</v>
      </c>
      <c r="G533" s="59">
        <f t="shared" si="169"/>
        <v>5000</v>
      </c>
      <c r="H533" s="59">
        <v>2</v>
      </c>
      <c r="I533" s="91">
        <f>E533-E532</f>
        <v>-0.75</v>
      </c>
      <c r="J533" s="59">
        <f>(0.5*VEHICLE!$C$71*VEHICLE!$C$28*VEHICLE!$C$27*'Drive Cycle'!E533^2)</f>
        <v>96.404706069209993</v>
      </c>
      <c r="K533" s="59">
        <f>IF(A533=1,VEHICLE!$S$5,IF(A533=2,VEHICLE!$Q$5,IF(A533=3,VEHICLE!$R$5,IF(A533=4,VEHICLE!$P$5,1))))</f>
        <v>278.27536500000002</v>
      </c>
      <c r="L533" s="59">
        <f t="shared" si="170"/>
        <v>0</v>
      </c>
      <c r="M533" s="59">
        <f t="shared" si="166"/>
        <v>0</v>
      </c>
      <c r="N533" s="59">
        <f t="shared" si="159"/>
        <v>0</v>
      </c>
      <c r="O533" s="59">
        <f t="shared" si="160"/>
        <v>0</v>
      </c>
      <c r="P533" s="59">
        <f t="shared" si="161"/>
        <v>374.68007106921004</v>
      </c>
      <c r="Q533" s="59">
        <f>IF(H533=1,I533*VEHICLE!$C$69,IF(H533=2,VEHICLE!$C$70*I533,IF(H533=3,VEHICLE!$C$71*I533,0)))</f>
        <v>-438.86136489758803</v>
      </c>
      <c r="R533" s="59">
        <f>(J533+K533+O533+Q533)</f>
        <v>-64.181293828377989</v>
      </c>
      <c r="S533" s="59">
        <f t="shared" si="162"/>
        <v>64.181293828377989</v>
      </c>
      <c r="T533" s="59">
        <f>ABS((R533)/((2*PI()*G533)/60))</f>
        <v>0.12257724200183655</v>
      </c>
      <c r="U533" s="59">
        <f t="shared" si="163"/>
        <v>1</v>
      </c>
      <c r="V533" s="59">
        <f>INDEX(BSFC!$D$4:$AD$26,MATCH(U533,BSFC!$B$4:$B$26,0),MATCH(G533,BSFC!$D$2:$AD$2,0))</f>
        <v>967.30583135999973</v>
      </c>
      <c r="W533" s="59">
        <f t="shared" si="167"/>
        <v>-1.7245261051227666E-2</v>
      </c>
      <c r="X533" s="59">
        <f t="shared" si="164"/>
        <v>1.7245261051227666E-2</v>
      </c>
      <c r="Y533" s="59">
        <f t="shared" si="165"/>
        <v>-5.3287856648293483E-2</v>
      </c>
      <c r="Z533" s="79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x14ac:dyDescent="0.3">
      <c r="A534" s="55">
        <v>2</v>
      </c>
      <c r="B534" s="59" t="s">
        <v>109</v>
      </c>
      <c r="C534" s="59">
        <f t="shared" si="150"/>
        <v>531</v>
      </c>
      <c r="D534" s="59">
        <f t="shared" si="158"/>
        <v>21.60942</v>
      </c>
      <c r="E534" s="59">
        <f t="shared" si="168"/>
        <v>9.66</v>
      </c>
      <c r="F534" s="91">
        <f>($C$4/E534)+F533</f>
        <v>65.483068932234332</v>
      </c>
      <c r="G534" s="59">
        <f t="shared" si="169"/>
        <v>4500</v>
      </c>
      <c r="H534" s="59">
        <v>2</v>
      </c>
      <c r="I534" s="91">
        <f>E534-E533</f>
        <v>-0.75</v>
      </c>
      <c r="J534" s="59">
        <f>(0.5*VEHICLE!$C$71*VEHICLE!$C$28*VEHICLE!$C$27*'Drive Cycle'!E534^2)</f>
        <v>83.013940353959995</v>
      </c>
      <c r="K534" s="59">
        <f>IF(A534=1,VEHICLE!$S$5,IF(A534=2,VEHICLE!$Q$5,IF(A534=3,VEHICLE!$R$5,IF(A534=4,VEHICLE!$P$5,1))))</f>
        <v>278.27536500000002</v>
      </c>
      <c r="L534" s="59">
        <f t="shared" si="170"/>
        <v>0</v>
      </c>
      <c r="M534" s="59">
        <f t="shared" si="166"/>
        <v>0</v>
      </c>
      <c r="N534" s="59">
        <f t="shared" si="159"/>
        <v>0</v>
      </c>
      <c r="O534" s="59">
        <f t="shared" si="160"/>
        <v>0</v>
      </c>
      <c r="P534" s="59">
        <f t="shared" si="161"/>
        <v>361.28930535396</v>
      </c>
      <c r="Q534" s="59">
        <f>IF(H534=1,I534*VEHICLE!$C$69,IF(H534=2,VEHICLE!$C$70*I534,IF(H534=3,VEHICLE!$C$71*I534,0)))</f>
        <v>-438.86136489758803</v>
      </c>
      <c r="R534" s="59">
        <f>(J534+K534+O534+Q534)</f>
        <v>-77.572059543628029</v>
      </c>
      <c r="S534" s="59">
        <f t="shared" si="162"/>
        <v>77.572059543628029</v>
      </c>
      <c r="T534" s="59">
        <f>ABS((R534)/((2*PI()*G534)/60))</f>
        <v>0.16461302296249647</v>
      </c>
      <c r="U534" s="59">
        <f t="shared" si="163"/>
        <v>1</v>
      </c>
      <c r="V534" s="59">
        <f>INDEX(BSFC!$D$4:$AD$26,MATCH(U534,BSFC!$B$4:$B$26,0),MATCH(G534,BSFC!$D$2:$AD$2,0))</f>
        <v>996.72332351999967</v>
      </c>
      <c r="W534" s="59">
        <f t="shared" si="167"/>
        <v>-2.1477189166837843E-2</v>
      </c>
      <c r="X534" s="59">
        <f t="shared" si="164"/>
        <v>2.1477189166837843E-2</v>
      </c>
      <c r="Y534" s="59">
        <f t="shared" si="165"/>
        <v>-6.6364514525528925E-2</v>
      </c>
      <c r="Z534" s="79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x14ac:dyDescent="0.3">
      <c r="A535" s="55">
        <v>2</v>
      </c>
      <c r="B535" s="59" t="s">
        <v>109</v>
      </c>
      <c r="C535" s="59">
        <f t="shared" si="150"/>
        <v>532</v>
      </c>
      <c r="D535" s="59">
        <f t="shared" si="158"/>
        <v>19.93167</v>
      </c>
      <c r="E535" s="59">
        <f t="shared" si="168"/>
        <v>8.91</v>
      </c>
      <c r="F535" s="91">
        <f>($C$4/E535)+F534</f>
        <v>65.595302377801104</v>
      </c>
      <c r="G535" s="59">
        <f t="shared" si="169"/>
        <v>4000</v>
      </c>
      <c r="H535" s="59">
        <v>2</v>
      </c>
      <c r="I535" s="91">
        <f>E535-E534</f>
        <v>-0.75</v>
      </c>
      <c r="J535" s="59">
        <f>(0.5*VEHICLE!$C$71*VEHICLE!$C$28*VEHICLE!$C$27*'Drive Cycle'!E535^2)</f>
        <v>70.623979251210002</v>
      </c>
      <c r="K535" s="59">
        <f>IF(A535=1,VEHICLE!$S$5,IF(A535=2,VEHICLE!$Q$5,IF(A535=3,VEHICLE!$R$5,IF(A535=4,VEHICLE!$P$5,1))))</f>
        <v>278.27536500000002</v>
      </c>
      <c r="L535" s="59">
        <f t="shared" si="170"/>
        <v>0</v>
      </c>
      <c r="M535" s="59">
        <f t="shared" si="166"/>
        <v>0</v>
      </c>
      <c r="N535" s="59">
        <f t="shared" si="159"/>
        <v>0</v>
      </c>
      <c r="O535" s="59">
        <f t="shared" si="160"/>
        <v>0</v>
      </c>
      <c r="P535" s="59">
        <f t="shared" si="161"/>
        <v>348.89934425121004</v>
      </c>
      <c r="Q535" s="59">
        <f>IF(H535=1,I535*VEHICLE!$C$69,IF(H535=2,VEHICLE!$C$70*I535,IF(H535=3,VEHICLE!$C$71*I535,0)))</f>
        <v>-438.86136489758803</v>
      </c>
      <c r="R535" s="59">
        <f>(J535+K535+O535+Q535)</f>
        <v>-89.962020646377994</v>
      </c>
      <c r="S535" s="59">
        <f t="shared" si="162"/>
        <v>89.962020646377994</v>
      </c>
      <c r="T535" s="59">
        <f>ABS((R535)/((2*PI()*G535)/60))</f>
        <v>0.21476850414609305</v>
      </c>
      <c r="U535" s="59">
        <f t="shared" si="163"/>
        <v>1</v>
      </c>
      <c r="V535" s="59">
        <f>INDEX(BSFC!$D$4:$AD$26,MATCH(U535,BSFC!$B$4:$B$26,0),MATCH(G535,BSFC!$D$2:$AD$2,0))</f>
        <v>1026.1408156799998</v>
      </c>
      <c r="W535" s="59">
        <f t="shared" si="167"/>
        <v>-2.5642694790637584E-2</v>
      </c>
      <c r="X535" s="59">
        <f t="shared" si="164"/>
        <v>2.5642694790637584E-2</v>
      </c>
      <c r="Y535" s="59">
        <f t="shared" si="165"/>
        <v>-7.9235926903070131E-2</v>
      </c>
      <c r="Z535" s="79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x14ac:dyDescent="0.3">
      <c r="A536" s="55">
        <v>2</v>
      </c>
      <c r="B536" s="59" t="s">
        <v>109</v>
      </c>
      <c r="C536" s="59">
        <f t="shared" si="150"/>
        <v>533</v>
      </c>
      <c r="D536" s="59">
        <f t="shared" si="158"/>
        <v>18.253920000000001</v>
      </c>
      <c r="E536" s="59">
        <f t="shared" si="168"/>
        <v>8.16</v>
      </c>
      <c r="F536" s="91">
        <f>($C$4/E536)+F535</f>
        <v>65.71785139740895</v>
      </c>
      <c r="G536" s="59">
        <f t="shared" si="169"/>
        <v>3500</v>
      </c>
      <c r="H536" s="59">
        <v>2</v>
      </c>
      <c r="I536" s="91">
        <f>E536-E535</f>
        <v>-0.75</v>
      </c>
      <c r="J536" s="59">
        <f>(0.5*VEHICLE!$C$71*VEHICLE!$C$28*VEHICLE!$C$27*'Drive Cycle'!E536^2)</f>
        <v>59.234822760959993</v>
      </c>
      <c r="K536" s="59">
        <f>IF(A536=1,VEHICLE!$S$5,IF(A536=2,VEHICLE!$Q$5,IF(A536=3,VEHICLE!$R$5,IF(A536=4,VEHICLE!$P$5,1))))</f>
        <v>278.27536500000002</v>
      </c>
      <c r="L536" s="59">
        <f t="shared" si="170"/>
        <v>0</v>
      </c>
      <c r="M536" s="59">
        <f t="shared" si="166"/>
        <v>0</v>
      </c>
      <c r="N536" s="59">
        <f t="shared" si="159"/>
        <v>0</v>
      </c>
      <c r="O536" s="59">
        <f t="shared" si="160"/>
        <v>0</v>
      </c>
      <c r="P536" s="59">
        <f t="shared" si="161"/>
        <v>337.51018776096004</v>
      </c>
      <c r="Q536" s="59">
        <f>IF(H536=1,I536*VEHICLE!$C$69,IF(H536=2,VEHICLE!$C$70*I536,IF(H536=3,VEHICLE!$C$71*I536,0)))</f>
        <v>-438.86136489758803</v>
      </c>
      <c r="R536" s="59">
        <f>(J536+K536+O536+Q536)</f>
        <v>-101.351177136628</v>
      </c>
      <c r="S536" s="59">
        <f t="shared" si="162"/>
        <v>101.351177136628</v>
      </c>
      <c r="T536" s="59">
        <f>ABS((R536)/((2*PI()*G536)/60))</f>
        <v>0.27652355707674231</v>
      </c>
      <c r="U536" s="59">
        <f t="shared" si="163"/>
        <v>1</v>
      </c>
      <c r="V536" s="59">
        <f>INDEX(BSFC!$D$4:$AD$26,MATCH(U536,BSFC!$B$4:$B$26,0),MATCH(G536,BSFC!$D$2:$AD$2,0))</f>
        <v>1034.2259366399996</v>
      </c>
      <c r="W536" s="59">
        <f t="shared" si="167"/>
        <v>-2.9116671139915448E-2</v>
      </c>
      <c r="X536" s="59">
        <f t="shared" si="164"/>
        <v>2.9116671139915448E-2</v>
      </c>
      <c r="Y536" s="59">
        <f t="shared" si="165"/>
        <v>-8.9970513822338727E-2</v>
      </c>
      <c r="Z536" s="79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x14ac:dyDescent="0.3">
      <c r="A537" s="55">
        <v>2</v>
      </c>
      <c r="B537" s="59" t="s">
        <v>109</v>
      </c>
      <c r="C537" s="59">
        <f t="shared" si="150"/>
        <v>534</v>
      </c>
      <c r="D537" s="59">
        <f t="shared" si="158"/>
        <v>16.576170000000001</v>
      </c>
      <c r="E537" s="59">
        <f t="shared" si="168"/>
        <v>7.41</v>
      </c>
      <c r="F537" s="91">
        <f>($C$4/E537)+F536</f>
        <v>65.852804163940661</v>
      </c>
      <c r="G537" s="59">
        <f t="shared" si="169"/>
        <v>3000</v>
      </c>
      <c r="H537" s="59">
        <v>2</v>
      </c>
      <c r="I537" s="91">
        <f>E537-E536</f>
        <v>-0.75</v>
      </c>
      <c r="J537" s="59">
        <f>(0.5*VEHICLE!$C$71*VEHICLE!$C$28*VEHICLE!$C$27*'Drive Cycle'!E537^2)</f>
        <v>48.846470883209996</v>
      </c>
      <c r="K537" s="59">
        <f>IF(A537=1,VEHICLE!$S$5,IF(A537=2,VEHICLE!$Q$5,IF(A537=3,VEHICLE!$R$5,IF(A537=4,VEHICLE!$P$5,1))))</f>
        <v>278.27536500000002</v>
      </c>
      <c r="L537" s="59">
        <f t="shared" si="170"/>
        <v>0</v>
      </c>
      <c r="M537" s="59">
        <f t="shared" si="166"/>
        <v>0</v>
      </c>
      <c r="N537" s="59">
        <f t="shared" si="159"/>
        <v>0</v>
      </c>
      <c r="O537" s="59">
        <f t="shared" si="160"/>
        <v>0</v>
      </c>
      <c r="P537" s="59">
        <f t="shared" si="161"/>
        <v>327.12183588321</v>
      </c>
      <c r="Q537" s="59">
        <f>IF(H537=1,I537*VEHICLE!$C$69,IF(H537=2,VEHICLE!$C$70*I537,IF(H537=3,VEHICLE!$C$71*I537,0)))</f>
        <v>-438.86136489758803</v>
      </c>
      <c r="R537" s="59">
        <f>(J537+K537+O537+Q537)</f>
        <v>-111.73952901437804</v>
      </c>
      <c r="S537" s="59">
        <f t="shared" si="162"/>
        <v>111.73952901437804</v>
      </c>
      <c r="T537" s="59">
        <f>ABS((R537)/((2*PI()*G537)/60))</f>
        <v>0.35567796762797049</v>
      </c>
      <c r="U537" s="59">
        <f t="shared" si="163"/>
        <v>1</v>
      </c>
      <c r="V537" s="59">
        <f>INDEX(BSFC!$D$4:$AD$26,MATCH(U537,BSFC!$B$4:$B$26,0),MATCH(G537,BSFC!$D$2:$AD$2,0))</f>
        <v>1049.8371440000003</v>
      </c>
      <c r="W537" s="59">
        <f t="shared" si="167"/>
        <v>-3.2585641114544386E-2</v>
      </c>
      <c r="X537" s="59">
        <f t="shared" si="164"/>
        <v>3.2585641114544386E-2</v>
      </c>
      <c r="Y537" s="59">
        <f t="shared" si="165"/>
        <v>-0.10068963104394214</v>
      </c>
      <c r="Z537" s="79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x14ac:dyDescent="0.3">
      <c r="A538" s="55">
        <v>2</v>
      </c>
      <c r="B538" s="59" t="s">
        <v>109</v>
      </c>
      <c r="C538" s="59">
        <f t="shared" si="150"/>
        <v>535</v>
      </c>
      <c r="D538" s="59">
        <f t="shared" si="158"/>
        <v>14.898420000000002</v>
      </c>
      <c r="E538" s="59">
        <f t="shared" si="168"/>
        <v>6.66</v>
      </c>
      <c r="F538" s="91">
        <f>($C$4/E538)+F537</f>
        <v>66.002954314090815</v>
      </c>
      <c r="G538" s="59">
        <f t="shared" si="169"/>
        <v>2500</v>
      </c>
      <c r="H538" s="59">
        <v>2</v>
      </c>
      <c r="I538" s="91">
        <f>E538-E537</f>
        <v>-0.75</v>
      </c>
      <c r="J538" s="59">
        <f>(0.5*VEHICLE!$C$71*VEHICLE!$C$28*VEHICLE!$C$27*'Drive Cycle'!E538^2)</f>
        <v>39.458923617959996</v>
      </c>
      <c r="K538" s="59">
        <f>IF(A538=1,VEHICLE!$S$5,IF(A538=2,VEHICLE!$Q$5,IF(A538=3,VEHICLE!$R$5,IF(A538=4,VEHICLE!$P$5,1))))</f>
        <v>278.27536500000002</v>
      </c>
      <c r="L538" s="59">
        <f t="shared" si="170"/>
        <v>0</v>
      </c>
      <c r="M538" s="59">
        <f t="shared" si="166"/>
        <v>0</v>
      </c>
      <c r="N538" s="59">
        <f t="shared" si="159"/>
        <v>0</v>
      </c>
      <c r="O538" s="59">
        <f t="shared" si="160"/>
        <v>0</v>
      </c>
      <c r="P538" s="59">
        <f t="shared" si="161"/>
        <v>317.73428861796003</v>
      </c>
      <c r="Q538" s="59">
        <f>IF(H538=1,I538*VEHICLE!$C$69,IF(H538=2,VEHICLE!$C$70*I538,IF(H538=3,VEHICLE!$C$71*I538,0)))</f>
        <v>-438.86136489758803</v>
      </c>
      <c r="R538" s="59">
        <f>(J538+K538+O538+Q538)</f>
        <v>-121.127076279628</v>
      </c>
      <c r="S538" s="59">
        <f t="shared" si="162"/>
        <v>121.127076279628</v>
      </c>
      <c r="T538" s="59">
        <f>ABS((R538)/((2*PI()*G538)/60))</f>
        <v>0.46267135037212465</v>
      </c>
      <c r="U538" s="59">
        <f t="shared" si="163"/>
        <v>1</v>
      </c>
      <c r="V538" s="59">
        <f>INDEX(BSFC!$D$4:$AD$26,MATCH(U538,BSFC!$B$4:$B$26,0),MATCH(G538,BSFC!$D$2:$AD$2,0))</f>
        <v>1065.4483513600007</v>
      </c>
      <c r="W538" s="59">
        <f t="shared" si="167"/>
        <v>-3.5848512146440754E-2</v>
      </c>
      <c r="X538" s="59">
        <f t="shared" si="164"/>
        <v>3.5848512146440754E-2</v>
      </c>
      <c r="Y538" s="59">
        <f t="shared" si="165"/>
        <v>-0.11077190253250192</v>
      </c>
      <c r="Z538" s="79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x14ac:dyDescent="0.3">
      <c r="A539" s="55">
        <v>2</v>
      </c>
      <c r="B539" s="59" t="s">
        <v>109</v>
      </c>
      <c r="C539" s="59">
        <f t="shared" si="150"/>
        <v>536</v>
      </c>
      <c r="D539" s="59">
        <f t="shared" si="158"/>
        <v>13.22067</v>
      </c>
      <c r="E539" s="59">
        <f>E538-0.75</f>
        <v>5.91</v>
      </c>
      <c r="F539" s="91">
        <f>($C$4/E539)+F538</f>
        <v>66.172159051823471</v>
      </c>
      <c r="G539" s="59">
        <f>G538</f>
        <v>2500</v>
      </c>
      <c r="H539" s="59">
        <v>2</v>
      </c>
      <c r="I539" s="91">
        <f>E539-E538</f>
        <v>-0.75</v>
      </c>
      <c r="J539" s="59">
        <f>(0.5*VEHICLE!$C$71*VEHICLE!$C$28*VEHICLE!$C$27*'Drive Cycle'!E539^2)</f>
        <v>31.072180965209999</v>
      </c>
      <c r="K539" s="59">
        <f>IF(A539=1,VEHICLE!$S$5,IF(A539=2,VEHICLE!$Q$5,IF(A539=3,VEHICLE!$R$5,IF(A539=4,VEHICLE!$P$5,1))))</f>
        <v>278.27536500000002</v>
      </c>
      <c r="L539" s="59">
        <f t="shared" si="170"/>
        <v>0</v>
      </c>
      <c r="M539" s="59">
        <f t="shared" si="166"/>
        <v>0</v>
      </c>
      <c r="N539" s="59">
        <f t="shared" si="159"/>
        <v>0</v>
      </c>
      <c r="O539" s="59">
        <f t="shared" si="160"/>
        <v>0</v>
      </c>
      <c r="P539" s="59">
        <f t="shared" si="161"/>
        <v>309.34754596521003</v>
      </c>
      <c r="Q539" s="59">
        <f>IF(H539=1,I539*VEHICLE!$C$69,IF(H539=2,VEHICLE!$C$70*I539,IF(H539=3,VEHICLE!$C$71*I539,0)))</f>
        <v>-438.86136489758803</v>
      </c>
      <c r="R539" s="59">
        <f>(J539+K539+O539+Q539)</f>
        <v>-129.513818932378</v>
      </c>
      <c r="S539" s="59">
        <f t="shared" si="162"/>
        <v>129.513818932378</v>
      </c>
      <c r="T539" s="59">
        <f>ABS((R539)/((2*PI()*G539)/60))</f>
        <v>0.49470634756311982</v>
      </c>
      <c r="U539" s="59">
        <f t="shared" si="163"/>
        <v>1</v>
      </c>
      <c r="V539" s="59">
        <f>INDEX(BSFC!$D$4:$AD$26,MATCH(U539,BSFC!$B$4:$B$26,0),MATCH(G539,BSFC!$D$2:$AD$2,0))</f>
        <v>1065.4483513600007</v>
      </c>
      <c r="W539" s="59">
        <f t="shared" si="167"/>
        <v>-3.8330634683288838E-2</v>
      </c>
      <c r="X539" s="59">
        <f t="shared" si="164"/>
        <v>3.8330634683288838E-2</v>
      </c>
      <c r="Y539" s="59">
        <f t="shared" si="165"/>
        <v>-0.1184416611713625</v>
      </c>
      <c r="Z539" s="79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x14ac:dyDescent="0.3">
      <c r="A540" s="55">
        <v>2</v>
      </c>
      <c r="B540" s="58" t="s">
        <v>124</v>
      </c>
      <c r="C540" s="58">
        <f t="shared" si="150"/>
        <v>537</v>
      </c>
      <c r="D540" s="58">
        <f t="shared" si="158"/>
        <v>13.22067</v>
      </c>
      <c r="E540" s="58">
        <f>E539</f>
        <v>5.91</v>
      </c>
      <c r="F540" s="90">
        <f>($C$4/E540)+F539</f>
        <v>66.341363789556127</v>
      </c>
      <c r="G540" s="58">
        <f t="shared" ref="G540:G546" si="171">G539</f>
        <v>2500</v>
      </c>
      <c r="H540" s="58">
        <v>2</v>
      </c>
      <c r="I540" s="90">
        <f>E540-E539</f>
        <v>0</v>
      </c>
      <c r="J540" s="58">
        <f>(0.5*VEHICLE!$C$71*VEHICLE!$C$28*VEHICLE!$C$27*'Drive Cycle'!E540^2)</f>
        <v>31.072180965209999</v>
      </c>
      <c r="K540" s="58">
        <f>IF(A540=1,VEHICLE!$S$5,IF(A540=2,VEHICLE!$Q$5,IF(A540=3,VEHICLE!$R$5,IF(A540=4,VEHICLE!$P$5,1))))</f>
        <v>278.27536500000002</v>
      </c>
      <c r="L540" s="58">
        <f t="shared" si="170"/>
        <v>0</v>
      </c>
      <c r="M540" s="58">
        <f t="shared" si="166"/>
        <v>0</v>
      </c>
      <c r="N540" s="58">
        <f t="shared" si="159"/>
        <v>0</v>
      </c>
      <c r="O540" s="58">
        <f t="shared" si="160"/>
        <v>0</v>
      </c>
      <c r="P540" s="58">
        <f t="shared" si="161"/>
        <v>309.34754596521003</v>
      </c>
      <c r="Q540" s="58">
        <f>IF(H540=1,I540*VEHICLE!$C$69,IF(H540=2,VEHICLE!$C$70*I540,IF(H540=3,VEHICLE!$C$71*I540,0)))</f>
        <v>0</v>
      </c>
      <c r="R540" s="58">
        <f>(J540+K540+O540+Q540)</f>
        <v>309.34754596521003</v>
      </c>
      <c r="S540" s="58">
        <f t="shared" si="162"/>
        <v>309.34754596521003</v>
      </c>
      <c r="T540" s="58">
        <f>ABS((R540)/((2*PI()*G540)/60))</f>
        <v>1.1816205857690516</v>
      </c>
      <c r="U540" s="58">
        <f t="shared" si="163"/>
        <v>2</v>
      </c>
      <c r="V540" s="58">
        <f>INDEX(BSFC!$D$4:$AD$26,MATCH(U540,BSFC!$B$4:$B$26,0),MATCH(G540,BSFC!$D$2:$AD$2,0))</f>
        <v>952.83484224000051</v>
      </c>
      <c r="W540" s="58">
        <f t="shared" si="167"/>
        <v>8.1876977821414509E-2</v>
      </c>
      <c r="X540" s="58">
        <f t="shared" si="164"/>
        <v>8.1876977821414509E-2</v>
      </c>
      <c r="Y540" s="58">
        <f t="shared" si="165"/>
        <v>0.25299986146817083</v>
      </c>
      <c r="Z540" s="79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x14ac:dyDescent="0.3">
      <c r="A541" s="55">
        <v>2</v>
      </c>
      <c r="B541" s="58" t="s">
        <v>124</v>
      </c>
      <c r="C541" s="58">
        <f t="shared" si="150"/>
        <v>538</v>
      </c>
      <c r="D541" s="58">
        <f t="shared" si="158"/>
        <v>13.22067</v>
      </c>
      <c r="E541" s="58">
        <f t="shared" ref="E541:E546" si="172">E540</f>
        <v>5.91</v>
      </c>
      <c r="F541" s="90">
        <f>($C$4/E541)+F540</f>
        <v>66.510568527288783</v>
      </c>
      <c r="G541" s="58">
        <f t="shared" si="171"/>
        <v>2500</v>
      </c>
      <c r="H541" s="58">
        <v>2</v>
      </c>
      <c r="I541" s="90">
        <f>E541-E540</f>
        <v>0</v>
      </c>
      <c r="J541" s="58">
        <f>(0.5*VEHICLE!$C$71*VEHICLE!$C$28*VEHICLE!$C$27*'Drive Cycle'!E541^2)</f>
        <v>31.072180965209999</v>
      </c>
      <c r="K541" s="58">
        <f>IF(A541=1,VEHICLE!$S$5,IF(A541=2,VEHICLE!$Q$5,IF(A541=3,VEHICLE!$R$5,IF(A541=4,VEHICLE!$P$5,1))))</f>
        <v>278.27536500000002</v>
      </c>
      <c r="L541" s="58">
        <f t="shared" si="170"/>
        <v>0</v>
      </c>
      <c r="M541" s="58">
        <f t="shared" si="166"/>
        <v>0</v>
      </c>
      <c r="N541" s="58">
        <f t="shared" si="159"/>
        <v>0</v>
      </c>
      <c r="O541" s="58">
        <f t="shared" si="160"/>
        <v>0</v>
      </c>
      <c r="P541" s="58">
        <f t="shared" si="161"/>
        <v>309.34754596521003</v>
      </c>
      <c r="Q541" s="58">
        <f>IF(H541=1,I541*VEHICLE!$C$69,IF(H541=2,VEHICLE!$C$70*I541,IF(H541=3,VEHICLE!$C$71*I541,0)))</f>
        <v>0</v>
      </c>
      <c r="R541" s="58">
        <f>(J541+K541+O541+Q541)</f>
        <v>309.34754596521003</v>
      </c>
      <c r="S541" s="58">
        <f t="shared" si="162"/>
        <v>309.34754596521003</v>
      </c>
      <c r="T541" s="58">
        <f>ABS((R541)/((2*PI()*G541)/60))</f>
        <v>1.1816205857690516</v>
      </c>
      <c r="U541" s="58">
        <f t="shared" si="163"/>
        <v>2</v>
      </c>
      <c r="V541" s="58">
        <f>INDEX(BSFC!$D$4:$AD$26,MATCH(U541,BSFC!$B$4:$B$26,0),MATCH(G541,BSFC!$D$2:$AD$2,0))</f>
        <v>952.83484224000051</v>
      </c>
      <c r="W541" s="58">
        <f t="shared" si="167"/>
        <v>8.1876977821414509E-2</v>
      </c>
      <c r="X541" s="58">
        <f t="shared" si="164"/>
        <v>8.1876977821414509E-2</v>
      </c>
      <c r="Y541" s="58">
        <f t="shared" si="165"/>
        <v>0.25299986146817083</v>
      </c>
      <c r="Z541" s="79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x14ac:dyDescent="0.3">
      <c r="A542" s="55">
        <v>2</v>
      </c>
      <c r="B542" s="58" t="s">
        <v>124</v>
      </c>
      <c r="C542" s="58">
        <f t="shared" si="150"/>
        <v>539</v>
      </c>
      <c r="D542" s="58">
        <f t="shared" si="158"/>
        <v>13.22067</v>
      </c>
      <c r="E542" s="58">
        <f t="shared" si="172"/>
        <v>5.91</v>
      </c>
      <c r="F542" s="90">
        <f>($C$4/E542)+F541</f>
        <v>66.679773265021439</v>
      </c>
      <c r="G542" s="58">
        <f t="shared" si="171"/>
        <v>2500</v>
      </c>
      <c r="H542" s="58">
        <v>2</v>
      </c>
      <c r="I542" s="90">
        <f>E542-E541</f>
        <v>0</v>
      </c>
      <c r="J542" s="58">
        <f>(0.5*VEHICLE!$C$71*VEHICLE!$C$28*VEHICLE!$C$27*'Drive Cycle'!E542^2)</f>
        <v>31.072180965209999</v>
      </c>
      <c r="K542" s="58">
        <f>IF(A542=1,VEHICLE!$S$5,IF(A542=2,VEHICLE!$Q$5,IF(A542=3,VEHICLE!$R$5,IF(A542=4,VEHICLE!$P$5,1))))</f>
        <v>278.27536500000002</v>
      </c>
      <c r="L542" s="58">
        <f t="shared" si="170"/>
        <v>0</v>
      </c>
      <c r="M542" s="58">
        <f t="shared" si="166"/>
        <v>0</v>
      </c>
      <c r="N542" s="58">
        <f t="shared" si="159"/>
        <v>0</v>
      </c>
      <c r="O542" s="58">
        <f t="shared" si="160"/>
        <v>0</v>
      </c>
      <c r="P542" s="58">
        <f t="shared" si="161"/>
        <v>309.34754596521003</v>
      </c>
      <c r="Q542" s="58">
        <f>IF(H542=1,I542*VEHICLE!$C$69,IF(H542=2,VEHICLE!$C$70*I542,IF(H542=3,VEHICLE!$C$71*I542,0)))</f>
        <v>0</v>
      </c>
      <c r="R542" s="58">
        <f>(J542+K542+O542+Q542)</f>
        <v>309.34754596521003</v>
      </c>
      <c r="S542" s="58">
        <f t="shared" si="162"/>
        <v>309.34754596521003</v>
      </c>
      <c r="T542" s="58">
        <f>ABS((R542)/((2*PI()*G542)/60))</f>
        <v>1.1816205857690516</v>
      </c>
      <c r="U542" s="58">
        <f t="shared" si="163"/>
        <v>2</v>
      </c>
      <c r="V542" s="58">
        <f>INDEX(BSFC!$D$4:$AD$26,MATCH(U542,BSFC!$B$4:$B$26,0),MATCH(G542,BSFC!$D$2:$AD$2,0))</f>
        <v>952.83484224000051</v>
      </c>
      <c r="W542" s="58">
        <f t="shared" si="167"/>
        <v>8.1876977821414509E-2</v>
      </c>
      <c r="X542" s="58">
        <f t="shared" si="164"/>
        <v>8.1876977821414509E-2</v>
      </c>
      <c r="Y542" s="58">
        <f t="shared" si="165"/>
        <v>0.25299986146817083</v>
      </c>
      <c r="Z542" s="79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x14ac:dyDescent="0.3">
      <c r="A543" s="55">
        <v>2</v>
      </c>
      <c r="B543" s="58" t="s">
        <v>124</v>
      </c>
      <c r="C543" s="58">
        <f t="shared" si="150"/>
        <v>540</v>
      </c>
      <c r="D543" s="58">
        <f t="shared" si="158"/>
        <v>13.22067</v>
      </c>
      <c r="E543" s="58">
        <f t="shared" si="172"/>
        <v>5.91</v>
      </c>
      <c r="F543" s="90">
        <f>($C$4/E543)+F542</f>
        <v>66.848978002754095</v>
      </c>
      <c r="G543" s="58">
        <f t="shared" si="171"/>
        <v>2500</v>
      </c>
      <c r="H543" s="58">
        <v>2</v>
      </c>
      <c r="I543" s="90">
        <f>E543-E542</f>
        <v>0</v>
      </c>
      <c r="J543" s="58">
        <f>(0.5*VEHICLE!$C$71*VEHICLE!$C$28*VEHICLE!$C$27*'Drive Cycle'!E543^2)</f>
        <v>31.072180965209999</v>
      </c>
      <c r="K543" s="58">
        <f>IF(A543=1,VEHICLE!$S$5,IF(A543=2,VEHICLE!$Q$5,IF(A543=3,VEHICLE!$R$5,IF(A543=4,VEHICLE!$P$5,1))))</f>
        <v>278.27536500000002</v>
      </c>
      <c r="L543" s="58">
        <f t="shared" si="170"/>
        <v>0</v>
      </c>
      <c r="M543" s="58">
        <f t="shared" si="166"/>
        <v>0</v>
      </c>
      <c r="N543" s="58">
        <f t="shared" si="159"/>
        <v>0</v>
      </c>
      <c r="O543" s="58">
        <f t="shared" si="160"/>
        <v>0</v>
      </c>
      <c r="P543" s="58">
        <f t="shared" si="161"/>
        <v>309.34754596521003</v>
      </c>
      <c r="Q543" s="58">
        <f>IF(H543=1,I543*VEHICLE!$C$69,IF(H543=2,VEHICLE!$C$70*I543,IF(H543=3,VEHICLE!$C$71*I543,0)))</f>
        <v>0</v>
      </c>
      <c r="R543" s="58">
        <f>(J543+K543+O543+Q543)</f>
        <v>309.34754596521003</v>
      </c>
      <c r="S543" s="58">
        <f t="shared" si="162"/>
        <v>309.34754596521003</v>
      </c>
      <c r="T543" s="58">
        <f>ABS((R543)/((2*PI()*G543)/60))</f>
        <v>1.1816205857690516</v>
      </c>
      <c r="U543" s="58">
        <f t="shared" si="163"/>
        <v>2</v>
      </c>
      <c r="V543" s="58">
        <f>INDEX(BSFC!$D$4:$AD$26,MATCH(U543,BSFC!$B$4:$B$26,0),MATCH(G543,BSFC!$D$2:$AD$2,0))</f>
        <v>952.83484224000051</v>
      </c>
      <c r="W543" s="58">
        <f t="shared" si="167"/>
        <v>8.1876977821414509E-2</v>
      </c>
      <c r="X543" s="58">
        <f t="shared" si="164"/>
        <v>8.1876977821414509E-2</v>
      </c>
      <c r="Y543" s="58">
        <f t="shared" si="165"/>
        <v>0.25299986146817083</v>
      </c>
      <c r="Z543" s="79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x14ac:dyDescent="0.3">
      <c r="A544" s="55">
        <v>2</v>
      </c>
      <c r="B544" s="58" t="s">
        <v>124</v>
      </c>
      <c r="C544" s="58">
        <f t="shared" si="150"/>
        <v>541</v>
      </c>
      <c r="D544" s="58">
        <f t="shared" si="158"/>
        <v>13.22067</v>
      </c>
      <c r="E544" s="58">
        <f t="shared" si="172"/>
        <v>5.91</v>
      </c>
      <c r="F544" s="90">
        <f>($C$4/E544)+F543</f>
        <v>67.018182740486751</v>
      </c>
      <c r="G544" s="58">
        <f t="shared" si="171"/>
        <v>2500</v>
      </c>
      <c r="H544" s="58">
        <v>2</v>
      </c>
      <c r="I544" s="90">
        <f>E544-E543</f>
        <v>0</v>
      </c>
      <c r="J544" s="58">
        <f>(0.5*VEHICLE!$C$71*VEHICLE!$C$28*VEHICLE!$C$27*'Drive Cycle'!E544^2)</f>
        <v>31.072180965209999</v>
      </c>
      <c r="K544" s="58">
        <f>IF(A544=1,VEHICLE!$S$5,IF(A544=2,VEHICLE!$Q$5,IF(A544=3,VEHICLE!$R$5,IF(A544=4,VEHICLE!$P$5,1))))</f>
        <v>278.27536500000002</v>
      </c>
      <c r="L544" s="58">
        <f t="shared" si="170"/>
        <v>0</v>
      </c>
      <c r="M544" s="58">
        <f t="shared" si="166"/>
        <v>0</v>
      </c>
      <c r="N544" s="58">
        <f t="shared" si="159"/>
        <v>0</v>
      </c>
      <c r="O544" s="58">
        <f t="shared" si="160"/>
        <v>0</v>
      </c>
      <c r="P544" s="58">
        <f t="shared" si="161"/>
        <v>309.34754596521003</v>
      </c>
      <c r="Q544" s="58">
        <f>IF(H544=1,I544*VEHICLE!$C$69,IF(H544=2,VEHICLE!$C$70*I544,IF(H544=3,VEHICLE!$C$71*I544,0)))</f>
        <v>0</v>
      </c>
      <c r="R544" s="58">
        <f>(J544+K544+O544+Q544)</f>
        <v>309.34754596521003</v>
      </c>
      <c r="S544" s="58">
        <f t="shared" si="162"/>
        <v>309.34754596521003</v>
      </c>
      <c r="T544" s="58">
        <f>ABS((R544)/((2*PI()*G544)/60))</f>
        <v>1.1816205857690516</v>
      </c>
      <c r="U544" s="58">
        <f t="shared" si="163"/>
        <v>2</v>
      </c>
      <c r="V544" s="58">
        <f>INDEX(BSFC!$D$4:$AD$26,MATCH(U544,BSFC!$B$4:$B$26,0),MATCH(G544,BSFC!$D$2:$AD$2,0))</f>
        <v>952.83484224000051</v>
      </c>
      <c r="W544" s="58">
        <f t="shared" si="167"/>
        <v>8.1876977821414509E-2</v>
      </c>
      <c r="X544" s="58">
        <f t="shared" si="164"/>
        <v>8.1876977821414509E-2</v>
      </c>
      <c r="Y544" s="58">
        <f t="shared" si="165"/>
        <v>0.25299986146817083</v>
      </c>
      <c r="Z544" s="79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x14ac:dyDescent="0.3">
      <c r="A545" s="55">
        <v>2</v>
      </c>
      <c r="B545" s="58" t="s">
        <v>124</v>
      </c>
      <c r="C545" s="58">
        <f t="shared" si="150"/>
        <v>542</v>
      </c>
      <c r="D545" s="58">
        <f t="shared" si="158"/>
        <v>13.22067</v>
      </c>
      <c r="E545" s="58">
        <f t="shared" si="172"/>
        <v>5.91</v>
      </c>
      <c r="F545" s="90">
        <f>($C$4/E545)+F544</f>
        <v>67.187387478219406</v>
      </c>
      <c r="G545" s="58">
        <f t="shared" si="171"/>
        <v>2500</v>
      </c>
      <c r="H545" s="58">
        <v>2</v>
      </c>
      <c r="I545" s="90">
        <f>E545-E544</f>
        <v>0</v>
      </c>
      <c r="J545" s="58">
        <f>(0.5*VEHICLE!$C$71*VEHICLE!$C$28*VEHICLE!$C$27*'Drive Cycle'!E545^2)</f>
        <v>31.072180965209999</v>
      </c>
      <c r="K545" s="58">
        <f>IF(A545=1,VEHICLE!$S$5,IF(A545=2,VEHICLE!$Q$5,IF(A545=3,VEHICLE!$R$5,IF(A545=4,VEHICLE!$P$5,1))))</f>
        <v>278.27536500000002</v>
      </c>
      <c r="L545" s="58">
        <f t="shared" si="170"/>
        <v>0</v>
      </c>
      <c r="M545" s="58">
        <f t="shared" si="166"/>
        <v>0</v>
      </c>
      <c r="N545" s="58">
        <f t="shared" si="159"/>
        <v>0</v>
      </c>
      <c r="O545" s="58">
        <f t="shared" si="160"/>
        <v>0</v>
      </c>
      <c r="P545" s="58">
        <f t="shared" si="161"/>
        <v>309.34754596521003</v>
      </c>
      <c r="Q545" s="58">
        <f>IF(H545=1,I545*VEHICLE!$C$69,IF(H545=2,VEHICLE!$C$70*I545,IF(H545=3,VEHICLE!$C$71*I545,0)))</f>
        <v>0</v>
      </c>
      <c r="R545" s="58">
        <f>(J545+K545+O545+Q545)</f>
        <v>309.34754596521003</v>
      </c>
      <c r="S545" s="58">
        <f t="shared" si="162"/>
        <v>309.34754596521003</v>
      </c>
      <c r="T545" s="58">
        <f>ABS((R545)/((2*PI()*G545)/60))</f>
        <v>1.1816205857690516</v>
      </c>
      <c r="U545" s="58">
        <f t="shared" si="163"/>
        <v>2</v>
      </c>
      <c r="V545" s="58">
        <f>INDEX(BSFC!$D$4:$AD$26,MATCH(U545,BSFC!$B$4:$B$26,0),MATCH(G545,BSFC!$D$2:$AD$2,0))</f>
        <v>952.83484224000051</v>
      </c>
      <c r="W545" s="58">
        <f t="shared" si="167"/>
        <v>8.1876977821414509E-2</v>
      </c>
      <c r="X545" s="58">
        <f t="shared" si="164"/>
        <v>8.1876977821414509E-2</v>
      </c>
      <c r="Y545" s="58">
        <f t="shared" si="165"/>
        <v>0.25299986146817083</v>
      </c>
      <c r="Z545" s="79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x14ac:dyDescent="0.3">
      <c r="A546" s="55">
        <v>2</v>
      </c>
      <c r="B546" s="58" t="s">
        <v>124</v>
      </c>
      <c r="C546" s="58">
        <f t="shared" si="150"/>
        <v>543</v>
      </c>
      <c r="D546" s="58">
        <f t="shared" si="158"/>
        <v>13.22067</v>
      </c>
      <c r="E546" s="58">
        <f t="shared" si="172"/>
        <v>5.91</v>
      </c>
      <c r="F546" s="90">
        <f>($C$4/E546)+F545</f>
        <v>67.356592215952062</v>
      </c>
      <c r="G546" s="58">
        <f t="shared" si="171"/>
        <v>2500</v>
      </c>
      <c r="H546" s="58">
        <v>2</v>
      </c>
      <c r="I546" s="90">
        <f>E546-E545</f>
        <v>0</v>
      </c>
      <c r="J546" s="58">
        <f>(0.5*VEHICLE!$C$71*VEHICLE!$C$28*VEHICLE!$C$27*'Drive Cycle'!E546^2)</f>
        <v>31.072180965209999</v>
      </c>
      <c r="K546" s="58">
        <f>IF(A546=1,VEHICLE!$S$5,IF(A546=2,VEHICLE!$Q$5,IF(A546=3,VEHICLE!$R$5,IF(A546=4,VEHICLE!$P$5,1))))</f>
        <v>278.27536500000002</v>
      </c>
      <c r="L546" s="58">
        <f t="shared" si="170"/>
        <v>0</v>
      </c>
      <c r="M546" s="58">
        <f t="shared" si="166"/>
        <v>0</v>
      </c>
      <c r="N546" s="58">
        <f t="shared" si="159"/>
        <v>0</v>
      </c>
      <c r="O546" s="58">
        <f t="shared" si="160"/>
        <v>0</v>
      </c>
      <c r="P546" s="58">
        <f t="shared" si="161"/>
        <v>309.34754596521003</v>
      </c>
      <c r="Q546" s="58">
        <f>IF(H546=1,I546*VEHICLE!$C$69,IF(H546=2,VEHICLE!$C$70*I546,IF(H546=3,VEHICLE!$C$71*I546,0)))</f>
        <v>0</v>
      </c>
      <c r="R546" s="58">
        <f>(J546+K546+O546+Q546)</f>
        <v>309.34754596521003</v>
      </c>
      <c r="S546" s="58">
        <f t="shared" si="162"/>
        <v>309.34754596521003</v>
      </c>
      <c r="T546" s="58">
        <f>ABS((R546)/((2*PI()*G546)/60))</f>
        <v>1.1816205857690516</v>
      </c>
      <c r="U546" s="58">
        <f t="shared" si="163"/>
        <v>2</v>
      </c>
      <c r="V546" s="58">
        <f>INDEX(BSFC!$D$4:$AD$26,MATCH(U546,BSFC!$B$4:$B$26,0),MATCH(G546,BSFC!$D$2:$AD$2,0))</f>
        <v>952.83484224000051</v>
      </c>
      <c r="W546" s="58">
        <f t="shared" si="167"/>
        <v>8.1876977821414509E-2</v>
      </c>
      <c r="X546" s="58">
        <f t="shared" si="164"/>
        <v>8.1876977821414509E-2</v>
      </c>
      <c r="Y546" s="58">
        <f t="shared" si="165"/>
        <v>0.25299986146817083</v>
      </c>
      <c r="Z546" s="79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x14ac:dyDescent="0.3">
      <c r="A547" s="55">
        <v>2</v>
      </c>
      <c r="B547" s="58" t="s">
        <v>124</v>
      </c>
      <c r="C547" s="58">
        <f t="shared" si="150"/>
        <v>544</v>
      </c>
      <c r="D547" s="58">
        <f t="shared" si="158"/>
        <v>14.898420000000002</v>
      </c>
      <c r="E547" s="58">
        <f>E546+0.75</f>
        <v>6.66</v>
      </c>
      <c r="F547" s="90">
        <f>($C$4/E547)+F546</f>
        <v>67.506742366102216</v>
      </c>
      <c r="G547" s="58">
        <f>G546+500</f>
        <v>3000</v>
      </c>
      <c r="H547" s="58">
        <v>2</v>
      </c>
      <c r="I547" s="90">
        <f>E547-E546</f>
        <v>0.75</v>
      </c>
      <c r="J547" s="58">
        <f>(0.5*VEHICLE!$C$71*VEHICLE!$C$28*VEHICLE!$C$27*'Drive Cycle'!E547^2)</f>
        <v>39.458923617959996</v>
      </c>
      <c r="K547" s="58">
        <f>IF(A547=1,VEHICLE!$S$5,IF(A547=2,VEHICLE!$Q$5,IF(A547=3,VEHICLE!$R$5,IF(A547=4,VEHICLE!$P$5,1))))</f>
        <v>278.27536500000002</v>
      </c>
      <c r="L547" s="58">
        <f t="shared" si="170"/>
        <v>0</v>
      </c>
      <c r="M547" s="58">
        <f t="shared" si="166"/>
        <v>0</v>
      </c>
      <c r="N547" s="58">
        <f t="shared" si="159"/>
        <v>0</v>
      </c>
      <c r="O547" s="58">
        <f t="shared" si="160"/>
        <v>0</v>
      </c>
      <c r="P547" s="58">
        <f t="shared" si="161"/>
        <v>317.73428861796003</v>
      </c>
      <c r="Q547" s="58">
        <f>IF(H547=1,I547*VEHICLE!$C$69,IF(H547=2,VEHICLE!$C$70*I547,IF(H547=3,VEHICLE!$C$71*I547,0)))</f>
        <v>438.86136489758803</v>
      </c>
      <c r="R547" s="58">
        <f>(J547+K547+O547+Q547)</f>
        <v>756.59565351554807</v>
      </c>
      <c r="S547" s="58">
        <f t="shared" si="162"/>
        <v>756.59565351554807</v>
      </c>
      <c r="T547" s="58">
        <f>ABS((R547)/((2*PI()*G547)/60))</f>
        <v>2.4083187635768484</v>
      </c>
      <c r="U547" s="58">
        <f t="shared" si="163"/>
        <v>3</v>
      </c>
      <c r="V547" s="58">
        <f>INDEX(BSFC!$D$4:$AD$26,MATCH(U547,BSFC!$B$4:$B$26,0),MATCH(G547,BSFC!$D$2:$AD$2,0))</f>
        <v>875.83654128000001</v>
      </c>
      <c r="W547" s="58">
        <f t="shared" si="167"/>
        <v>0.18407058897848302</v>
      </c>
      <c r="X547" s="58">
        <f t="shared" si="164"/>
        <v>0.18407058897848302</v>
      </c>
      <c r="Y547" s="58">
        <f t="shared" si="165"/>
        <v>0.56877811994351257</v>
      </c>
      <c r="Z547" s="79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x14ac:dyDescent="0.3">
      <c r="A548" s="55">
        <v>2</v>
      </c>
      <c r="B548" s="58" t="s">
        <v>124</v>
      </c>
      <c r="C548" s="58">
        <f t="shared" si="150"/>
        <v>545</v>
      </c>
      <c r="D548" s="58">
        <f t="shared" si="158"/>
        <v>16.576170000000001</v>
      </c>
      <c r="E548" s="58">
        <f t="shared" ref="E548:E552" si="173">E547+0.75</f>
        <v>7.41</v>
      </c>
      <c r="F548" s="90">
        <f>($C$4/E548)+F547</f>
        <v>67.641695132633927</v>
      </c>
      <c r="G548" s="58">
        <f t="shared" ref="G548:G555" si="174">G547+500</f>
        <v>3500</v>
      </c>
      <c r="H548" s="58">
        <v>2</v>
      </c>
      <c r="I548" s="90">
        <f>E548-E547</f>
        <v>0.75</v>
      </c>
      <c r="J548" s="58">
        <f>(0.5*VEHICLE!$C$71*VEHICLE!$C$28*VEHICLE!$C$27*'Drive Cycle'!E548^2)</f>
        <v>48.846470883209996</v>
      </c>
      <c r="K548" s="58">
        <f>IF(A548=1,VEHICLE!$S$5,IF(A548=2,VEHICLE!$Q$5,IF(A548=3,VEHICLE!$R$5,IF(A548=4,VEHICLE!$P$5,1))))</f>
        <v>278.27536500000002</v>
      </c>
      <c r="L548" s="58">
        <f t="shared" si="170"/>
        <v>0</v>
      </c>
      <c r="M548" s="58">
        <f t="shared" si="166"/>
        <v>0</v>
      </c>
      <c r="N548" s="58">
        <f t="shared" si="159"/>
        <v>0</v>
      </c>
      <c r="O548" s="58">
        <f t="shared" si="160"/>
        <v>0</v>
      </c>
      <c r="P548" s="58">
        <f t="shared" si="161"/>
        <v>327.12183588321</v>
      </c>
      <c r="Q548" s="58">
        <f>IF(H548=1,I548*VEHICLE!$C$69,IF(H548=2,VEHICLE!$C$70*I548,IF(H548=3,VEHICLE!$C$71*I548,0)))</f>
        <v>438.86136489758803</v>
      </c>
      <c r="R548" s="58">
        <f>(J548+K548+O548+Q548)</f>
        <v>765.98320078079803</v>
      </c>
      <c r="S548" s="58">
        <f t="shared" si="162"/>
        <v>765.98320078079803</v>
      </c>
      <c r="T548" s="58">
        <f>ABS((R548)/((2*PI()*G548)/60))</f>
        <v>2.0898859325076988</v>
      </c>
      <c r="U548" s="58">
        <f t="shared" si="163"/>
        <v>3</v>
      </c>
      <c r="V548" s="58">
        <f>INDEX(BSFC!$D$4:$AD$26,MATCH(U548,BSFC!$B$4:$B$26,0),MATCH(G548,BSFC!$D$2:$AD$2,0))</f>
        <v>819.92766336000011</v>
      </c>
      <c r="W548" s="58">
        <f t="shared" si="167"/>
        <v>0.17445855999700377</v>
      </c>
      <c r="X548" s="58">
        <f t="shared" si="164"/>
        <v>0.17445855999700377</v>
      </c>
      <c r="Y548" s="58">
        <f t="shared" si="165"/>
        <v>0.53907695039074166</v>
      </c>
      <c r="Z548" s="79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x14ac:dyDescent="0.3">
      <c r="A549" s="55">
        <v>2</v>
      </c>
      <c r="B549" s="58" t="s">
        <v>124</v>
      </c>
      <c r="C549" s="58">
        <f t="shared" si="150"/>
        <v>546</v>
      </c>
      <c r="D549" s="58">
        <f t="shared" si="158"/>
        <v>18.253920000000001</v>
      </c>
      <c r="E549" s="58">
        <f t="shared" si="173"/>
        <v>8.16</v>
      </c>
      <c r="F549" s="90">
        <f>($C$4/E549)+F548</f>
        <v>67.764244152241773</v>
      </c>
      <c r="G549" s="58">
        <f t="shared" si="174"/>
        <v>4000</v>
      </c>
      <c r="H549" s="58">
        <v>2</v>
      </c>
      <c r="I549" s="90">
        <f>E549-E548</f>
        <v>0.75</v>
      </c>
      <c r="J549" s="58">
        <f>(0.5*VEHICLE!$C$71*VEHICLE!$C$28*VEHICLE!$C$27*'Drive Cycle'!E549^2)</f>
        <v>59.234822760959993</v>
      </c>
      <c r="K549" s="58">
        <f>IF(A549=1,VEHICLE!$S$5,IF(A549=2,VEHICLE!$Q$5,IF(A549=3,VEHICLE!$R$5,IF(A549=4,VEHICLE!$P$5,1))))</f>
        <v>278.27536500000002</v>
      </c>
      <c r="L549" s="58">
        <f t="shared" si="170"/>
        <v>0</v>
      </c>
      <c r="M549" s="58">
        <f t="shared" si="166"/>
        <v>0</v>
      </c>
      <c r="N549" s="58">
        <f t="shared" si="159"/>
        <v>0</v>
      </c>
      <c r="O549" s="58">
        <f t="shared" si="160"/>
        <v>0</v>
      </c>
      <c r="P549" s="58">
        <f t="shared" si="161"/>
        <v>337.51018776096004</v>
      </c>
      <c r="Q549" s="58">
        <f>IF(H549=1,I549*VEHICLE!$C$69,IF(H549=2,VEHICLE!$C$70*I549,IF(H549=3,VEHICLE!$C$71*I549,0)))</f>
        <v>438.86136489758803</v>
      </c>
      <c r="R549" s="58">
        <f>(J549+K549+O549+Q549)</f>
        <v>776.37155265854813</v>
      </c>
      <c r="S549" s="58">
        <f t="shared" si="162"/>
        <v>776.37155265854813</v>
      </c>
      <c r="T549" s="58">
        <f>ABS((R549)/((2*PI()*G549)/60))</f>
        <v>1.8534505542230648</v>
      </c>
      <c r="U549" s="58">
        <f t="shared" si="163"/>
        <v>2</v>
      </c>
      <c r="V549" s="58">
        <f>INDEX(BSFC!$D$4:$AD$26,MATCH(U549,BSFC!$B$4:$B$26,0),MATCH(G549,BSFC!$D$2:$AD$2,0))</f>
        <v>918.89477663999969</v>
      </c>
      <c r="W549" s="58">
        <f t="shared" si="167"/>
        <v>0.19816771235272956</v>
      </c>
      <c r="X549" s="58">
        <f t="shared" si="164"/>
        <v>0.19816771235272956</v>
      </c>
      <c r="Y549" s="58">
        <f t="shared" si="165"/>
        <v>0.61233823116993435</v>
      </c>
      <c r="Z549" s="79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x14ac:dyDescent="0.3">
      <c r="A550" s="55">
        <v>2</v>
      </c>
      <c r="B550" s="58" t="s">
        <v>124</v>
      </c>
      <c r="C550" s="58">
        <f t="shared" si="150"/>
        <v>547</v>
      </c>
      <c r="D550" s="58">
        <f t="shared" si="158"/>
        <v>19.93167</v>
      </c>
      <c r="E550" s="58">
        <f t="shared" si="173"/>
        <v>8.91</v>
      </c>
      <c r="F550" s="90">
        <f>($C$4/E550)+F549</f>
        <v>67.876477597808545</v>
      </c>
      <c r="G550" s="58">
        <f t="shared" si="174"/>
        <v>4500</v>
      </c>
      <c r="H550" s="58">
        <v>2</v>
      </c>
      <c r="I550" s="90">
        <f>E550-E549</f>
        <v>0.75</v>
      </c>
      <c r="J550" s="58">
        <f>(0.5*VEHICLE!$C$71*VEHICLE!$C$28*VEHICLE!$C$27*'Drive Cycle'!E550^2)</f>
        <v>70.623979251210002</v>
      </c>
      <c r="K550" s="58">
        <f>IF(A550=1,VEHICLE!$S$5,IF(A550=2,VEHICLE!$Q$5,IF(A550=3,VEHICLE!$R$5,IF(A550=4,VEHICLE!$P$5,1))))</f>
        <v>278.27536500000002</v>
      </c>
      <c r="L550" s="58">
        <f t="shared" si="170"/>
        <v>0</v>
      </c>
      <c r="M550" s="58">
        <f t="shared" si="166"/>
        <v>0</v>
      </c>
      <c r="N550" s="58">
        <f t="shared" si="159"/>
        <v>0</v>
      </c>
      <c r="O550" s="58">
        <f t="shared" si="160"/>
        <v>0</v>
      </c>
      <c r="P550" s="58">
        <f t="shared" si="161"/>
        <v>348.89934425121004</v>
      </c>
      <c r="Q550" s="58">
        <f>IF(H550=1,I550*VEHICLE!$C$69,IF(H550=2,VEHICLE!$C$70*I550,IF(H550=3,VEHICLE!$C$71*I550,0)))</f>
        <v>438.86136489758803</v>
      </c>
      <c r="R550" s="58">
        <f>(J550+K550+O550+Q550)</f>
        <v>787.76070914879801</v>
      </c>
      <c r="S550" s="58">
        <f t="shared" si="162"/>
        <v>787.76070914879801</v>
      </c>
      <c r="T550" s="58">
        <f>ABS((R550)/((2*PI()*G550)/60))</f>
        <v>1.6716801444614406</v>
      </c>
      <c r="U550" s="58">
        <f t="shared" si="163"/>
        <v>2</v>
      </c>
      <c r="V550" s="58">
        <f>INDEX(BSFC!$D$4:$AD$26,MATCH(U550,BSFC!$B$4:$B$26,0),MATCH(G550,BSFC!$D$2:$AD$2,0))</f>
        <v>900.04656767999984</v>
      </c>
      <c r="W550" s="58">
        <f t="shared" si="167"/>
        <v>0.19695036733959398</v>
      </c>
      <c r="X550" s="58">
        <f t="shared" si="164"/>
        <v>0.19695036733959398</v>
      </c>
      <c r="Y550" s="58">
        <f t="shared" si="165"/>
        <v>0.60857663507934534</v>
      </c>
      <c r="Z550" s="79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x14ac:dyDescent="0.3">
      <c r="A551" s="55">
        <v>2</v>
      </c>
      <c r="B551" s="58" t="s">
        <v>124</v>
      </c>
      <c r="C551" s="58">
        <f t="shared" si="150"/>
        <v>548</v>
      </c>
      <c r="D551" s="58">
        <f t="shared" si="158"/>
        <v>21.60942</v>
      </c>
      <c r="E551" s="58">
        <f t="shared" si="173"/>
        <v>9.66</v>
      </c>
      <c r="F551" s="90">
        <f>($C$4/E551)+F550</f>
        <v>67.97999726654561</v>
      </c>
      <c r="G551" s="58">
        <f t="shared" si="174"/>
        <v>5000</v>
      </c>
      <c r="H551" s="58">
        <v>3</v>
      </c>
      <c r="I551" s="90">
        <f>E551-E550</f>
        <v>0.75</v>
      </c>
      <c r="J551" s="58">
        <f>(0.5*VEHICLE!$C$71*VEHICLE!$C$28*VEHICLE!$C$27*'Drive Cycle'!E551^2)</f>
        <v>83.013940353959995</v>
      </c>
      <c r="K551" s="58">
        <f>IF(A551=1,VEHICLE!$S$5,IF(A551=2,VEHICLE!$Q$5,IF(A551=3,VEHICLE!$R$5,IF(A551=4,VEHICLE!$P$5,1))))</f>
        <v>278.27536500000002</v>
      </c>
      <c r="L551" s="58">
        <f t="shared" si="170"/>
        <v>0</v>
      </c>
      <c r="M551" s="58">
        <f t="shared" si="166"/>
        <v>0</v>
      </c>
      <c r="N551" s="58">
        <f t="shared" si="159"/>
        <v>0</v>
      </c>
      <c r="O551" s="58">
        <f t="shared" si="160"/>
        <v>0</v>
      </c>
      <c r="P551" s="58">
        <f t="shared" si="161"/>
        <v>361.28930535396</v>
      </c>
      <c r="Q551" s="58">
        <f>IF(H551=1,I551*VEHICLE!$C$69,IF(H551=2,VEHICLE!$C$70*I551,IF(H551=3,VEHICLE!$C$71*I551,0)))</f>
        <v>0.87525000000000008</v>
      </c>
      <c r="R551" s="58">
        <f>(J551+K551+O551+Q551)</f>
        <v>362.16455535396</v>
      </c>
      <c r="S551" s="58">
        <f t="shared" si="162"/>
        <v>362.16455535396</v>
      </c>
      <c r="T551" s="58">
        <f>ABS((R551)/((2*PI()*G551)/60))</f>
        <v>0.69168335036713302</v>
      </c>
      <c r="U551" s="58">
        <f t="shared" si="163"/>
        <v>1</v>
      </c>
      <c r="V551" s="58">
        <f>INDEX(BSFC!$D$4:$AD$26,MATCH(U551,BSFC!$B$4:$B$26,0),MATCH(G551,BSFC!$D$2:$AD$2,0))</f>
        <v>967.30583135999973</v>
      </c>
      <c r="W551" s="58">
        <f t="shared" si="167"/>
        <v>9.7312190640496371E-2</v>
      </c>
      <c r="X551" s="58">
        <f t="shared" si="164"/>
        <v>9.7312190640496371E-2</v>
      </c>
      <c r="Y551" s="58">
        <f t="shared" si="165"/>
        <v>0.30069466907913378</v>
      </c>
      <c r="Z551" s="79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x14ac:dyDescent="0.3">
      <c r="A552" s="55">
        <v>2</v>
      </c>
      <c r="B552" s="59" t="s">
        <v>110</v>
      </c>
      <c r="C552" s="59">
        <f t="shared" ref="C552:C615" si="175">C551+1</f>
        <v>549</v>
      </c>
      <c r="D552" s="59">
        <f t="shared" si="158"/>
        <v>23.28717</v>
      </c>
      <c r="E552" s="59">
        <f t="shared" si="173"/>
        <v>10.41</v>
      </c>
      <c r="F552" s="91">
        <f>($C$4/E552)+F551</f>
        <v>68.076058745892396</v>
      </c>
      <c r="G552" s="59">
        <f t="shared" si="174"/>
        <v>5500</v>
      </c>
      <c r="H552" s="59">
        <v>3</v>
      </c>
      <c r="I552" s="91">
        <f>E552-E551</f>
        <v>0.75</v>
      </c>
      <c r="J552" s="59">
        <f>(0.5*VEHICLE!$C$71*VEHICLE!$C$28*VEHICLE!$C$27*'Drive Cycle'!E552^2)</f>
        <v>96.404706069209993</v>
      </c>
      <c r="K552" s="59">
        <f>IF(A552=1,VEHICLE!$S$5,IF(A552=2,VEHICLE!$Q$5,IF(A552=3,VEHICLE!$R$5,IF(A552=4,VEHICLE!$P$5,1))))</f>
        <v>278.27536500000002</v>
      </c>
      <c r="L552" s="59">
        <f t="shared" si="170"/>
        <v>0</v>
      </c>
      <c r="M552" s="59">
        <f t="shared" si="166"/>
        <v>0</v>
      </c>
      <c r="N552" s="59">
        <f t="shared" si="159"/>
        <v>0</v>
      </c>
      <c r="O552" s="59">
        <f t="shared" si="160"/>
        <v>0</v>
      </c>
      <c r="P552" s="59">
        <f t="shared" si="161"/>
        <v>374.68007106921004</v>
      </c>
      <c r="Q552" s="59">
        <f>IF(H552=1,I552*VEHICLE!$C$69,IF(H552=2,VEHICLE!$C$70*I552,IF(H552=3,VEHICLE!$C$71*I552,0)))</f>
        <v>0.87525000000000008</v>
      </c>
      <c r="R552" s="59">
        <f>(J552+K552+O552+Q552)</f>
        <v>375.55532106921004</v>
      </c>
      <c r="S552" s="59">
        <f t="shared" si="162"/>
        <v>375.55532106921004</v>
      </c>
      <c r="T552" s="59">
        <f>ABS((R552)/((2*PI()*G552)/60))</f>
        <v>0.65205257184685761</v>
      </c>
      <c r="U552" s="59">
        <f t="shared" si="163"/>
        <v>1</v>
      </c>
      <c r="V552" s="59">
        <f>INDEX(BSFC!$D$4:$AD$26,MATCH(U552,BSFC!$B$4:$B$26,0),MATCH(G552,BSFC!$D$2:$AD$2,0))</f>
        <v>937.88833920000002</v>
      </c>
      <c r="W552" s="59">
        <f t="shared" si="167"/>
        <v>9.7841376765367832E-2</v>
      </c>
      <c r="X552" s="59">
        <f t="shared" si="164"/>
        <v>9.7841376765367832E-2</v>
      </c>
      <c r="Y552" s="59">
        <f t="shared" si="165"/>
        <v>0.30232985420498659</v>
      </c>
      <c r="Z552" s="79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x14ac:dyDescent="0.3">
      <c r="A553" s="55">
        <v>2</v>
      </c>
      <c r="B553" s="59" t="s">
        <v>110</v>
      </c>
      <c r="C553" s="59">
        <f t="shared" si="175"/>
        <v>550</v>
      </c>
      <c r="D553" s="59">
        <f t="shared" si="158"/>
        <v>25.524170000000002</v>
      </c>
      <c r="E553" s="59">
        <f>E552+1</f>
        <v>11.41</v>
      </c>
      <c r="F553" s="91">
        <f>($C$4/E553)+F552</f>
        <v>68.163701164823152</v>
      </c>
      <c r="G553" s="59">
        <f t="shared" si="174"/>
        <v>6000</v>
      </c>
      <c r="H553" s="59">
        <v>3</v>
      </c>
      <c r="I553" s="91">
        <f>E553-E552</f>
        <v>1</v>
      </c>
      <c r="J553" s="59">
        <f>(0.5*VEHICLE!$C$71*VEHICLE!$C$28*VEHICLE!$C$27*'Drive Cycle'!E553^2)</f>
        <v>115.81586753120997</v>
      </c>
      <c r="K553" s="59">
        <f>IF(A553=1,VEHICLE!$S$5,IF(A553=2,VEHICLE!$Q$5,IF(A553=3,VEHICLE!$R$5,IF(A553=4,VEHICLE!$P$5,1))))</f>
        <v>278.27536500000002</v>
      </c>
      <c r="L553" s="59">
        <f t="shared" si="170"/>
        <v>0</v>
      </c>
      <c r="M553" s="59">
        <f t="shared" si="166"/>
        <v>0</v>
      </c>
      <c r="N553" s="59">
        <f t="shared" si="159"/>
        <v>0</v>
      </c>
      <c r="O553" s="59">
        <f t="shared" si="160"/>
        <v>0</v>
      </c>
      <c r="P553" s="59">
        <f t="shared" si="161"/>
        <v>394.09123253120998</v>
      </c>
      <c r="Q553" s="59">
        <f>IF(H553=1,I553*VEHICLE!$C$69,IF(H553=2,VEHICLE!$C$70*I553,IF(H553=3,VEHICLE!$C$71*I553,0)))</f>
        <v>1.167</v>
      </c>
      <c r="R553" s="59">
        <f>(J553+K553+O553+Q553)</f>
        <v>395.25823253120996</v>
      </c>
      <c r="S553" s="59">
        <f t="shared" si="162"/>
        <v>395.25823253120996</v>
      </c>
      <c r="T553" s="59">
        <f>ABS((R553)/((2*PI()*G553)/60))</f>
        <v>0.62907301505107849</v>
      </c>
      <c r="U553" s="59">
        <f t="shared" si="163"/>
        <v>1</v>
      </c>
      <c r="V553" s="59">
        <f>INDEX(BSFC!$D$4:$AD$26,MATCH(U553,BSFC!$B$4:$B$26,0),MATCH(G553,BSFC!$D$2:$AD$2,0))</f>
        <v>933.91499472000044</v>
      </c>
      <c r="W553" s="59">
        <f t="shared" si="167"/>
        <v>0.1025382194853949</v>
      </c>
      <c r="X553" s="59">
        <f t="shared" si="164"/>
        <v>0.1025382194853949</v>
      </c>
      <c r="Y553" s="59">
        <f t="shared" si="165"/>
        <v>0.31684309820987022</v>
      </c>
      <c r="Z553" s="79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x14ac:dyDescent="0.3">
      <c r="A554" s="55">
        <v>2</v>
      </c>
      <c r="B554" s="59" t="s">
        <v>110</v>
      </c>
      <c r="C554" s="59">
        <f t="shared" si="175"/>
        <v>551</v>
      </c>
      <c r="D554" s="59">
        <f t="shared" si="158"/>
        <v>27.76117</v>
      </c>
      <c r="E554" s="59">
        <f t="shared" ref="E554:E555" si="176">E553+1</f>
        <v>12.41</v>
      </c>
      <c r="F554" s="91">
        <f>($C$4/E554)+F553</f>
        <v>68.244281342099541</v>
      </c>
      <c r="G554" s="59">
        <f t="shared" si="174"/>
        <v>6500</v>
      </c>
      <c r="H554" s="59">
        <v>3</v>
      </c>
      <c r="I554" s="91">
        <f>E554-E553</f>
        <v>1</v>
      </c>
      <c r="J554" s="59">
        <f>(0.5*VEHICLE!$C$71*VEHICLE!$C$28*VEHICLE!$C$27*'Drive Cycle'!E554^2)</f>
        <v>137.00623719320998</v>
      </c>
      <c r="K554" s="59">
        <f>IF(A554=1,VEHICLE!$S$5,IF(A554=2,VEHICLE!$Q$5,IF(A554=3,VEHICLE!$R$5,IF(A554=4,VEHICLE!$P$5,1))))</f>
        <v>278.27536500000002</v>
      </c>
      <c r="L554" s="59">
        <f t="shared" si="170"/>
        <v>0</v>
      </c>
      <c r="M554" s="59">
        <f t="shared" si="166"/>
        <v>0</v>
      </c>
      <c r="N554" s="59">
        <f t="shared" si="159"/>
        <v>0</v>
      </c>
      <c r="O554" s="59">
        <f t="shared" si="160"/>
        <v>0</v>
      </c>
      <c r="P554" s="59">
        <f t="shared" si="161"/>
        <v>415.28160219321001</v>
      </c>
      <c r="Q554" s="59">
        <f>IF(H554=1,I554*VEHICLE!$C$69,IF(H554=2,VEHICLE!$C$70*I554,IF(H554=3,VEHICLE!$C$71*I554,0)))</f>
        <v>1.167</v>
      </c>
      <c r="R554" s="59">
        <f>(J554+K554+O554+Q554)</f>
        <v>416.44860219320998</v>
      </c>
      <c r="S554" s="59">
        <f t="shared" si="162"/>
        <v>416.44860219320998</v>
      </c>
      <c r="T554" s="59">
        <f>ABS((R554)/((2*PI()*G554)/60))</f>
        <v>0.61181403307162796</v>
      </c>
      <c r="U554" s="59">
        <f t="shared" si="163"/>
        <v>1</v>
      </c>
      <c r="V554" s="59">
        <f>INDEX(BSFC!$D$4:$AD$26,MATCH(U554,BSFC!$B$4:$B$26,0),MATCH(G554,BSFC!$D$2:$AD$2,0))</f>
        <v>925.65735288000019</v>
      </c>
      <c r="W554" s="59">
        <f t="shared" si="167"/>
        <v>0.1070801974213175</v>
      </c>
      <c r="X554" s="59">
        <f t="shared" si="164"/>
        <v>0.1070801974213175</v>
      </c>
      <c r="Y554" s="59">
        <f t="shared" si="165"/>
        <v>0.33087781003187106</v>
      </c>
      <c r="Z554" s="79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x14ac:dyDescent="0.3">
      <c r="A555" s="55">
        <v>2</v>
      </c>
      <c r="B555" s="59" t="s">
        <v>110</v>
      </c>
      <c r="C555" s="59">
        <f t="shared" si="175"/>
        <v>552</v>
      </c>
      <c r="D555" s="59">
        <f t="shared" si="158"/>
        <v>29.998170000000002</v>
      </c>
      <c r="E555" s="59">
        <f t="shared" si="176"/>
        <v>13.41</v>
      </c>
      <c r="F555" s="91">
        <f>($C$4/E555)+F554</f>
        <v>68.318852557610356</v>
      </c>
      <c r="G555" s="59">
        <f t="shared" si="174"/>
        <v>7000</v>
      </c>
      <c r="H555" s="59">
        <v>3</v>
      </c>
      <c r="I555" s="91">
        <f>E555-E554</f>
        <v>1</v>
      </c>
      <c r="J555" s="59">
        <f>(0.5*VEHICLE!$C$71*VEHICLE!$C$28*VEHICLE!$C$27*'Drive Cycle'!E555^2)</f>
        <v>159.97581505520998</v>
      </c>
      <c r="K555" s="59">
        <f>IF(A555=1,VEHICLE!$S$5,IF(A555=2,VEHICLE!$Q$5,IF(A555=3,VEHICLE!$R$5,IF(A555=4,VEHICLE!$P$5,1))))</f>
        <v>278.27536500000002</v>
      </c>
      <c r="L555" s="59">
        <f t="shared" si="170"/>
        <v>0</v>
      </c>
      <c r="M555" s="59">
        <f t="shared" si="166"/>
        <v>0</v>
      </c>
      <c r="N555" s="59">
        <f t="shared" si="159"/>
        <v>0</v>
      </c>
      <c r="O555" s="59">
        <f t="shared" si="160"/>
        <v>0</v>
      </c>
      <c r="P555" s="59">
        <f t="shared" si="161"/>
        <v>438.25118005521</v>
      </c>
      <c r="Q555" s="59">
        <f>IF(H555=1,I555*VEHICLE!$C$69,IF(H555=2,VEHICLE!$C$70*I555,IF(H555=3,VEHICLE!$C$71*I555,0)))</f>
        <v>1.167</v>
      </c>
      <c r="R555" s="59">
        <f>(J555+K555+O555+Q555)</f>
        <v>439.41818005520997</v>
      </c>
      <c r="S555" s="59">
        <f t="shared" si="162"/>
        <v>439.41818005520997</v>
      </c>
      <c r="T555" s="59">
        <f>ABS((R555)/((2*PI()*G555)/60))</f>
        <v>0.59944778948769573</v>
      </c>
      <c r="U555" s="59">
        <f t="shared" si="163"/>
        <v>1</v>
      </c>
      <c r="V555" s="59">
        <f>INDEX(BSFC!$D$4:$AD$26,MATCH(U555,BSFC!$B$4:$B$26,0),MATCH(G555,BSFC!$D$2:$AD$2,0))</f>
        <v>920.25590927999997</v>
      </c>
      <c r="W555" s="59">
        <f t="shared" si="167"/>
        <v>0.11232699356690833</v>
      </c>
      <c r="X555" s="59">
        <f t="shared" si="164"/>
        <v>0.11232699356690833</v>
      </c>
      <c r="Y555" s="59">
        <f t="shared" si="165"/>
        <v>0.34709041012174668</v>
      </c>
      <c r="Z555" s="79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x14ac:dyDescent="0.3">
      <c r="A556" s="55">
        <v>2</v>
      </c>
      <c r="B556" s="59" t="s">
        <v>110</v>
      </c>
      <c r="C556" s="59">
        <f t="shared" si="175"/>
        <v>553</v>
      </c>
      <c r="D556" s="59">
        <f t="shared" si="158"/>
        <v>29.998170000000002</v>
      </c>
      <c r="E556" s="59">
        <f>E555</f>
        <v>13.41</v>
      </c>
      <c r="F556" s="91">
        <f>($C$4/E556)+F555</f>
        <v>68.393423773121171</v>
      </c>
      <c r="G556" s="59">
        <f>G555</f>
        <v>7000</v>
      </c>
      <c r="H556" s="59">
        <v>3</v>
      </c>
      <c r="I556" s="91">
        <f>E556-E555</f>
        <v>0</v>
      </c>
      <c r="J556" s="59">
        <f>(0.5*VEHICLE!$C$71*VEHICLE!$C$28*VEHICLE!$C$27*'Drive Cycle'!E556^2)</f>
        <v>159.97581505520998</v>
      </c>
      <c r="K556" s="59">
        <f>IF(A556=1,VEHICLE!$S$5,IF(A556=2,VEHICLE!$Q$5,IF(A556=3,VEHICLE!$R$5,IF(A556=4,VEHICLE!$P$5,1))))</f>
        <v>278.27536500000002</v>
      </c>
      <c r="L556" s="59">
        <f t="shared" si="170"/>
        <v>0</v>
      </c>
      <c r="M556" s="59">
        <f t="shared" si="166"/>
        <v>0</v>
      </c>
      <c r="N556" s="59">
        <f t="shared" si="159"/>
        <v>0</v>
      </c>
      <c r="O556" s="59">
        <f t="shared" si="160"/>
        <v>0</v>
      </c>
      <c r="P556" s="59">
        <f t="shared" si="161"/>
        <v>438.25118005521</v>
      </c>
      <c r="Q556" s="59">
        <f>IF(H556=1,I556*VEHICLE!$C$69,IF(H556=2,VEHICLE!$C$70*I556,IF(H556=3,VEHICLE!$C$71*I556,0)))</f>
        <v>0</v>
      </c>
      <c r="R556" s="59">
        <f>(J556+K556+O556+Q556)</f>
        <v>438.25118005521</v>
      </c>
      <c r="S556" s="59">
        <f t="shared" si="162"/>
        <v>438.25118005521</v>
      </c>
      <c r="T556" s="59">
        <f>ABS((R556)/((2*PI()*G556)/60))</f>
        <v>0.59785578532836803</v>
      </c>
      <c r="U556" s="59">
        <f t="shared" si="163"/>
        <v>1</v>
      </c>
      <c r="V556" s="59">
        <f>INDEX(BSFC!$D$4:$AD$26,MATCH(U556,BSFC!$B$4:$B$26,0),MATCH(G556,BSFC!$D$2:$AD$2,0))</f>
        <v>920.25590927999997</v>
      </c>
      <c r="W556" s="59">
        <f t="shared" si="167"/>
        <v>0.11202867727631674</v>
      </c>
      <c r="X556" s="59">
        <f t="shared" si="164"/>
        <v>0.11202867727631674</v>
      </c>
      <c r="Y556" s="59">
        <f t="shared" si="165"/>
        <v>0.34616861278381872</v>
      </c>
      <c r="Z556" s="79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x14ac:dyDescent="0.3">
      <c r="A557" s="55">
        <v>2</v>
      </c>
      <c r="B557" s="59" t="s">
        <v>110</v>
      </c>
      <c r="C557" s="59">
        <f t="shared" si="175"/>
        <v>554</v>
      </c>
      <c r="D557" s="59">
        <f t="shared" si="158"/>
        <v>29.998170000000002</v>
      </c>
      <c r="E557" s="59">
        <f t="shared" ref="E557:E561" si="177">E556</f>
        <v>13.41</v>
      </c>
      <c r="F557" s="91">
        <f>($C$4/E557)+F556</f>
        <v>68.467994988631986</v>
      </c>
      <c r="G557" s="59">
        <f t="shared" ref="G557:G563" si="178">G556</f>
        <v>7000</v>
      </c>
      <c r="H557" s="59">
        <v>3</v>
      </c>
      <c r="I557" s="91">
        <f>E557-E556</f>
        <v>0</v>
      </c>
      <c r="J557" s="59">
        <f>(0.5*VEHICLE!$C$71*VEHICLE!$C$28*VEHICLE!$C$27*'Drive Cycle'!E557^2)</f>
        <v>159.97581505520998</v>
      </c>
      <c r="K557" s="59">
        <f>IF(A557=1,VEHICLE!$S$5,IF(A557=2,VEHICLE!$Q$5,IF(A557=3,VEHICLE!$R$5,IF(A557=4,VEHICLE!$P$5,1))))</f>
        <v>278.27536500000002</v>
      </c>
      <c r="L557" s="59">
        <f t="shared" si="170"/>
        <v>0</v>
      </c>
      <c r="M557" s="59">
        <f t="shared" si="166"/>
        <v>0</v>
      </c>
      <c r="N557" s="59">
        <f t="shared" si="159"/>
        <v>0</v>
      </c>
      <c r="O557" s="59">
        <f t="shared" si="160"/>
        <v>0</v>
      </c>
      <c r="P557" s="59">
        <f t="shared" si="161"/>
        <v>438.25118005521</v>
      </c>
      <c r="Q557" s="59">
        <f>IF(H557=1,I557*VEHICLE!$C$69,IF(H557=2,VEHICLE!$C$70*I557,IF(H557=3,VEHICLE!$C$71*I557,0)))</f>
        <v>0</v>
      </c>
      <c r="R557" s="59">
        <f>(J557+K557+O557+Q557)</f>
        <v>438.25118005521</v>
      </c>
      <c r="S557" s="59">
        <f t="shared" si="162"/>
        <v>438.25118005521</v>
      </c>
      <c r="T557" s="59">
        <f>ABS((R557)/((2*PI()*G557)/60))</f>
        <v>0.59785578532836803</v>
      </c>
      <c r="U557" s="59">
        <f t="shared" si="163"/>
        <v>1</v>
      </c>
      <c r="V557" s="59">
        <f>INDEX(BSFC!$D$4:$AD$26,MATCH(U557,BSFC!$B$4:$B$26,0),MATCH(G557,BSFC!$D$2:$AD$2,0))</f>
        <v>920.25590927999997</v>
      </c>
      <c r="W557" s="59">
        <f t="shared" si="167"/>
        <v>0.11202867727631674</v>
      </c>
      <c r="X557" s="59">
        <f t="shared" si="164"/>
        <v>0.11202867727631674</v>
      </c>
      <c r="Y557" s="59">
        <f t="shared" si="165"/>
        <v>0.34616861278381872</v>
      </c>
      <c r="Z557" s="79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x14ac:dyDescent="0.3">
      <c r="A558" s="55">
        <v>2</v>
      </c>
      <c r="B558" s="59" t="s">
        <v>110</v>
      </c>
      <c r="C558" s="59">
        <f t="shared" si="175"/>
        <v>555</v>
      </c>
      <c r="D558" s="59">
        <f t="shared" si="158"/>
        <v>29.998170000000002</v>
      </c>
      <c r="E558" s="59">
        <f t="shared" si="177"/>
        <v>13.41</v>
      </c>
      <c r="F558" s="91">
        <f>($C$4/E558)+F557</f>
        <v>68.542566204142801</v>
      </c>
      <c r="G558" s="59">
        <f t="shared" si="178"/>
        <v>7000</v>
      </c>
      <c r="H558" s="59">
        <v>3</v>
      </c>
      <c r="I558" s="91">
        <f>E558-E557</f>
        <v>0</v>
      </c>
      <c r="J558" s="59">
        <f>(0.5*VEHICLE!$C$71*VEHICLE!$C$28*VEHICLE!$C$27*'Drive Cycle'!E558^2)</f>
        <v>159.97581505520998</v>
      </c>
      <c r="K558" s="59">
        <f>IF(A558=1,VEHICLE!$S$5,IF(A558=2,VEHICLE!$Q$5,IF(A558=3,VEHICLE!$R$5,IF(A558=4,VEHICLE!$P$5,1))))</f>
        <v>278.27536500000002</v>
      </c>
      <c r="L558" s="59">
        <f t="shared" si="170"/>
        <v>0</v>
      </c>
      <c r="M558" s="59">
        <f t="shared" si="166"/>
        <v>0</v>
      </c>
      <c r="N558" s="59">
        <f t="shared" si="159"/>
        <v>0</v>
      </c>
      <c r="O558" s="59">
        <f t="shared" si="160"/>
        <v>0</v>
      </c>
      <c r="P558" s="59">
        <f t="shared" si="161"/>
        <v>438.25118005521</v>
      </c>
      <c r="Q558" s="59">
        <f>IF(H558=1,I558*VEHICLE!$C$69,IF(H558=2,VEHICLE!$C$70*I558,IF(H558=3,VEHICLE!$C$71*I558,0)))</f>
        <v>0</v>
      </c>
      <c r="R558" s="59">
        <f>(J558+K558+O558+Q558)</f>
        <v>438.25118005521</v>
      </c>
      <c r="S558" s="59">
        <f t="shared" si="162"/>
        <v>438.25118005521</v>
      </c>
      <c r="T558" s="59">
        <f>ABS((R558)/((2*PI()*G558)/60))</f>
        <v>0.59785578532836803</v>
      </c>
      <c r="U558" s="59">
        <f t="shared" si="163"/>
        <v>1</v>
      </c>
      <c r="V558" s="59">
        <f>INDEX(BSFC!$D$4:$AD$26,MATCH(U558,BSFC!$B$4:$B$26,0),MATCH(G558,BSFC!$D$2:$AD$2,0))</f>
        <v>920.25590927999997</v>
      </c>
      <c r="W558" s="59">
        <f t="shared" si="167"/>
        <v>0.11202867727631674</v>
      </c>
      <c r="X558" s="59">
        <f t="shared" si="164"/>
        <v>0.11202867727631674</v>
      </c>
      <c r="Y558" s="59">
        <f t="shared" si="165"/>
        <v>0.34616861278381872</v>
      </c>
      <c r="Z558" s="79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x14ac:dyDescent="0.3">
      <c r="A559" s="55">
        <v>2</v>
      </c>
      <c r="B559" s="59" t="s">
        <v>110</v>
      </c>
      <c r="C559" s="59">
        <f t="shared" si="175"/>
        <v>556</v>
      </c>
      <c r="D559" s="59">
        <f t="shared" si="158"/>
        <v>29.998170000000002</v>
      </c>
      <c r="E559" s="59">
        <f t="shared" si="177"/>
        <v>13.41</v>
      </c>
      <c r="F559" s="91">
        <f>($C$4/E559)+F558</f>
        <v>68.617137419653616</v>
      </c>
      <c r="G559" s="59">
        <f t="shared" si="178"/>
        <v>7000</v>
      </c>
      <c r="H559" s="59">
        <v>3</v>
      </c>
      <c r="I559" s="91">
        <f>E559-E558</f>
        <v>0</v>
      </c>
      <c r="J559" s="59">
        <f>(0.5*VEHICLE!$C$71*VEHICLE!$C$28*VEHICLE!$C$27*'Drive Cycle'!E559^2)</f>
        <v>159.97581505520998</v>
      </c>
      <c r="K559" s="59">
        <f>IF(A559=1,VEHICLE!$S$5,IF(A559=2,VEHICLE!$Q$5,IF(A559=3,VEHICLE!$R$5,IF(A559=4,VEHICLE!$P$5,1))))</f>
        <v>278.27536500000002</v>
      </c>
      <c r="L559" s="59">
        <f t="shared" si="170"/>
        <v>0</v>
      </c>
      <c r="M559" s="59">
        <f t="shared" si="166"/>
        <v>0</v>
      </c>
      <c r="N559" s="59">
        <f t="shared" si="159"/>
        <v>0</v>
      </c>
      <c r="O559" s="59">
        <f t="shared" si="160"/>
        <v>0</v>
      </c>
      <c r="P559" s="59">
        <f t="shared" si="161"/>
        <v>438.25118005521</v>
      </c>
      <c r="Q559" s="59">
        <f>IF(H559=1,I559*VEHICLE!$C$69,IF(H559=2,VEHICLE!$C$70*I559,IF(H559=3,VEHICLE!$C$71*I559,0)))</f>
        <v>0</v>
      </c>
      <c r="R559" s="59">
        <f>(J559+K559+O559+Q559)</f>
        <v>438.25118005521</v>
      </c>
      <c r="S559" s="59">
        <f t="shared" si="162"/>
        <v>438.25118005521</v>
      </c>
      <c r="T559" s="59">
        <f>ABS((R559)/((2*PI()*G559)/60))</f>
        <v>0.59785578532836803</v>
      </c>
      <c r="U559" s="59">
        <f t="shared" si="163"/>
        <v>1</v>
      </c>
      <c r="V559" s="59">
        <f>INDEX(BSFC!$D$4:$AD$26,MATCH(U559,BSFC!$B$4:$B$26,0),MATCH(G559,BSFC!$D$2:$AD$2,0))</f>
        <v>920.25590927999997</v>
      </c>
      <c r="W559" s="59">
        <f t="shared" si="167"/>
        <v>0.11202867727631674</v>
      </c>
      <c r="X559" s="59">
        <f t="shared" si="164"/>
        <v>0.11202867727631674</v>
      </c>
      <c r="Y559" s="59">
        <f t="shared" si="165"/>
        <v>0.34616861278381872</v>
      </c>
      <c r="Z559" s="79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x14ac:dyDescent="0.3">
      <c r="A560" s="55">
        <v>2</v>
      </c>
      <c r="B560" s="59" t="s">
        <v>110</v>
      </c>
      <c r="C560" s="59">
        <f t="shared" si="175"/>
        <v>557</v>
      </c>
      <c r="D560" s="59">
        <f t="shared" si="158"/>
        <v>29.998170000000002</v>
      </c>
      <c r="E560" s="59">
        <f t="shared" si="177"/>
        <v>13.41</v>
      </c>
      <c r="F560" s="91">
        <f>($C$4/E560)+F559</f>
        <v>68.691708635164431</v>
      </c>
      <c r="G560" s="59">
        <f t="shared" si="178"/>
        <v>7000</v>
      </c>
      <c r="H560" s="59">
        <v>3</v>
      </c>
      <c r="I560" s="91">
        <f>E560-E559</f>
        <v>0</v>
      </c>
      <c r="J560" s="59">
        <f>(0.5*VEHICLE!$C$71*VEHICLE!$C$28*VEHICLE!$C$27*'Drive Cycle'!E560^2)</f>
        <v>159.97581505520998</v>
      </c>
      <c r="K560" s="59">
        <f>IF(A560=1,VEHICLE!$S$5,IF(A560=2,VEHICLE!$Q$5,IF(A560=3,VEHICLE!$R$5,IF(A560=4,VEHICLE!$P$5,1))))</f>
        <v>278.27536500000002</v>
      </c>
      <c r="L560" s="59">
        <f t="shared" si="170"/>
        <v>0</v>
      </c>
      <c r="M560" s="59">
        <f t="shared" si="166"/>
        <v>0</v>
      </c>
      <c r="N560" s="59">
        <f t="shared" si="159"/>
        <v>0</v>
      </c>
      <c r="O560" s="59">
        <f t="shared" si="160"/>
        <v>0</v>
      </c>
      <c r="P560" s="59">
        <f t="shared" si="161"/>
        <v>438.25118005521</v>
      </c>
      <c r="Q560" s="59">
        <f>IF(H560=1,I560*VEHICLE!$C$69,IF(H560=2,VEHICLE!$C$70*I560,IF(H560=3,VEHICLE!$C$71*I560,0)))</f>
        <v>0</v>
      </c>
      <c r="R560" s="59">
        <f>(J560+K560+O560+Q560)</f>
        <v>438.25118005521</v>
      </c>
      <c r="S560" s="59">
        <f t="shared" si="162"/>
        <v>438.25118005521</v>
      </c>
      <c r="T560" s="59">
        <f>ABS((R560)/((2*PI()*G560)/60))</f>
        <v>0.59785578532836803</v>
      </c>
      <c r="U560" s="59">
        <f t="shared" si="163"/>
        <v>1</v>
      </c>
      <c r="V560" s="59">
        <f>INDEX(BSFC!$D$4:$AD$26,MATCH(U560,BSFC!$B$4:$B$26,0),MATCH(G560,BSFC!$D$2:$AD$2,0))</f>
        <v>920.25590927999997</v>
      </c>
      <c r="W560" s="59">
        <f t="shared" si="167"/>
        <v>0.11202867727631674</v>
      </c>
      <c r="X560" s="59">
        <f t="shared" si="164"/>
        <v>0.11202867727631674</v>
      </c>
      <c r="Y560" s="59">
        <f t="shared" si="165"/>
        <v>0.34616861278381872</v>
      </c>
      <c r="Z560" s="79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x14ac:dyDescent="0.3">
      <c r="A561" s="55">
        <v>2</v>
      </c>
      <c r="B561" s="59" t="s">
        <v>110</v>
      </c>
      <c r="C561" s="59">
        <f t="shared" si="175"/>
        <v>558</v>
      </c>
      <c r="D561" s="59">
        <f t="shared" si="158"/>
        <v>29.998170000000002</v>
      </c>
      <c r="E561" s="59">
        <f t="shared" si="177"/>
        <v>13.41</v>
      </c>
      <c r="F561" s="91">
        <f>($C$4/E561)+F560</f>
        <v>68.766279850675247</v>
      </c>
      <c r="G561" s="59">
        <f t="shared" si="178"/>
        <v>7000</v>
      </c>
      <c r="H561" s="59">
        <v>3</v>
      </c>
      <c r="I561" s="91">
        <f>E561-E560</f>
        <v>0</v>
      </c>
      <c r="J561" s="59">
        <f>(0.5*VEHICLE!$C$71*VEHICLE!$C$28*VEHICLE!$C$27*'Drive Cycle'!E561^2)</f>
        <v>159.97581505520998</v>
      </c>
      <c r="K561" s="59">
        <f>IF(A561=1,VEHICLE!$S$5,IF(A561=2,VEHICLE!$Q$5,IF(A561=3,VEHICLE!$R$5,IF(A561=4,VEHICLE!$P$5,1))))</f>
        <v>278.27536500000002</v>
      </c>
      <c r="L561" s="59">
        <f t="shared" si="170"/>
        <v>0</v>
      </c>
      <c r="M561" s="59">
        <f t="shared" si="166"/>
        <v>0</v>
      </c>
      <c r="N561" s="59">
        <f t="shared" si="159"/>
        <v>0</v>
      </c>
      <c r="O561" s="59">
        <f t="shared" si="160"/>
        <v>0</v>
      </c>
      <c r="P561" s="59">
        <f t="shared" si="161"/>
        <v>438.25118005521</v>
      </c>
      <c r="Q561" s="59">
        <f>IF(H561=1,I561*VEHICLE!$C$69,IF(H561=2,VEHICLE!$C$70*I561,IF(H561=3,VEHICLE!$C$71*I561,0)))</f>
        <v>0</v>
      </c>
      <c r="R561" s="59">
        <f>(J561+K561+O561+Q561)</f>
        <v>438.25118005521</v>
      </c>
      <c r="S561" s="59">
        <f t="shared" si="162"/>
        <v>438.25118005521</v>
      </c>
      <c r="T561" s="59">
        <f>ABS((R561)/((2*PI()*G561)/60))</f>
        <v>0.59785578532836803</v>
      </c>
      <c r="U561" s="59">
        <f t="shared" si="163"/>
        <v>1</v>
      </c>
      <c r="V561" s="59">
        <f>INDEX(BSFC!$D$4:$AD$26,MATCH(U561,BSFC!$B$4:$B$26,0),MATCH(G561,BSFC!$D$2:$AD$2,0))</f>
        <v>920.25590927999997</v>
      </c>
      <c r="W561" s="59">
        <f t="shared" si="167"/>
        <v>0.11202867727631674</v>
      </c>
      <c r="X561" s="59">
        <f t="shared" si="164"/>
        <v>0.11202867727631674</v>
      </c>
      <c r="Y561" s="59">
        <f t="shared" si="165"/>
        <v>0.34616861278381872</v>
      </c>
      <c r="Z561" s="79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x14ac:dyDescent="0.3">
      <c r="A562" s="55">
        <v>2</v>
      </c>
      <c r="B562" s="59" t="s">
        <v>110</v>
      </c>
      <c r="C562" s="59">
        <f t="shared" si="175"/>
        <v>559</v>
      </c>
      <c r="D562" s="59">
        <f t="shared" si="158"/>
        <v>28.320420000000002</v>
      </c>
      <c r="E562" s="59">
        <f t="shared" ref="E562:E565" si="179">E561-0.75</f>
        <v>12.66</v>
      </c>
      <c r="F562" s="91">
        <f>($C$4/E562)+F561</f>
        <v>68.845268792223436</v>
      </c>
      <c r="G562" s="59">
        <f t="shared" si="178"/>
        <v>7000</v>
      </c>
      <c r="H562" s="59">
        <v>3</v>
      </c>
      <c r="I562" s="91">
        <f>E562-E561</f>
        <v>-0.75</v>
      </c>
      <c r="J562" s="59">
        <f>(0.5*VEHICLE!$C$71*VEHICLE!$C$28*VEHICLE!$C$27*'Drive Cycle'!E562^2)</f>
        <v>142.58183088995997</v>
      </c>
      <c r="K562" s="59">
        <f>IF(A562=1,VEHICLE!$S$5,IF(A562=2,VEHICLE!$Q$5,IF(A562=3,VEHICLE!$R$5,IF(A562=4,VEHICLE!$P$5,1))))</f>
        <v>278.27536500000002</v>
      </c>
      <c r="L562" s="59">
        <f t="shared" si="170"/>
        <v>0</v>
      </c>
      <c r="M562" s="59">
        <f t="shared" si="166"/>
        <v>0</v>
      </c>
      <c r="N562" s="59">
        <f t="shared" si="159"/>
        <v>0</v>
      </c>
      <c r="O562" s="59">
        <f t="shared" si="160"/>
        <v>0</v>
      </c>
      <c r="P562" s="59">
        <f t="shared" si="161"/>
        <v>420.85719588996</v>
      </c>
      <c r="Q562" s="59">
        <f>IF(H562=1,I562*VEHICLE!$C$69,IF(H562=2,VEHICLE!$C$70*I562,IF(H562=3,VEHICLE!$C$71*I562,0)))</f>
        <v>-0.87525000000000008</v>
      </c>
      <c r="R562" s="59">
        <f>(J562+K562+O562+Q562)</f>
        <v>419.98194588996</v>
      </c>
      <c r="S562" s="59">
        <f t="shared" si="162"/>
        <v>419.98194588996</v>
      </c>
      <c r="T562" s="59">
        <f>ABS((R562)/((2*PI()*G562)/60))</f>
        <v>0.57293316598062904</v>
      </c>
      <c r="U562" s="59">
        <f t="shared" si="163"/>
        <v>1</v>
      </c>
      <c r="V562" s="59">
        <f>INDEX(BSFC!$D$4:$AD$26,MATCH(U562,BSFC!$B$4:$B$26,0),MATCH(G562,BSFC!$D$2:$AD$2,0))</f>
        <v>920.25590927999997</v>
      </c>
      <c r="W562" s="59">
        <f t="shared" si="167"/>
        <v>0.10735857430448581</v>
      </c>
      <c r="X562" s="59">
        <f t="shared" si="164"/>
        <v>0.10735857430448581</v>
      </c>
      <c r="Y562" s="59">
        <f t="shared" si="165"/>
        <v>0.33173799460086112</v>
      </c>
      <c r="Z562" s="79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x14ac:dyDescent="0.3">
      <c r="A563" s="55">
        <v>2</v>
      </c>
      <c r="B563" s="59" t="s">
        <v>110</v>
      </c>
      <c r="C563" s="59">
        <f t="shared" si="175"/>
        <v>560</v>
      </c>
      <c r="D563" s="59">
        <f t="shared" si="158"/>
        <v>26.642670000000003</v>
      </c>
      <c r="E563" s="59">
        <f t="shared" si="179"/>
        <v>11.91</v>
      </c>
      <c r="F563" s="91">
        <f>($C$4/E563)+F562</f>
        <v>68.929231848478679</v>
      </c>
      <c r="G563" s="59">
        <f>G562-500</f>
        <v>6500</v>
      </c>
      <c r="H563" s="59">
        <v>2</v>
      </c>
      <c r="I563" s="91">
        <f>E563-E562</f>
        <v>-0.75</v>
      </c>
      <c r="J563" s="59">
        <f>(0.5*VEHICLE!$C$71*VEHICLE!$C$28*VEHICLE!$C$27*'Drive Cycle'!E563^2)</f>
        <v>126.18865133721</v>
      </c>
      <c r="K563" s="59">
        <f>IF(A563=1,VEHICLE!$S$5,IF(A563=2,VEHICLE!$Q$5,IF(A563=3,VEHICLE!$R$5,IF(A563=4,VEHICLE!$P$5,1))))</f>
        <v>278.27536500000002</v>
      </c>
      <c r="L563" s="59">
        <f t="shared" si="170"/>
        <v>0</v>
      </c>
      <c r="M563" s="59">
        <f t="shared" si="166"/>
        <v>0</v>
      </c>
      <c r="N563" s="59">
        <f t="shared" si="159"/>
        <v>0</v>
      </c>
      <c r="O563" s="59">
        <f t="shared" si="160"/>
        <v>0</v>
      </c>
      <c r="P563" s="59">
        <f t="shared" si="161"/>
        <v>404.46401633721001</v>
      </c>
      <c r="Q563" s="59">
        <f>IF(H563=1,I563*VEHICLE!$C$69,IF(H563=2,VEHICLE!$C$70*I563,IF(H563=3,VEHICLE!$C$71*I563,0)))</f>
        <v>-438.86136489758803</v>
      </c>
      <c r="R563" s="59">
        <f>(J563+K563+O563+Q563)</f>
        <v>-34.39734856037802</v>
      </c>
      <c r="S563" s="59">
        <f t="shared" si="162"/>
        <v>34.39734856037802</v>
      </c>
      <c r="T563" s="59">
        <f>ABS((R563)/((2*PI()*G563)/60))</f>
        <v>5.0533920485898942E-2</v>
      </c>
      <c r="U563" s="59">
        <f t="shared" si="163"/>
        <v>1</v>
      </c>
      <c r="V563" s="59">
        <f>INDEX(BSFC!$D$4:$AD$26,MATCH(U563,BSFC!$B$4:$B$26,0),MATCH(G563,BSFC!$D$2:$AD$2,0))</f>
        <v>925.65735288000019</v>
      </c>
      <c r="W563" s="59">
        <f t="shared" si="167"/>
        <v>-8.8444885040250571E-3</v>
      </c>
      <c r="X563" s="59">
        <f t="shared" si="164"/>
        <v>8.8444885040250571E-3</v>
      </c>
      <c r="Y563" s="59">
        <f t="shared" si="165"/>
        <v>-2.7329469477437425E-2</v>
      </c>
      <c r="Z563" s="79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x14ac:dyDescent="0.3">
      <c r="A564" s="55">
        <v>2</v>
      </c>
      <c r="B564" s="59" t="s">
        <v>110</v>
      </c>
      <c r="C564" s="59">
        <f t="shared" si="175"/>
        <v>561</v>
      </c>
      <c r="D564" s="59">
        <f t="shared" si="158"/>
        <v>24.964920000000003</v>
      </c>
      <c r="E564" s="59">
        <f t="shared" si="179"/>
        <v>11.16</v>
      </c>
      <c r="F564" s="91">
        <f>($C$4/E564)+F563</f>
        <v>69.018837583245698</v>
      </c>
      <c r="G564" s="59">
        <f t="shared" ref="G564:G574" si="180">G563-500</f>
        <v>6000</v>
      </c>
      <c r="H564" s="59">
        <v>2</v>
      </c>
      <c r="I564" s="91">
        <f>E564-E563</f>
        <v>-0.75</v>
      </c>
      <c r="J564" s="59">
        <f>(0.5*VEHICLE!$C$71*VEHICLE!$C$28*VEHICLE!$C$27*'Drive Cycle'!E564^2)</f>
        <v>110.79627639696</v>
      </c>
      <c r="K564" s="59">
        <f>IF(A564=1,VEHICLE!$S$5,IF(A564=2,VEHICLE!$Q$5,IF(A564=3,VEHICLE!$R$5,IF(A564=4,VEHICLE!$P$5,1))))</f>
        <v>278.27536500000002</v>
      </c>
      <c r="L564" s="59">
        <f t="shared" si="170"/>
        <v>0</v>
      </c>
      <c r="M564" s="59">
        <f t="shared" si="166"/>
        <v>0</v>
      </c>
      <c r="N564" s="59">
        <f t="shared" si="159"/>
        <v>0</v>
      </c>
      <c r="O564" s="59">
        <f t="shared" si="160"/>
        <v>0</v>
      </c>
      <c r="P564" s="59">
        <f t="shared" si="161"/>
        <v>389.07164139695999</v>
      </c>
      <c r="Q564" s="59">
        <f>IF(H564=1,I564*VEHICLE!$C$69,IF(H564=2,VEHICLE!$C$70*I564,IF(H564=3,VEHICLE!$C$71*I564,0)))</f>
        <v>-438.86136489758803</v>
      </c>
      <c r="R564" s="59">
        <f>(J564+K564+O564+Q564)</f>
        <v>-49.789723500628043</v>
      </c>
      <c r="S564" s="59">
        <f t="shared" si="162"/>
        <v>49.789723500628043</v>
      </c>
      <c r="T564" s="59">
        <f>ABS((R564)/((2*PI()*G564)/60))</f>
        <v>7.9242806103036592E-2</v>
      </c>
      <c r="U564" s="59">
        <f t="shared" si="163"/>
        <v>1</v>
      </c>
      <c r="V564" s="59">
        <f>INDEX(BSFC!$D$4:$AD$26,MATCH(U564,BSFC!$B$4:$B$26,0),MATCH(G564,BSFC!$D$2:$AD$2,0))</f>
        <v>933.91499472000044</v>
      </c>
      <c r="W564" s="59">
        <f t="shared" si="167"/>
        <v>-1.2916491488944257E-2</v>
      </c>
      <c r="X564" s="59">
        <f t="shared" si="164"/>
        <v>1.2916491488944257E-2</v>
      </c>
      <c r="Y564" s="59">
        <f t="shared" si="165"/>
        <v>-3.9911958700837753E-2</v>
      </c>
      <c r="Z564" s="79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x14ac:dyDescent="0.3">
      <c r="A565" s="55">
        <v>2</v>
      </c>
      <c r="B565" s="59" t="s">
        <v>110</v>
      </c>
      <c r="C565" s="59">
        <f t="shared" si="175"/>
        <v>562</v>
      </c>
      <c r="D565" s="59">
        <f t="shared" si="158"/>
        <v>23.28717</v>
      </c>
      <c r="E565" s="59">
        <f t="shared" si="179"/>
        <v>10.41</v>
      </c>
      <c r="F565" s="91">
        <f>($C$4/E565)+F564</f>
        <v>69.114899062592485</v>
      </c>
      <c r="G565" s="59">
        <f t="shared" si="180"/>
        <v>5500</v>
      </c>
      <c r="H565" s="59">
        <v>2</v>
      </c>
      <c r="I565" s="91">
        <f>E565-E564</f>
        <v>-0.75</v>
      </c>
      <c r="J565" s="59">
        <f>(0.5*VEHICLE!$C$71*VEHICLE!$C$28*VEHICLE!$C$27*'Drive Cycle'!E565^2)</f>
        <v>96.404706069209993</v>
      </c>
      <c r="K565" s="59">
        <f>IF(A565=1,VEHICLE!$S$5,IF(A565=2,VEHICLE!$Q$5,IF(A565=3,VEHICLE!$R$5,IF(A565=4,VEHICLE!$P$5,1))))</f>
        <v>278.27536500000002</v>
      </c>
      <c r="L565" s="59">
        <f t="shared" si="170"/>
        <v>0</v>
      </c>
      <c r="M565" s="59">
        <f t="shared" si="166"/>
        <v>0</v>
      </c>
      <c r="N565" s="59">
        <f t="shared" si="159"/>
        <v>0</v>
      </c>
      <c r="O565" s="59">
        <f t="shared" si="160"/>
        <v>0</v>
      </c>
      <c r="P565" s="59">
        <f t="shared" si="161"/>
        <v>374.68007106921004</v>
      </c>
      <c r="Q565" s="59">
        <f>IF(H565=1,I565*VEHICLE!$C$69,IF(H565=2,VEHICLE!$C$70*I565,IF(H565=3,VEHICLE!$C$71*I565,0)))</f>
        <v>-438.86136489758803</v>
      </c>
      <c r="R565" s="59">
        <f>(J565+K565+O565+Q565)</f>
        <v>-64.181293828377989</v>
      </c>
      <c r="S565" s="59">
        <f t="shared" si="162"/>
        <v>64.181293828377989</v>
      </c>
      <c r="T565" s="59">
        <f>ABS((R565)/((2*PI()*G565)/60))</f>
        <v>0.11143385636530598</v>
      </c>
      <c r="U565" s="59">
        <f t="shared" si="163"/>
        <v>1</v>
      </c>
      <c r="V565" s="59">
        <f>INDEX(BSFC!$D$4:$AD$26,MATCH(U565,BSFC!$B$4:$B$26,0),MATCH(G565,BSFC!$D$2:$AD$2,0))</f>
        <v>937.88833920000002</v>
      </c>
      <c r="W565" s="59">
        <f t="shared" si="167"/>
        <v>-1.6720801965667956E-2</v>
      </c>
      <c r="X565" s="59">
        <f t="shared" si="164"/>
        <v>1.6720801965667956E-2</v>
      </c>
      <c r="Y565" s="59">
        <f t="shared" si="165"/>
        <v>-5.1667278073913983E-2</v>
      </c>
      <c r="Z565" s="79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x14ac:dyDescent="0.3">
      <c r="A566" s="55">
        <v>2</v>
      </c>
      <c r="B566" s="59" t="s">
        <v>110</v>
      </c>
      <c r="C566" s="59">
        <f t="shared" si="175"/>
        <v>563</v>
      </c>
      <c r="D566" s="59">
        <f t="shared" si="158"/>
        <v>21.60942</v>
      </c>
      <c r="E566" s="59">
        <f>E565-0.75</f>
        <v>9.66</v>
      </c>
      <c r="F566" s="91">
        <f>($C$4/E566)+F565</f>
        <v>69.21841873132955</v>
      </c>
      <c r="G566" s="59">
        <f t="shared" si="180"/>
        <v>5000</v>
      </c>
      <c r="H566" s="59">
        <v>2</v>
      </c>
      <c r="I566" s="91">
        <f>E566-E565</f>
        <v>-0.75</v>
      </c>
      <c r="J566" s="59">
        <f>(0.5*VEHICLE!$C$71*VEHICLE!$C$28*VEHICLE!$C$27*'Drive Cycle'!E566^2)</f>
        <v>83.013940353959995</v>
      </c>
      <c r="K566" s="59">
        <f>IF(A566=1,VEHICLE!$S$5,IF(A566=2,VEHICLE!$Q$5,IF(A566=3,VEHICLE!$R$5,IF(A566=4,VEHICLE!$P$5,1))))</f>
        <v>278.27536500000002</v>
      </c>
      <c r="L566" s="59">
        <f t="shared" si="170"/>
        <v>0</v>
      </c>
      <c r="M566" s="59">
        <f t="shared" si="166"/>
        <v>0</v>
      </c>
      <c r="N566" s="59">
        <f t="shared" si="159"/>
        <v>0</v>
      </c>
      <c r="O566" s="59">
        <f t="shared" si="160"/>
        <v>0</v>
      </c>
      <c r="P566" s="59">
        <f t="shared" si="161"/>
        <v>361.28930535396</v>
      </c>
      <c r="Q566" s="59">
        <f>IF(H566=1,I566*VEHICLE!$C$69,IF(H566=2,VEHICLE!$C$70*I566,IF(H566=3,VEHICLE!$C$71*I566,0)))</f>
        <v>-438.86136489758803</v>
      </c>
      <c r="R566" s="59">
        <f>(J566+K566+O566+Q566)</f>
        <v>-77.572059543628029</v>
      </c>
      <c r="S566" s="59">
        <f t="shared" si="162"/>
        <v>77.572059543628029</v>
      </c>
      <c r="T566" s="59">
        <f>ABS((R566)/((2*PI()*G566)/60))</f>
        <v>0.14815172066624682</v>
      </c>
      <c r="U566" s="59">
        <f t="shared" si="163"/>
        <v>1</v>
      </c>
      <c r="V566" s="59">
        <f>INDEX(BSFC!$D$4:$AD$26,MATCH(U566,BSFC!$B$4:$B$26,0),MATCH(G566,BSFC!$D$2:$AD$2,0))</f>
        <v>967.30583135999973</v>
      </c>
      <c r="W566" s="59">
        <f t="shared" si="167"/>
        <v>-2.0843307096432361E-2</v>
      </c>
      <c r="X566" s="59">
        <f t="shared" si="164"/>
        <v>2.0843307096432361E-2</v>
      </c>
      <c r="Y566" s="59">
        <f t="shared" si="165"/>
        <v>-6.4405818927975991E-2</v>
      </c>
      <c r="Z566" s="79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x14ac:dyDescent="0.3">
      <c r="A567" s="55">
        <v>2</v>
      </c>
      <c r="B567" s="59" t="s">
        <v>110</v>
      </c>
      <c r="C567" s="59">
        <f t="shared" si="175"/>
        <v>564</v>
      </c>
      <c r="D567" s="59">
        <f t="shared" si="158"/>
        <v>19.93167</v>
      </c>
      <c r="E567" s="59">
        <f t="shared" ref="E567:E575" si="181">E566-0.75</f>
        <v>8.91</v>
      </c>
      <c r="F567" s="91">
        <f>($C$4/E567)+F566</f>
        <v>69.330652176896322</v>
      </c>
      <c r="G567" s="59">
        <f t="shared" si="180"/>
        <v>4500</v>
      </c>
      <c r="H567" s="59">
        <v>2</v>
      </c>
      <c r="I567" s="91">
        <f>E567-E566</f>
        <v>-0.75</v>
      </c>
      <c r="J567" s="59">
        <f>(0.5*VEHICLE!$C$71*VEHICLE!$C$28*VEHICLE!$C$27*'Drive Cycle'!E567^2)</f>
        <v>70.623979251210002</v>
      </c>
      <c r="K567" s="59">
        <f>IF(A567=1,VEHICLE!$S$5,IF(A567=2,VEHICLE!$Q$5,IF(A567=3,VEHICLE!$R$5,IF(A567=4,VEHICLE!$P$5,1))))</f>
        <v>278.27536500000002</v>
      </c>
      <c r="L567" s="59">
        <f t="shared" si="170"/>
        <v>0</v>
      </c>
      <c r="M567" s="59">
        <f t="shared" si="166"/>
        <v>0</v>
      </c>
      <c r="N567" s="59">
        <f t="shared" si="159"/>
        <v>0</v>
      </c>
      <c r="O567" s="59">
        <f t="shared" si="160"/>
        <v>0</v>
      </c>
      <c r="P567" s="59">
        <f t="shared" si="161"/>
        <v>348.89934425121004</v>
      </c>
      <c r="Q567" s="59">
        <f>IF(H567=1,I567*VEHICLE!$C$69,IF(H567=2,VEHICLE!$C$70*I567,IF(H567=3,VEHICLE!$C$71*I567,0)))</f>
        <v>-438.86136489758803</v>
      </c>
      <c r="R567" s="59">
        <f>(J567+K567+O567+Q567)</f>
        <v>-89.962020646377994</v>
      </c>
      <c r="S567" s="59">
        <f t="shared" si="162"/>
        <v>89.962020646377994</v>
      </c>
      <c r="T567" s="59">
        <f>ABS((R567)/((2*PI()*G567)/60))</f>
        <v>0.19090533701874937</v>
      </c>
      <c r="U567" s="59">
        <f t="shared" si="163"/>
        <v>1</v>
      </c>
      <c r="V567" s="59">
        <f>INDEX(BSFC!$D$4:$AD$26,MATCH(U567,BSFC!$B$4:$B$26,0),MATCH(G567,BSFC!$D$2:$AD$2,0))</f>
        <v>996.72332351999967</v>
      </c>
      <c r="W567" s="59">
        <f t="shared" si="167"/>
        <v>-2.4907567835897971E-2</v>
      </c>
      <c r="X567" s="59">
        <f t="shared" si="164"/>
        <v>2.4907567835897971E-2</v>
      </c>
      <c r="Y567" s="59">
        <f t="shared" si="165"/>
        <v>-7.6964384612924722E-2</v>
      </c>
      <c r="Z567" s="79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x14ac:dyDescent="0.3">
      <c r="A568" s="55">
        <v>2</v>
      </c>
      <c r="B568" s="59" t="s">
        <v>110</v>
      </c>
      <c r="C568" s="59">
        <f t="shared" si="175"/>
        <v>565</v>
      </c>
      <c r="D568" s="59">
        <f t="shared" si="158"/>
        <v>18.253920000000001</v>
      </c>
      <c r="E568" s="59">
        <f t="shared" si="181"/>
        <v>8.16</v>
      </c>
      <c r="F568" s="91">
        <f>($C$4/E568)+F567</f>
        <v>69.453201196504168</v>
      </c>
      <c r="G568" s="59">
        <f t="shared" si="180"/>
        <v>4000</v>
      </c>
      <c r="H568" s="59">
        <v>2</v>
      </c>
      <c r="I568" s="91">
        <f>E568-E567</f>
        <v>-0.75</v>
      </c>
      <c r="J568" s="59">
        <f>(0.5*VEHICLE!$C$71*VEHICLE!$C$28*VEHICLE!$C$27*'Drive Cycle'!E568^2)</f>
        <v>59.234822760959993</v>
      </c>
      <c r="K568" s="59">
        <f>IF(A568=1,VEHICLE!$S$5,IF(A568=2,VEHICLE!$Q$5,IF(A568=3,VEHICLE!$R$5,IF(A568=4,VEHICLE!$P$5,1))))</f>
        <v>278.27536500000002</v>
      </c>
      <c r="L568" s="59">
        <f t="shared" si="170"/>
        <v>0</v>
      </c>
      <c r="M568" s="59">
        <f t="shared" si="166"/>
        <v>0</v>
      </c>
      <c r="N568" s="59">
        <f t="shared" si="159"/>
        <v>0</v>
      </c>
      <c r="O568" s="59">
        <f t="shared" si="160"/>
        <v>0</v>
      </c>
      <c r="P568" s="59">
        <f t="shared" si="161"/>
        <v>337.51018776096004</v>
      </c>
      <c r="Q568" s="59">
        <f>IF(H568=1,I568*VEHICLE!$C$69,IF(H568=2,VEHICLE!$C$70*I568,IF(H568=3,VEHICLE!$C$71*I568,0)))</f>
        <v>-438.86136489758803</v>
      </c>
      <c r="R568" s="59">
        <f>(J568+K568+O568+Q568)</f>
        <v>-101.351177136628</v>
      </c>
      <c r="S568" s="59">
        <f t="shared" si="162"/>
        <v>101.351177136628</v>
      </c>
      <c r="T568" s="59">
        <f>ABS((R568)/((2*PI()*G568)/60))</f>
        <v>0.24195811244214951</v>
      </c>
      <c r="U568" s="59">
        <f t="shared" si="163"/>
        <v>1</v>
      </c>
      <c r="V568" s="59">
        <f>INDEX(BSFC!$D$4:$AD$26,MATCH(U568,BSFC!$B$4:$B$26,0),MATCH(G568,BSFC!$D$2:$AD$2,0))</f>
        <v>1026.1408156799998</v>
      </c>
      <c r="W568" s="59">
        <f t="shared" si="167"/>
        <v>-2.8889049882529893E-2</v>
      </c>
      <c r="X568" s="59">
        <f t="shared" si="164"/>
        <v>2.8889049882529893E-2</v>
      </c>
      <c r="Y568" s="59">
        <f t="shared" si="165"/>
        <v>-8.9267164137017366E-2</v>
      </c>
      <c r="Z568" s="79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x14ac:dyDescent="0.3">
      <c r="A569" s="55">
        <v>2</v>
      </c>
      <c r="B569" s="59" t="s">
        <v>110</v>
      </c>
      <c r="C569" s="59">
        <f t="shared" si="175"/>
        <v>566</v>
      </c>
      <c r="D569" s="59">
        <f t="shared" si="158"/>
        <v>16.576170000000001</v>
      </c>
      <c r="E569" s="59">
        <f t="shared" si="181"/>
        <v>7.41</v>
      </c>
      <c r="F569" s="91">
        <f>($C$4/E569)+F568</f>
        <v>69.588153963035879</v>
      </c>
      <c r="G569" s="59">
        <f t="shared" si="180"/>
        <v>3500</v>
      </c>
      <c r="H569" s="59">
        <v>2</v>
      </c>
      <c r="I569" s="91">
        <f>E569-E568</f>
        <v>-0.75</v>
      </c>
      <c r="J569" s="59">
        <f>(0.5*VEHICLE!$C$71*VEHICLE!$C$28*VEHICLE!$C$27*'Drive Cycle'!E569^2)</f>
        <v>48.846470883209996</v>
      </c>
      <c r="K569" s="59">
        <f>IF(A569=1,VEHICLE!$S$5,IF(A569=2,VEHICLE!$Q$5,IF(A569=3,VEHICLE!$R$5,IF(A569=4,VEHICLE!$P$5,1))))</f>
        <v>278.27536500000002</v>
      </c>
      <c r="L569" s="59">
        <f t="shared" si="170"/>
        <v>0</v>
      </c>
      <c r="M569" s="59">
        <f t="shared" si="166"/>
        <v>0</v>
      </c>
      <c r="N569" s="59">
        <f t="shared" si="159"/>
        <v>0</v>
      </c>
      <c r="O569" s="59">
        <f t="shared" si="160"/>
        <v>0</v>
      </c>
      <c r="P569" s="59">
        <f t="shared" si="161"/>
        <v>327.12183588321</v>
      </c>
      <c r="Q569" s="59">
        <f>IF(H569=1,I569*VEHICLE!$C$69,IF(H569=2,VEHICLE!$C$70*I569,IF(H569=3,VEHICLE!$C$71*I569,0)))</f>
        <v>-438.86136489758803</v>
      </c>
      <c r="R569" s="59">
        <f>(J569+K569+O569+Q569)</f>
        <v>-111.73952901437804</v>
      </c>
      <c r="S569" s="59">
        <f t="shared" si="162"/>
        <v>111.73952901437804</v>
      </c>
      <c r="T569" s="59">
        <f>ABS((R569)/((2*PI()*G569)/60))</f>
        <v>0.30486682939540333</v>
      </c>
      <c r="U569" s="59">
        <f t="shared" si="163"/>
        <v>1</v>
      </c>
      <c r="V569" s="59">
        <f>INDEX(BSFC!$D$4:$AD$26,MATCH(U569,BSFC!$B$4:$B$26,0),MATCH(G569,BSFC!$D$2:$AD$2,0))</f>
        <v>1034.2259366399996</v>
      </c>
      <c r="W569" s="59">
        <f t="shared" si="167"/>
        <v>-3.2101088626279875E-2</v>
      </c>
      <c r="X569" s="59">
        <f t="shared" si="164"/>
        <v>3.2101088626279875E-2</v>
      </c>
      <c r="Y569" s="59">
        <f t="shared" si="165"/>
        <v>-9.9192363855204815E-2</v>
      </c>
      <c r="Z569" s="79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x14ac:dyDescent="0.3">
      <c r="A570" s="55">
        <v>2</v>
      </c>
      <c r="B570" s="59" t="s">
        <v>110</v>
      </c>
      <c r="C570" s="59">
        <f t="shared" si="175"/>
        <v>567</v>
      </c>
      <c r="D570" s="59">
        <f t="shared" si="158"/>
        <v>14.898420000000002</v>
      </c>
      <c r="E570" s="59">
        <f t="shared" si="181"/>
        <v>6.66</v>
      </c>
      <c r="F570" s="91">
        <f>($C$4/E570)+F569</f>
        <v>69.738304113186032</v>
      </c>
      <c r="G570" s="59">
        <f t="shared" si="180"/>
        <v>3000</v>
      </c>
      <c r="H570" s="59">
        <v>2</v>
      </c>
      <c r="I570" s="91">
        <f>E570-E569</f>
        <v>-0.75</v>
      </c>
      <c r="J570" s="59">
        <f>(0.5*VEHICLE!$C$71*VEHICLE!$C$28*VEHICLE!$C$27*'Drive Cycle'!E570^2)</f>
        <v>39.458923617959996</v>
      </c>
      <c r="K570" s="59">
        <f>IF(A570=1,VEHICLE!$S$5,IF(A570=2,VEHICLE!$Q$5,IF(A570=3,VEHICLE!$R$5,IF(A570=4,VEHICLE!$P$5,1))))</f>
        <v>278.27536500000002</v>
      </c>
      <c r="L570" s="59">
        <f t="shared" si="170"/>
        <v>0</v>
      </c>
      <c r="M570" s="59">
        <f t="shared" si="166"/>
        <v>0</v>
      </c>
      <c r="N570" s="59">
        <f t="shared" si="159"/>
        <v>0</v>
      </c>
      <c r="O570" s="59">
        <f t="shared" si="160"/>
        <v>0</v>
      </c>
      <c r="P570" s="59">
        <f t="shared" si="161"/>
        <v>317.73428861796003</v>
      </c>
      <c r="Q570" s="59">
        <f>IF(H570=1,I570*VEHICLE!$C$69,IF(H570=2,VEHICLE!$C$70*I570,IF(H570=3,VEHICLE!$C$71*I570,0)))</f>
        <v>-438.86136489758803</v>
      </c>
      <c r="R570" s="59">
        <f>(J570+K570+O570+Q570)</f>
        <v>-121.127076279628</v>
      </c>
      <c r="S570" s="59">
        <f t="shared" si="162"/>
        <v>121.127076279628</v>
      </c>
      <c r="T570" s="59">
        <f>ABS((R570)/((2*PI()*G570)/60))</f>
        <v>0.38555945864343721</v>
      </c>
      <c r="U570" s="59">
        <f t="shared" si="163"/>
        <v>1</v>
      </c>
      <c r="V570" s="59">
        <f>INDEX(BSFC!$D$4:$AD$26,MATCH(U570,BSFC!$B$4:$B$26,0),MATCH(G570,BSFC!$D$2:$AD$2,0))</f>
        <v>1049.8371440000003</v>
      </c>
      <c r="W570" s="59">
        <f t="shared" si="167"/>
        <v>-3.5323251061798566E-2</v>
      </c>
      <c r="X570" s="59">
        <f t="shared" si="164"/>
        <v>3.5323251061798566E-2</v>
      </c>
      <c r="Y570" s="59">
        <f t="shared" si="165"/>
        <v>-0.10914884578095757</v>
      </c>
      <c r="Z570" s="79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x14ac:dyDescent="0.3">
      <c r="A571" s="55">
        <v>2</v>
      </c>
      <c r="B571" s="59" t="s">
        <v>110</v>
      </c>
      <c r="C571" s="59">
        <f t="shared" si="175"/>
        <v>568</v>
      </c>
      <c r="D571" s="59">
        <f t="shared" si="158"/>
        <v>13.22067</v>
      </c>
      <c r="E571" s="59">
        <f t="shared" si="181"/>
        <v>5.91</v>
      </c>
      <c r="F571" s="91">
        <f>($C$4/E571)+F570</f>
        <v>69.907508850918688</v>
      </c>
      <c r="G571" s="59">
        <f t="shared" si="180"/>
        <v>2500</v>
      </c>
      <c r="H571" s="59">
        <v>2</v>
      </c>
      <c r="I571" s="91">
        <f>E571-E570</f>
        <v>-0.75</v>
      </c>
      <c r="J571" s="59">
        <f>(0.5*VEHICLE!$C$71*VEHICLE!$C$28*VEHICLE!$C$27*'Drive Cycle'!E571^2)</f>
        <v>31.072180965209999</v>
      </c>
      <c r="K571" s="59">
        <f>IF(A571=1,VEHICLE!$S$5,IF(A571=2,VEHICLE!$Q$5,IF(A571=3,VEHICLE!$R$5,IF(A571=4,VEHICLE!$P$5,1))))</f>
        <v>278.27536500000002</v>
      </c>
      <c r="L571" s="59">
        <f t="shared" si="170"/>
        <v>0</v>
      </c>
      <c r="M571" s="59">
        <f t="shared" si="166"/>
        <v>0</v>
      </c>
      <c r="N571" s="59">
        <f t="shared" si="159"/>
        <v>0</v>
      </c>
      <c r="O571" s="59">
        <f t="shared" si="160"/>
        <v>0</v>
      </c>
      <c r="P571" s="59">
        <f t="shared" si="161"/>
        <v>309.34754596521003</v>
      </c>
      <c r="Q571" s="59">
        <f>IF(H571=1,I571*VEHICLE!$C$69,IF(H571=2,VEHICLE!$C$70*I571,IF(H571=3,VEHICLE!$C$71*I571,0)))</f>
        <v>-438.86136489758803</v>
      </c>
      <c r="R571" s="59">
        <f>(J571+K571+O571+Q571)</f>
        <v>-129.513818932378</v>
      </c>
      <c r="S571" s="59">
        <f t="shared" si="162"/>
        <v>129.513818932378</v>
      </c>
      <c r="T571" s="59">
        <f>ABS((R571)/((2*PI()*G571)/60))</f>
        <v>0.49470634756311982</v>
      </c>
      <c r="U571" s="59">
        <f t="shared" si="163"/>
        <v>1</v>
      </c>
      <c r="V571" s="59">
        <f>INDEX(BSFC!$D$4:$AD$26,MATCH(U571,BSFC!$B$4:$B$26,0),MATCH(G571,BSFC!$D$2:$AD$2,0))</f>
        <v>1065.4483513600007</v>
      </c>
      <c r="W571" s="59">
        <f t="shared" si="167"/>
        <v>-3.8330634683288838E-2</v>
      </c>
      <c r="X571" s="59">
        <f t="shared" si="164"/>
        <v>3.8330634683288838E-2</v>
      </c>
      <c r="Y571" s="59">
        <f t="shared" si="165"/>
        <v>-0.1184416611713625</v>
      </c>
      <c r="Z571" s="79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x14ac:dyDescent="0.3">
      <c r="A572" s="55">
        <v>2</v>
      </c>
      <c r="B572" s="59" t="s">
        <v>110</v>
      </c>
      <c r="C572" s="59">
        <f t="shared" si="175"/>
        <v>569</v>
      </c>
      <c r="D572" s="59">
        <f t="shared" si="158"/>
        <v>11.542920000000001</v>
      </c>
      <c r="E572" s="59">
        <f t="shared" si="181"/>
        <v>5.16</v>
      </c>
      <c r="F572" s="91">
        <f>($C$4/E572)+F571</f>
        <v>70.10130730053109</v>
      </c>
      <c r="G572" s="59">
        <f t="shared" si="180"/>
        <v>2000</v>
      </c>
      <c r="H572" s="59">
        <v>2</v>
      </c>
      <c r="I572" s="91">
        <f>E572-E571</f>
        <v>-0.75</v>
      </c>
      <c r="J572" s="59">
        <f>(0.5*VEHICLE!$C$71*VEHICLE!$C$28*VEHICLE!$C$27*'Drive Cycle'!E572^2)</f>
        <v>23.686242924959998</v>
      </c>
      <c r="K572" s="59">
        <f>IF(A572=1,VEHICLE!$S$5,IF(A572=2,VEHICLE!$Q$5,IF(A572=3,VEHICLE!$R$5,IF(A572=4,VEHICLE!$P$5,1))))</f>
        <v>278.27536500000002</v>
      </c>
      <c r="L572" s="59">
        <f t="shared" si="170"/>
        <v>0</v>
      </c>
      <c r="M572" s="59">
        <f t="shared" si="166"/>
        <v>0</v>
      </c>
      <c r="N572" s="59">
        <f t="shared" si="159"/>
        <v>0</v>
      </c>
      <c r="O572" s="59">
        <f t="shared" si="160"/>
        <v>0</v>
      </c>
      <c r="P572" s="59">
        <f t="shared" si="161"/>
        <v>301.96160792496005</v>
      </c>
      <c r="Q572" s="59">
        <f>IF(H572=1,I572*VEHICLE!$C$69,IF(H572=2,VEHICLE!$C$70*I572,IF(H572=3,VEHICLE!$C$71*I572,0)))</f>
        <v>-438.86136489758803</v>
      </c>
      <c r="R572" s="59">
        <f>(J572+K572+O572+Q572)</f>
        <v>-136.89975697262798</v>
      </c>
      <c r="S572" s="59">
        <f t="shared" si="162"/>
        <v>136.89975697262798</v>
      </c>
      <c r="T572" s="59">
        <f>ABS((R572)/((2*PI()*G572)/60))</f>
        <v>0.65364819090818727</v>
      </c>
      <c r="U572" s="59">
        <f t="shared" si="163"/>
        <v>1</v>
      </c>
      <c r="V572" s="59">
        <f>INDEX(BSFC!$D$4:$AD$26,MATCH(U572,BSFC!$B$4:$B$26,0),MATCH(G572,BSFC!$D$2:$AD$2,0))</f>
        <v>1081.059558720001</v>
      </c>
      <c r="W572" s="59">
        <f t="shared" si="167"/>
        <v>-4.1110219683806834E-2</v>
      </c>
      <c r="X572" s="59">
        <f t="shared" si="164"/>
        <v>4.1110219683806834E-2</v>
      </c>
      <c r="Y572" s="59">
        <f t="shared" si="165"/>
        <v>-0.12703057882296312</v>
      </c>
      <c r="Z572" s="79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x14ac:dyDescent="0.3">
      <c r="A573" s="55">
        <v>2</v>
      </c>
      <c r="B573" s="59" t="s">
        <v>110</v>
      </c>
      <c r="C573" s="59">
        <f t="shared" si="175"/>
        <v>570</v>
      </c>
      <c r="D573" s="59">
        <f t="shared" si="158"/>
        <v>9.8651700000000009</v>
      </c>
      <c r="E573" s="59">
        <f t="shared" si="181"/>
        <v>4.41</v>
      </c>
      <c r="F573" s="91">
        <f>($C$4/E573)+F572</f>
        <v>70.328064670145608</v>
      </c>
      <c r="G573" s="59">
        <f t="shared" si="180"/>
        <v>1500</v>
      </c>
      <c r="H573" s="59">
        <v>2</v>
      </c>
      <c r="I573" s="91">
        <f>E573-E572</f>
        <v>-0.75</v>
      </c>
      <c r="J573" s="59">
        <f>(0.5*VEHICLE!$C$71*VEHICLE!$C$28*VEHICLE!$C$27*'Drive Cycle'!E573^2)</f>
        <v>17.30110949721</v>
      </c>
      <c r="K573" s="59">
        <f>IF(A573=1,VEHICLE!$S$5,IF(A573=2,VEHICLE!$Q$5,IF(A573=3,VEHICLE!$R$5,IF(A573=4,VEHICLE!$P$5,1))))</f>
        <v>278.27536500000002</v>
      </c>
      <c r="L573" s="59">
        <f t="shared" si="170"/>
        <v>0</v>
      </c>
      <c r="M573" s="59">
        <f t="shared" si="166"/>
        <v>0</v>
      </c>
      <c r="N573" s="59">
        <f t="shared" si="159"/>
        <v>0</v>
      </c>
      <c r="O573" s="59">
        <f t="shared" si="160"/>
        <v>0</v>
      </c>
      <c r="P573" s="59">
        <f t="shared" si="161"/>
        <v>295.57647449721003</v>
      </c>
      <c r="Q573" s="59">
        <f>IF(H573=1,I573*VEHICLE!$C$69,IF(H573=2,VEHICLE!$C$70*I573,IF(H573=3,VEHICLE!$C$71*I573,0)))</f>
        <v>-438.86136489758803</v>
      </c>
      <c r="R573" s="59">
        <f>(J573+K573+O573+Q573)</f>
        <v>-143.284890400378</v>
      </c>
      <c r="S573" s="59">
        <f t="shared" si="162"/>
        <v>143.284890400378</v>
      </c>
      <c r="T573" s="59">
        <f>ABS((R573)/((2*PI()*G573)/60))</f>
        <v>0.91217994310402484</v>
      </c>
      <c r="U573" s="59">
        <f t="shared" si="163"/>
        <v>1</v>
      </c>
      <c r="V573" s="59">
        <f>INDEX(BSFC!$D$4:$AD$26,MATCH(U573,BSFC!$B$4:$B$26,0),MATCH(G573,BSFC!$D$2:$AD$2,0))</f>
        <v>1159.5484262400005</v>
      </c>
      <c r="W573" s="59">
        <f t="shared" si="167"/>
        <v>-4.6151602546591459E-2</v>
      </c>
      <c r="X573" s="59">
        <f t="shared" si="164"/>
        <v>4.6151602546591459E-2</v>
      </c>
      <c r="Y573" s="59">
        <f t="shared" si="165"/>
        <v>-0.14260845186896759</v>
      </c>
      <c r="Z573" s="79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x14ac:dyDescent="0.3">
      <c r="A574" s="55">
        <v>2</v>
      </c>
      <c r="B574" s="59" t="s">
        <v>110</v>
      </c>
      <c r="C574" s="59">
        <f t="shared" si="175"/>
        <v>571</v>
      </c>
      <c r="D574" s="59">
        <f t="shared" si="158"/>
        <v>8.1874200000000013</v>
      </c>
      <c r="E574" s="59">
        <f t="shared" si="181"/>
        <v>3.66</v>
      </c>
      <c r="F574" s="91">
        <f>($C$4/E574)+F573</f>
        <v>70.60128871386145</v>
      </c>
      <c r="G574" s="59">
        <f t="shared" si="180"/>
        <v>1000</v>
      </c>
      <c r="H574" s="59">
        <v>2</v>
      </c>
      <c r="I574" s="91">
        <f>E574-E573</f>
        <v>-0.75</v>
      </c>
      <c r="J574" s="59">
        <f>(0.5*VEHICLE!$C$71*VEHICLE!$C$28*VEHICLE!$C$27*'Drive Cycle'!E574^2)</f>
        <v>11.916780681960001</v>
      </c>
      <c r="K574" s="59">
        <f>IF(A574=1,VEHICLE!$S$5,IF(A574=2,VEHICLE!$Q$5,IF(A574=3,VEHICLE!$R$5,IF(A574=4,VEHICLE!$P$5,1))))</f>
        <v>278.27536500000002</v>
      </c>
      <c r="L574" s="59">
        <f t="shared" si="170"/>
        <v>0</v>
      </c>
      <c r="M574" s="59">
        <f t="shared" si="166"/>
        <v>0</v>
      </c>
      <c r="N574" s="59">
        <f t="shared" si="159"/>
        <v>0</v>
      </c>
      <c r="O574" s="59">
        <f t="shared" si="160"/>
        <v>0</v>
      </c>
      <c r="P574" s="59">
        <f t="shared" si="161"/>
        <v>290.19214568196003</v>
      </c>
      <c r="Q574" s="59">
        <f>IF(H574=1,I574*VEHICLE!$C$69,IF(H574=2,VEHICLE!$C$70*I574,IF(H574=3,VEHICLE!$C$71*I574,0)))</f>
        <v>-438.86136489758803</v>
      </c>
      <c r="R574" s="59">
        <f>(J574+K574+O574+Q574)</f>
        <v>-148.669219215628</v>
      </c>
      <c r="S574" s="59">
        <f t="shared" si="162"/>
        <v>148.669219215628</v>
      </c>
      <c r="T574" s="59">
        <f>ABS((R574)/((2*PI()*G574)/60))</f>
        <v>1.4196864674267873</v>
      </c>
      <c r="U574" s="59">
        <f t="shared" si="163"/>
        <v>2</v>
      </c>
      <c r="V574" s="59">
        <f>INDEX(BSFC!$D$4:$AD$26,MATCH(U574,BSFC!$B$4:$B$26,0),MATCH(G574,BSFC!$D$2:$AD$2,0))</f>
        <v>1081.7276661600004</v>
      </c>
      <c r="W574" s="59">
        <f t="shared" si="167"/>
        <v>-4.4672113203319652E-2</v>
      </c>
      <c r="X574" s="59">
        <f t="shared" si="164"/>
        <v>4.4672113203319652E-2</v>
      </c>
      <c r="Y574" s="59">
        <f t="shared" si="165"/>
        <v>-0.13803682979825771</v>
      </c>
      <c r="Z574" s="79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x14ac:dyDescent="0.3">
      <c r="A575" s="55">
        <v>2</v>
      </c>
      <c r="B575" s="59" t="s">
        <v>110</v>
      </c>
      <c r="C575" s="59">
        <f t="shared" si="175"/>
        <v>572</v>
      </c>
      <c r="D575" s="59">
        <f t="shared" si="158"/>
        <v>6.5096700000000007</v>
      </c>
      <c r="E575" s="59">
        <f t="shared" si="181"/>
        <v>2.91</v>
      </c>
      <c r="F575" s="91">
        <f>($C$4/E575)+F574</f>
        <v>70.944931325545298</v>
      </c>
      <c r="G575" s="59">
        <f>G574</f>
        <v>1000</v>
      </c>
      <c r="H575" s="59">
        <v>2</v>
      </c>
      <c r="I575" s="91">
        <f>E575-E574</f>
        <v>-0.75</v>
      </c>
      <c r="J575" s="59">
        <f>(0.5*VEHICLE!$C$71*VEHICLE!$C$28*VEHICLE!$C$27*'Drive Cycle'!E575^2)</f>
        <v>7.5332564792100003</v>
      </c>
      <c r="K575" s="59">
        <f>IF(A575=1,VEHICLE!$S$5,IF(A575=2,VEHICLE!$Q$5,IF(A575=3,VEHICLE!$R$5,IF(A575=4,VEHICLE!$P$5,1))))</f>
        <v>278.27536500000002</v>
      </c>
      <c r="L575" s="59">
        <f t="shared" si="170"/>
        <v>0</v>
      </c>
      <c r="M575" s="59">
        <f t="shared" si="166"/>
        <v>0</v>
      </c>
      <c r="N575" s="59">
        <f t="shared" si="159"/>
        <v>0</v>
      </c>
      <c r="O575" s="59">
        <f t="shared" si="160"/>
        <v>0</v>
      </c>
      <c r="P575" s="59">
        <f t="shared" si="161"/>
        <v>285.80862147921005</v>
      </c>
      <c r="Q575" s="59">
        <f>IF(H575=1,I575*VEHICLE!$C$69,IF(H575=2,VEHICLE!$C$70*I575,IF(H575=3,VEHICLE!$C$71*I575,0)))</f>
        <v>-438.86136489758803</v>
      </c>
      <c r="R575" s="59">
        <f>(J575+K575+O575+Q575)</f>
        <v>-153.05274341837799</v>
      </c>
      <c r="S575" s="59">
        <f t="shared" si="162"/>
        <v>153.05274341837799</v>
      </c>
      <c r="T575" s="59">
        <f>ABS((R575)/((2*PI()*G575)/60))</f>
        <v>1.4615460401286244</v>
      </c>
      <c r="U575" s="59">
        <f t="shared" si="163"/>
        <v>2</v>
      </c>
      <c r="V575" s="59">
        <f>INDEX(BSFC!$D$4:$AD$26,MATCH(U575,BSFC!$B$4:$B$26,0),MATCH(G575,BSFC!$D$2:$AD$2,0))</f>
        <v>1081.7276661600004</v>
      </c>
      <c r="W575" s="59">
        <f t="shared" si="167"/>
        <v>-4.5989274149263161E-2</v>
      </c>
      <c r="X575" s="59">
        <f t="shared" si="164"/>
        <v>4.5989274149263161E-2</v>
      </c>
      <c r="Y575" s="59">
        <f t="shared" si="165"/>
        <v>-0.14210685712122317</v>
      </c>
      <c r="Z575" s="79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x14ac:dyDescent="0.3">
      <c r="A576" s="55">
        <v>2</v>
      </c>
      <c r="B576" s="58" t="s">
        <v>125</v>
      </c>
      <c r="C576" s="58">
        <f t="shared" si="175"/>
        <v>573</v>
      </c>
      <c r="D576" s="58">
        <f t="shared" si="158"/>
        <v>6.5096700000000007</v>
      </c>
      <c r="E576" s="58">
        <f>E575</f>
        <v>2.91</v>
      </c>
      <c r="F576" s="90">
        <f>($C$4/E576)+F575</f>
        <v>71.288573937229145</v>
      </c>
      <c r="G576" s="58">
        <f t="shared" ref="G576:G586" si="182">G575</f>
        <v>1000</v>
      </c>
      <c r="H576" s="58">
        <v>2</v>
      </c>
      <c r="I576" s="90">
        <f>E576-E575</f>
        <v>0</v>
      </c>
      <c r="J576" s="58">
        <f>(0.5*VEHICLE!$C$71*VEHICLE!$C$28*VEHICLE!$C$27*'Drive Cycle'!E576^2)</f>
        <v>7.5332564792100003</v>
      </c>
      <c r="K576" s="58">
        <f>IF(A576=1,VEHICLE!$S$5,IF(A576=2,VEHICLE!$Q$5,IF(A576=3,VEHICLE!$R$5,IF(A576=4,VEHICLE!$P$5,1))))</f>
        <v>278.27536500000002</v>
      </c>
      <c r="L576" s="58">
        <f t="shared" si="170"/>
        <v>0</v>
      </c>
      <c r="M576" s="58">
        <f t="shared" si="166"/>
        <v>0</v>
      </c>
      <c r="N576" s="58">
        <f t="shared" si="159"/>
        <v>0</v>
      </c>
      <c r="O576" s="58">
        <f t="shared" si="160"/>
        <v>0</v>
      </c>
      <c r="P576" s="58">
        <f t="shared" si="161"/>
        <v>285.80862147921005</v>
      </c>
      <c r="Q576" s="58">
        <f>IF(H576=1,I576*VEHICLE!$C$69,IF(H576=2,VEHICLE!$C$70*I576,IF(H576=3,VEHICLE!$C$71*I576,0)))</f>
        <v>0</v>
      </c>
      <c r="R576" s="58">
        <f>(J576+K576+O576+Q576)</f>
        <v>285.80862147921005</v>
      </c>
      <c r="S576" s="58">
        <f t="shared" si="162"/>
        <v>285.80862147921005</v>
      </c>
      <c r="T576" s="58">
        <f>ABS((R576)/((2*PI()*G576)/60))</f>
        <v>2.7292712932018039</v>
      </c>
      <c r="U576" s="58">
        <f t="shared" si="163"/>
        <v>3</v>
      </c>
      <c r="V576" s="58">
        <f>INDEX(BSFC!$D$4:$AD$26,MATCH(U576,BSFC!$B$4:$B$26,0),MATCH(G576,BSFC!$D$2:$AD$2,0))</f>
        <v>927.64713984000002</v>
      </c>
      <c r="W576" s="58">
        <f t="shared" si="167"/>
        <v>7.364709729355623E-2</v>
      </c>
      <c r="X576" s="58">
        <f t="shared" si="164"/>
        <v>7.364709729355623E-2</v>
      </c>
      <c r="Y576" s="58">
        <f t="shared" si="165"/>
        <v>0.22756953063708873</v>
      </c>
      <c r="Z576" s="79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x14ac:dyDescent="0.3">
      <c r="A577" s="55">
        <v>2</v>
      </c>
      <c r="B577" s="58" t="s">
        <v>125</v>
      </c>
      <c r="C577" s="58">
        <f t="shared" si="175"/>
        <v>574</v>
      </c>
      <c r="D577" s="58">
        <f t="shared" si="158"/>
        <v>6.5096700000000007</v>
      </c>
      <c r="E577" s="58">
        <f t="shared" ref="E577:E586" si="183">E576</f>
        <v>2.91</v>
      </c>
      <c r="F577" s="90">
        <f>($C$4/E577)+F576</f>
        <v>71.632216548912993</v>
      </c>
      <c r="G577" s="58">
        <f t="shared" si="182"/>
        <v>1000</v>
      </c>
      <c r="H577" s="58">
        <v>2</v>
      </c>
      <c r="I577" s="90">
        <f>E577-E576</f>
        <v>0</v>
      </c>
      <c r="J577" s="58">
        <f>(0.5*VEHICLE!$C$71*VEHICLE!$C$28*VEHICLE!$C$27*'Drive Cycle'!E577^2)</f>
        <v>7.5332564792100003</v>
      </c>
      <c r="K577" s="58">
        <f>IF(A577=1,VEHICLE!$S$5,IF(A577=2,VEHICLE!$Q$5,IF(A577=3,VEHICLE!$R$5,IF(A577=4,VEHICLE!$P$5,1))))</f>
        <v>278.27536500000002</v>
      </c>
      <c r="L577" s="58">
        <f t="shared" si="170"/>
        <v>0</v>
      </c>
      <c r="M577" s="58">
        <f t="shared" si="166"/>
        <v>0</v>
      </c>
      <c r="N577" s="58">
        <f t="shared" si="159"/>
        <v>0</v>
      </c>
      <c r="O577" s="58">
        <f t="shared" si="160"/>
        <v>0</v>
      </c>
      <c r="P577" s="58">
        <f t="shared" si="161"/>
        <v>285.80862147921005</v>
      </c>
      <c r="Q577" s="58">
        <f>IF(H577=1,I577*VEHICLE!$C$69,IF(H577=2,VEHICLE!$C$70*I577,IF(H577=3,VEHICLE!$C$71*I577,0)))</f>
        <v>0</v>
      </c>
      <c r="R577" s="58">
        <f>(J577+K577+O577+Q577)</f>
        <v>285.80862147921005</v>
      </c>
      <c r="S577" s="58">
        <f t="shared" si="162"/>
        <v>285.80862147921005</v>
      </c>
      <c r="T577" s="58">
        <f>ABS((R577)/((2*PI()*G577)/60))</f>
        <v>2.7292712932018039</v>
      </c>
      <c r="U577" s="58">
        <f t="shared" si="163"/>
        <v>3</v>
      </c>
      <c r="V577" s="58">
        <f>INDEX(BSFC!$D$4:$AD$26,MATCH(U577,BSFC!$B$4:$B$26,0),MATCH(G577,BSFC!$D$2:$AD$2,0))</f>
        <v>927.64713984000002</v>
      </c>
      <c r="W577" s="58">
        <f t="shared" si="167"/>
        <v>7.364709729355623E-2</v>
      </c>
      <c r="X577" s="58">
        <f t="shared" si="164"/>
        <v>7.364709729355623E-2</v>
      </c>
      <c r="Y577" s="58">
        <f t="shared" si="165"/>
        <v>0.22756953063708873</v>
      </c>
      <c r="Z577" s="79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x14ac:dyDescent="0.3">
      <c r="A578" s="55">
        <v>2</v>
      </c>
      <c r="B578" s="58" t="s">
        <v>125</v>
      </c>
      <c r="C578" s="58">
        <f t="shared" si="175"/>
        <v>575</v>
      </c>
      <c r="D578" s="58">
        <f t="shared" si="158"/>
        <v>6.5096700000000007</v>
      </c>
      <c r="E578" s="58">
        <f t="shared" si="183"/>
        <v>2.91</v>
      </c>
      <c r="F578" s="90">
        <f>($C$4/E578)+F577</f>
        <v>71.975859160596841</v>
      </c>
      <c r="G578" s="58">
        <f t="shared" si="182"/>
        <v>1000</v>
      </c>
      <c r="H578" s="58">
        <v>2</v>
      </c>
      <c r="I578" s="90">
        <f>E578-E577</f>
        <v>0</v>
      </c>
      <c r="J578" s="58">
        <f>(0.5*VEHICLE!$C$71*VEHICLE!$C$28*VEHICLE!$C$27*'Drive Cycle'!E578^2)</f>
        <v>7.5332564792100003</v>
      </c>
      <c r="K578" s="58">
        <f>IF(A578=1,VEHICLE!$S$5,IF(A578=2,VEHICLE!$Q$5,IF(A578=3,VEHICLE!$R$5,IF(A578=4,VEHICLE!$P$5,1))))</f>
        <v>278.27536500000002</v>
      </c>
      <c r="L578" s="58">
        <f t="shared" si="170"/>
        <v>0</v>
      </c>
      <c r="M578" s="58">
        <f t="shared" si="166"/>
        <v>0</v>
      </c>
      <c r="N578" s="58">
        <f t="shared" si="159"/>
        <v>0</v>
      </c>
      <c r="O578" s="58">
        <f t="shared" si="160"/>
        <v>0</v>
      </c>
      <c r="P578" s="58">
        <f t="shared" si="161"/>
        <v>285.80862147921005</v>
      </c>
      <c r="Q578" s="58">
        <f>IF(H578=1,I578*VEHICLE!$C$69,IF(H578=2,VEHICLE!$C$70*I578,IF(H578=3,VEHICLE!$C$71*I578,0)))</f>
        <v>0</v>
      </c>
      <c r="R578" s="58">
        <f>(J578+K578+O578+Q578)</f>
        <v>285.80862147921005</v>
      </c>
      <c r="S578" s="58">
        <f t="shared" si="162"/>
        <v>285.80862147921005</v>
      </c>
      <c r="T578" s="58">
        <f>ABS((R578)/((2*PI()*G578)/60))</f>
        <v>2.7292712932018039</v>
      </c>
      <c r="U578" s="58">
        <f t="shared" si="163"/>
        <v>3</v>
      </c>
      <c r="V578" s="58">
        <f>INDEX(BSFC!$D$4:$AD$26,MATCH(U578,BSFC!$B$4:$B$26,0),MATCH(G578,BSFC!$D$2:$AD$2,0))</f>
        <v>927.64713984000002</v>
      </c>
      <c r="W578" s="58">
        <f t="shared" si="167"/>
        <v>7.364709729355623E-2</v>
      </c>
      <c r="X578" s="58">
        <f t="shared" si="164"/>
        <v>7.364709729355623E-2</v>
      </c>
      <c r="Y578" s="58">
        <f t="shared" si="165"/>
        <v>0.22756953063708873</v>
      </c>
      <c r="Z578" s="79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x14ac:dyDescent="0.3">
      <c r="A579" s="55">
        <v>2</v>
      </c>
      <c r="B579" s="58" t="s">
        <v>125</v>
      </c>
      <c r="C579" s="58">
        <f t="shared" si="175"/>
        <v>576</v>
      </c>
      <c r="D579" s="58">
        <f t="shared" si="158"/>
        <v>6.5096700000000007</v>
      </c>
      <c r="E579" s="58">
        <f t="shared" si="183"/>
        <v>2.91</v>
      </c>
      <c r="F579" s="90">
        <f>($C$4/E579)+F578</f>
        <v>72.319501772280688</v>
      </c>
      <c r="G579" s="58">
        <f t="shared" si="182"/>
        <v>1000</v>
      </c>
      <c r="H579" s="58">
        <v>2</v>
      </c>
      <c r="I579" s="90">
        <f>E579-E578</f>
        <v>0</v>
      </c>
      <c r="J579" s="58">
        <f>(0.5*VEHICLE!$C$71*VEHICLE!$C$28*VEHICLE!$C$27*'Drive Cycle'!E579^2)</f>
        <v>7.5332564792100003</v>
      </c>
      <c r="K579" s="58">
        <f>IF(A579=1,VEHICLE!$S$5,IF(A579=2,VEHICLE!$Q$5,IF(A579=3,VEHICLE!$R$5,IF(A579=4,VEHICLE!$P$5,1))))</f>
        <v>278.27536500000002</v>
      </c>
      <c r="L579" s="58">
        <f t="shared" si="170"/>
        <v>0</v>
      </c>
      <c r="M579" s="58">
        <f t="shared" si="166"/>
        <v>0</v>
      </c>
      <c r="N579" s="58">
        <f t="shared" si="159"/>
        <v>0</v>
      </c>
      <c r="O579" s="58">
        <f t="shared" si="160"/>
        <v>0</v>
      </c>
      <c r="P579" s="58">
        <f t="shared" si="161"/>
        <v>285.80862147921005</v>
      </c>
      <c r="Q579" s="58">
        <f>IF(H579=1,I579*VEHICLE!$C$69,IF(H579=2,VEHICLE!$C$70*I579,IF(H579=3,VEHICLE!$C$71*I579,0)))</f>
        <v>0</v>
      </c>
      <c r="R579" s="58">
        <f>(J579+K579+O579+Q579)</f>
        <v>285.80862147921005</v>
      </c>
      <c r="S579" s="58">
        <f t="shared" si="162"/>
        <v>285.80862147921005</v>
      </c>
      <c r="T579" s="58">
        <f>ABS((R579)/((2*PI()*G579)/60))</f>
        <v>2.7292712932018039</v>
      </c>
      <c r="U579" s="58">
        <f t="shared" si="163"/>
        <v>3</v>
      </c>
      <c r="V579" s="58">
        <f>INDEX(BSFC!$D$4:$AD$26,MATCH(U579,BSFC!$B$4:$B$26,0),MATCH(G579,BSFC!$D$2:$AD$2,0))</f>
        <v>927.64713984000002</v>
      </c>
      <c r="W579" s="58">
        <f t="shared" si="167"/>
        <v>7.364709729355623E-2</v>
      </c>
      <c r="X579" s="58">
        <f t="shared" si="164"/>
        <v>7.364709729355623E-2</v>
      </c>
      <c r="Y579" s="58">
        <f t="shared" si="165"/>
        <v>0.22756953063708873</v>
      </c>
      <c r="Z579" s="79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x14ac:dyDescent="0.3">
      <c r="A580" s="55">
        <v>2</v>
      </c>
      <c r="B580" s="58" t="s">
        <v>125</v>
      </c>
      <c r="C580" s="58">
        <f t="shared" si="175"/>
        <v>577</v>
      </c>
      <c r="D580" s="58">
        <f t="shared" ref="D580:D643" si="184">E580*2.237</f>
        <v>6.5096700000000007</v>
      </c>
      <c r="E580" s="58">
        <f t="shared" si="183"/>
        <v>2.91</v>
      </c>
      <c r="F580" s="90">
        <f>($C$4/E580)+F579</f>
        <v>72.663144383964536</v>
      </c>
      <c r="G580" s="58">
        <f t="shared" si="182"/>
        <v>1000</v>
      </c>
      <c r="H580" s="58">
        <v>2</v>
      </c>
      <c r="I580" s="90">
        <f>E580-E579</f>
        <v>0</v>
      </c>
      <c r="J580" s="58">
        <f>(0.5*VEHICLE!$C$71*VEHICLE!$C$28*VEHICLE!$C$27*'Drive Cycle'!E580^2)</f>
        <v>7.5332564792100003</v>
      </c>
      <c r="K580" s="58">
        <f>IF(A580=1,VEHICLE!$S$5,IF(A580=2,VEHICLE!$Q$5,IF(A580=3,VEHICLE!$R$5,IF(A580=4,VEHICLE!$P$5,1))))</f>
        <v>278.27536500000002</v>
      </c>
      <c r="L580" s="58">
        <f t="shared" si="170"/>
        <v>0</v>
      </c>
      <c r="M580" s="58">
        <f t="shared" si="166"/>
        <v>0</v>
      </c>
      <c r="N580" s="58">
        <f t="shared" ref="N580:N643" si="185">DEGREES(ATAN(M580/$C$4))</f>
        <v>0</v>
      </c>
      <c r="O580" s="58">
        <f t="shared" ref="O580:O643" si="186">9.81*SIN(RADIANS(N580))*($C$47)</f>
        <v>0</v>
      </c>
      <c r="P580" s="58">
        <f t="shared" ref="P580:P643" si="187">J580+K580+O580</f>
        <v>285.80862147921005</v>
      </c>
      <c r="Q580" s="58">
        <f>IF(H580=1,I580*VEHICLE!$C$69,IF(H580=2,VEHICLE!$C$70*I580,IF(H580=3,VEHICLE!$C$71*I580,0)))</f>
        <v>0</v>
      </c>
      <c r="R580" s="58">
        <f>(J580+K580+O580+Q580)</f>
        <v>285.80862147921005</v>
      </c>
      <c r="S580" s="58">
        <f t="shared" ref="S580:S643" si="188">ABS(R580)</f>
        <v>285.80862147921005</v>
      </c>
      <c r="T580" s="58">
        <f>ABS((R580)/((2*PI()*G580)/60))</f>
        <v>2.7292712932018039</v>
      </c>
      <c r="U580" s="58">
        <f t="shared" ref="U580:U643" si="189">ROUNDUP(T580,0)</f>
        <v>3</v>
      </c>
      <c r="V580" s="58">
        <f>INDEX(BSFC!$D$4:$AD$26,MATCH(U580,BSFC!$B$4:$B$26,0),MATCH(G580,BSFC!$D$2:$AD$2,0))</f>
        <v>927.64713984000002</v>
      </c>
      <c r="W580" s="58">
        <f t="shared" si="167"/>
        <v>7.364709729355623E-2</v>
      </c>
      <c r="X580" s="58">
        <f t="shared" ref="X580:X643" si="190">ABS(W580)</f>
        <v>7.364709729355623E-2</v>
      </c>
      <c r="Y580" s="58">
        <f t="shared" ref="Y580:Y643" si="191">W580*3.09</f>
        <v>0.22756953063708873</v>
      </c>
      <c r="Z580" s="79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x14ac:dyDescent="0.3">
      <c r="A581" s="55">
        <v>2</v>
      </c>
      <c r="B581" s="58" t="s">
        <v>125</v>
      </c>
      <c r="C581" s="58">
        <f t="shared" si="175"/>
        <v>578</v>
      </c>
      <c r="D581" s="58">
        <f t="shared" si="184"/>
        <v>6.5096700000000007</v>
      </c>
      <c r="E581" s="58">
        <f t="shared" si="183"/>
        <v>2.91</v>
      </c>
      <c r="F581" s="90">
        <f>($C$4/E581)+F580</f>
        <v>73.006786995648383</v>
      </c>
      <c r="G581" s="58">
        <f t="shared" si="182"/>
        <v>1000</v>
      </c>
      <c r="H581" s="58">
        <v>2</v>
      </c>
      <c r="I581" s="90">
        <f>E581-E580</f>
        <v>0</v>
      </c>
      <c r="J581" s="58">
        <f>(0.5*VEHICLE!$C$71*VEHICLE!$C$28*VEHICLE!$C$27*'Drive Cycle'!E581^2)</f>
        <v>7.5332564792100003</v>
      </c>
      <c r="K581" s="58">
        <f>IF(A581=1,VEHICLE!$S$5,IF(A581=2,VEHICLE!$Q$5,IF(A581=3,VEHICLE!$R$5,IF(A581=4,VEHICLE!$P$5,1))))</f>
        <v>278.27536500000002</v>
      </c>
      <c r="L581" s="58">
        <f t="shared" si="170"/>
        <v>0</v>
      </c>
      <c r="M581" s="58">
        <f t="shared" ref="M581:M644" si="192">L581-L580</f>
        <v>0</v>
      </c>
      <c r="N581" s="58">
        <f t="shared" si="185"/>
        <v>0</v>
      </c>
      <c r="O581" s="58">
        <f t="shared" si="186"/>
        <v>0</v>
      </c>
      <c r="P581" s="58">
        <f t="shared" si="187"/>
        <v>285.80862147921005</v>
      </c>
      <c r="Q581" s="58">
        <f>IF(H581=1,I581*VEHICLE!$C$69,IF(H581=2,VEHICLE!$C$70*I581,IF(H581=3,VEHICLE!$C$71*I581,0)))</f>
        <v>0</v>
      </c>
      <c r="R581" s="58">
        <f>(J581+K581+O581+Q581)</f>
        <v>285.80862147921005</v>
      </c>
      <c r="S581" s="58">
        <f t="shared" si="188"/>
        <v>285.80862147921005</v>
      </c>
      <c r="T581" s="58">
        <f>ABS((R581)/((2*PI()*G581)/60))</f>
        <v>2.7292712932018039</v>
      </c>
      <c r="U581" s="58">
        <f t="shared" si="189"/>
        <v>3</v>
      </c>
      <c r="V581" s="58">
        <f>INDEX(BSFC!$D$4:$AD$26,MATCH(U581,BSFC!$B$4:$B$26,0),MATCH(G581,BSFC!$D$2:$AD$2,0))</f>
        <v>927.64713984000002</v>
      </c>
      <c r="W581" s="58">
        <f t="shared" ref="W581:W644" si="193">(R581*V581/3600)/1000</f>
        <v>7.364709729355623E-2</v>
      </c>
      <c r="X581" s="58">
        <f t="shared" si="190"/>
        <v>7.364709729355623E-2</v>
      </c>
      <c r="Y581" s="58">
        <f t="shared" si="191"/>
        <v>0.22756953063708873</v>
      </c>
      <c r="Z581" s="79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x14ac:dyDescent="0.3">
      <c r="A582" s="55">
        <v>2</v>
      </c>
      <c r="B582" s="58" t="s">
        <v>125</v>
      </c>
      <c r="C582" s="58">
        <f t="shared" si="175"/>
        <v>579</v>
      </c>
      <c r="D582" s="58">
        <f t="shared" si="184"/>
        <v>6.5096700000000007</v>
      </c>
      <c r="E582" s="58">
        <f t="shared" si="183"/>
        <v>2.91</v>
      </c>
      <c r="F582" s="90">
        <f>($C$4/E582)+F581</f>
        <v>73.350429607332231</v>
      </c>
      <c r="G582" s="58">
        <f t="shared" si="182"/>
        <v>1000</v>
      </c>
      <c r="H582" s="58">
        <v>2</v>
      </c>
      <c r="I582" s="90">
        <f>E582-E581</f>
        <v>0</v>
      </c>
      <c r="J582" s="58">
        <f>(0.5*VEHICLE!$C$71*VEHICLE!$C$28*VEHICLE!$C$27*'Drive Cycle'!E582^2)</f>
        <v>7.5332564792100003</v>
      </c>
      <c r="K582" s="58">
        <f>IF(A582=1,VEHICLE!$S$5,IF(A582=2,VEHICLE!$Q$5,IF(A582=3,VEHICLE!$R$5,IF(A582=4,VEHICLE!$P$5,1))))</f>
        <v>278.27536500000002</v>
      </c>
      <c r="L582" s="58">
        <f t="shared" si="170"/>
        <v>0</v>
      </c>
      <c r="M582" s="58">
        <f t="shared" si="192"/>
        <v>0</v>
      </c>
      <c r="N582" s="58">
        <f t="shared" si="185"/>
        <v>0</v>
      </c>
      <c r="O582" s="58">
        <f t="shared" si="186"/>
        <v>0</v>
      </c>
      <c r="P582" s="58">
        <f t="shared" si="187"/>
        <v>285.80862147921005</v>
      </c>
      <c r="Q582" s="58">
        <f>IF(H582=1,I582*VEHICLE!$C$69,IF(H582=2,VEHICLE!$C$70*I582,IF(H582=3,VEHICLE!$C$71*I582,0)))</f>
        <v>0</v>
      </c>
      <c r="R582" s="58">
        <f>(J582+K582+O582+Q582)</f>
        <v>285.80862147921005</v>
      </c>
      <c r="S582" s="58">
        <f t="shared" si="188"/>
        <v>285.80862147921005</v>
      </c>
      <c r="T582" s="58">
        <f>ABS((R582)/((2*PI()*G582)/60))</f>
        <v>2.7292712932018039</v>
      </c>
      <c r="U582" s="58">
        <f t="shared" si="189"/>
        <v>3</v>
      </c>
      <c r="V582" s="58">
        <f>INDEX(BSFC!$D$4:$AD$26,MATCH(U582,BSFC!$B$4:$B$26,0),MATCH(G582,BSFC!$D$2:$AD$2,0))</f>
        <v>927.64713984000002</v>
      </c>
      <c r="W582" s="58">
        <f t="shared" si="193"/>
        <v>7.364709729355623E-2</v>
      </c>
      <c r="X582" s="58">
        <f t="shared" si="190"/>
        <v>7.364709729355623E-2</v>
      </c>
      <c r="Y582" s="58">
        <f t="shared" si="191"/>
        <v>0.22756953063708873</v>
      </c>
      <c r="Z582" s="79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x14ac:dyDescent="0.3">
      <c r="A583" s="55">
        <v>2</v>
      </c>
      <c r="B583" s="58" t="s">
        <v>125</v>
      </c>
      <c r="C583" s="58">
        <f t="shared" si="175"/>
        <v>580</v>
      </c>
      <c r="D583" s="58">
        <f t="shared" si="184"/>
        <v>6.5096700000000007</v>
      </c>
      <c r="E583" s="58">
        <f t="shared" si="183"/>
        <v>2.91</v>
      </c>
      <c r="F583" s="90">
        <f>($C$4/E583)+F582</f>
        <v>73.694072219016078</v>
      </c>
      <c r="G583" s="58">
        <f t="shared" si="182"/>
        <v>1000</v>
      </c>
      <c r="H583" s="58">
        <v>2</v>
      </c>
      <c r="I583" s="90">
        <f>E583-E582</f>
        <v>0</v>
      </c>
      <c r="J583" s="58">
        <f>(0.5*VEHICLE!$C$71*VEHICLE!$C$28*VEHICLE!$C$27*'Drive Cycle'!E583^2)</f>
        <v>7.5332564792100003</v>
      </c>
      <c r="K583" s="58">
        <f>IF(A583=1,VEHICLE!$S$5,IF(A583=2,VEHICLE!$Q$5,IF(A583=3,VEHICLE!$R$5,IF(A583=4,VEHICLE!$P$5,1))))</f>
        <v>278.27536500000002</v>
      </c>
      <c r="L583" s="58">
        <f t="shared" si="170"/>
        <v>0</v>
      </c>
      <c r="M583" s="58">
        <f t="shared" si="192"/>
        <v>0</v>
      </c>
      <c r="N583" s="58">
        <f t="shared" si="185"/>
        <v>0</v>
      </c>
      <c r="O583" s="58">
        <f t="shared" si="186"/>
        <v>0</v>
      </c>
      <c r="P583" s="58">
        <f t="shared" si="187"/>
        <v>285.80862147921005</v>
      </c>
      <c r="Q583" s="58">
        <f>IF(H583=1,I583*VEHICLE!$C$69,IF(H583=2,VEHICLE!$C$70*I583,IF(H583=3,VEHICLE!$C$71*I583,0)))</f>
        <v>0</v>
      </c>
      <c r="R583" s="58">
        <f>(J583+K583+O583+Q583)</f>
        <v>285.80862147921005</v>
      </c>
      <c r="S583" s="58">
        <f t="shared" si="188"/>
        <v>285.80862147921005</v>
      </c>
      <c r="T583" s="58">
        <f>ABS((R583)/((2*PI()*G583)/60))</f>
        <v>2.7292712932018039</v>
      </c>
      <c r="U583" s="58">
        <f t="shared" si="189"/>
        <v>3</v>
      </c>
      <c r="V583" s="58">
        <f>INDEX(BSFC!$D$4:$AD$26,MATCH(U583,BSFC!$B$4:$B$26,0),MATCH(G583,BSFC!$D$2:$AD$2,0))</f>
        <v>927.64713984000002</v>
      </c>
      <c r="W583" s="58">
        <f t="shared" si="193"/>
        <v>7.364709729355623E-2</v>
      </c>
      <c r="X583" s="58">
        <f t="shared" si="190"/>
        <v>7.364709729355623E-2</v>
      </c>
      <c r="Y583" s="58">
        <f t="shared" si="191"/>
        <v>0.22756953063708873</v>
      </c>
      <c r="Z583" s="79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x14ac:dyDescent="0.3">
      <c r="A584" s="55">
        <v>2</v>
      </c>
      <c r="B584" s="58" t="s">
        <v>125</v>
      </c>
      <c r="C584" s="58">
        <f t="shared" si="175"/>
        <v>581</v>
      </c>
      <c r="D584" s="58">
        <f t="shared" si="184"/>
        <v>6.5096700000000007</v>
      </c>
      <c r="E584" s="58">
        <f t="shared" si="183"/>
        <v>2.91</v>
      </c>
      <c r="F584" s="90">
        <f>($C$4/E584)+F583</f>
        <v>74.037714830699926</v>
      </c>
      <c r="G584" s="58">
        <f t="shared" si="182"/>
        <v>1000</v>
      </c>
      <c r="H584" s="58">
        <v>2</v>
      </c>
      <c r="I584" s="90">
        <f>E584-E583</f>
        <v>0</v>
      </c>
      <c r="J584" s="58">
        <f>(0.5*VEHICLE!$C$71*VEHICLE!$C$28*VEHICLE!$C$27*'Drive Cycle'!E584^2)</f>
        <v>7.5332564792100003</v>
      </c>
      <c r="K584" s="58">
        <f>IF(A584=1,VEHICLE!$S$5,IF(A584=2,VEHICLE!$Q$5,IF(A584=3,VEHICLE!$R$5,IF(A584=4,VEHICLE!$P$5,1))))</f>
        <v>278.27536500000002</v>
      </c>
      <c r="L584" s="58">
        <f t="shared" si="170"/>
        <v>0</v>
      </c>
      <c r="M584" s="58">
        <f t="shared" si="192"/>
        <v>0</v>
      </c>
      <c r="N584" s="58">
        <f t="shared" si="185"/>
        <v>0</v>
      </c>
      <c r="O584" s="58">
        <f t="shared" si="186"/>
        <v>0</v>
      </c>
      <c r="P584" s="58">
        <f t="shared" si="187"/>
        <v>285.80862147921005</v>
      </c>
      <c r="Q584" s="58">
        <f>IF(H584=1,I584*VEHICLE!$C$69,IF(H584=2,VEHICLE!$C$70*I584,IF(H584=3,VEHICLE!$C$71*I584,0)))</f>
        <v>0</v>
      </c>
      <c r="R584" s="58">
        <f>(J584+K584+O584+Q584)</f>
        <v>285.80862147921005</v>
      </c>
      <c r="S584" s="58">
        <f t="shared" si="188"/>
        <v>285.80862147921005</v>
      </c>
      <c r="T584" s="58">
        <f>ABS((R584)/((2*PI()*G584)/60))</f>
        <v>2.7292712932018039</v>
      </c>
      <c r="U584" s="58">
        <f t="shared" si="189"/>
        <v>3</v>
      </c>
      <c r="V584" s="58">
        <f>INDEX(BSFC!$D$4:$AD$26,MATCH(U584,BSFC!$B$4:$B$26,0),MATCH(G584,BSFC!$D$2:$AD$2,0))</f>
        <v>927.64713984000002</v>
      </c>
      <c r="W584" s="58">
        <f t="shared" si="193"/>
        <v>7.364709729355623E-2</v>
      </c>
      <c r="X584" s="58">
        <f t="shared" si="190"/>
        <v>7.364709729355623E-2</v>
      </c>
      <c r="Y584" s="58">
        <f t="shared" si="191"/>
        <v>0.22756953063708873</v>
      </c>
      <c r="Z584" s="79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x14ac:dyDescent="0.3">
      <c r="A585" s="55">
        <v>2</v>
      </c>
      <c r="B585" s="58" t="s">
        <v>125</v>
      </c>
      <c r="C585" s="58">
        <f t="shared" si="175"/>
        <v>582</v>
      </c>
      <c r="D585" s="58">
        <f t="shared" si="184"/>
        <v>6.5096700000000007</v>
      </c>
      <c r="E585" s="58">
        <f t="shared" si="183"/>
        <v>2.91</v>
      </c>
      <c r="F585" s="90">
        <f>($C$4/E585)+F584</f>
        <v>74.381357442383774</v>
      </c>
      <c r="G585" s="58">
        <f t="shared" si="182"/>
        <v>1000</v>
      </c>
      <c r="H585" s="58">
        <v>2</v>
      </c>
      <c r="I585" s="90">
        <f>E585-E584</f>
        <v>0</v>
      </c>
      <c r="J585" s="58">
        <f>(0.5*VEHICLE!$C$71*VEHICLE!$C$28*VEHICLE!$C$27*'Drive Cycle'!E585^2)</f>
        <v>7.5332564792100003</v>
      </c>
      <c r="K585" s="58">
        <f>IF(A585=1,VEHICLE!$S$5,IF(A585=2,VEHICLE!$Q$5,IF(A585=3,VEHICLE!$R$5,IF(A585=4,VEHICLE!$P$5,1))))</f>
        <v>278.27536500000002</v>
      </c>
      <c r="L585" s="58">
        <f t="shared" si="170"/>
        <v>0</v>
      </c>
      <c r="M585" s="58">
        <f t="shared" si="192"/>
        <v>0</v>
      </c>
      <c r="N585" s="58">
        <f t="shared" si="185"/>
        <v>0</v>
      </c>
      <c r="O585" s="58">
        <f t="shared" si="186"/>
        <v>0</v>
      </c>
      <c r="P585" s="58">
        <f t="shared" si="187"/>
        <v>285.80862147921005</v>
      </c>
      <c r="Q585" s="58">
        <f>IF(H585=1,I585*VEHICLE!$C$69,IF(H585=2,VEHICLE!$C$70*I585,IF(H585=3,VEHICLE!$C$71*I585,0)))</f>
        <v>0</v>
      </c>
      <c r="R585" s="58">
        <f>(J585+K585+O585+Q585)</f>
        <v>285.80862147921005</v>
      </c>
      <c r="S585" s="58">
        <f t="shared" si="188"/>
        <v>285.80862147921005</v>
      </c>
      <c r="T585" s="58">
        <f>ABS((R585)/((2*PI()*G585)/60))</f>
        <v>2.7292712932018039</v>
      </c>
      <c r="U585" s="58">
        <f t="shared" si="189"/>
        <v>3</v>
      </c>
      <c r="V585" s="58">
        <f>INDEX(BSFC!$D$4:$AD$26,MATCH(U585,BSFC!$B$4:$B$26,0),MATCH(G585,BSFC!$D$2:$AD$2,0))</f>
        <v>927.64713984000002</v>
      </c>
      <c r="W585" s="58">
        <f t="shared" si="193"/>
        <v>7.364709729355623E-2</v>
      </c>
      <c r="X585" s="58">
        <f t="shared" si="190"/>
        <v>7.364709729355623E-2</v>
      </c>
      <c r="Y585" s="58">
        <f t="shared" si="191"/>
        <v>0.22756953063708873</v>
      </c>
      <c r="Z585" s="79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x14ac:dyDescent="0.3">
      <c r="A586" s="55">
        <v>2</v>
      </c>
      <c r="B586" s="58" t="s">
        <v>125</v>
      </c>
      <c r="C586" s="58">
        <f t="shared" si="175"/>
        <v>583</v>
      </c>
      <c r="D586" s="58">
        <f t="shared" si="184"/>
        <v>6.5096700000000007</v>
      </c>
      <c r="E586" s="58">
        <f t="shared" si="183"/>
        <v>2.91</v>
      </c>
      <c r="F586" s="90">
        <f>($C$4/E586)+F585</f>
        <v>74.725000054067621</v>
      </c>
      <c r="G586" s="58">
        <f t="shared" si="182"/>
        <v>1000</v>
      </c>
      <c r="H586" s="58">
        <v>2</v>
      </c>
      <c r="I586" s="90">
        <f>E586-E585</f>
        <v>0</v>
      </c>
      <c r="J586" s="58">
        <f>(0.5*VEHICLE!$C$71*VEHICLE!$C$28*VEHICLE!$C$27*'Drive Cycle'!E586^2)</f>
        <v>7.5332564792100003</v>
      </c>
      <c r="K586" s="58">
        <f>IF(A586=1,VEHICLE!$S$5,IF(A586=2,VEHICLE!$Q$5,IF(A586=3,VEHICLE!$R$5,IF(A586=4,VEHICLE!$P$5,1))))</f>
        <v>278.27536500000002</v>
      </c>
      <c r="L586" s="58">
        <f t="shared" si="170"/>
        <v>0</v>
      </c>
      <c r="M586" s="58">
        <f t="shared" si="192"/>
        <v>0</v>
      </c>
      <c r="N586" s="58">
        <f t="shared" si="185"/>
        <v>0</v>
      </c>
      <c r="O586" s="58">
        <f t="shared" si="186"/>
        <v>0</v>
      </c>
      <c r="P586" s="58">
        <f t="shared" si="187"/>
        <v>285.80862147921005</v>
      </c>
      <c r="Q586" s="58">
        <f>IF(H586=1,I586*VEHICLE!$C$69,IF(H586=2,VEHICLE!$C$70*I586,IF(H586=3,VEHICLE!$C$71*I586,0)))</f>
        <v>0</v>
      </c>
      <c r="R586" s="58">
        <f>(J586+K586+O586+Q586)</f>
        <v>285.80862147921005</v>
      </c>
      <c r="S586" s="58">
        <f t="shared" si="188"/>
        <v>285.80862147921005</v>
      </c>
      <c r="T586" s="58">
        <f>ABS((R586)/((2*PI()*G586)/60))</f>
        <v>2.7292712932018039</v>
      </c>
      <c r="U586" s="58">
        <f t="shared" si="189"/>
        <v>3</v>
      </c>
      <c r="V586" s="58">
        <f>INDEX(BSFC!$D$4:$AD$26,MATCH(U586,BSFC!$B$4:$B$26,0),MATCH(G586,BSFC!$D$2:$AD$2,0))</f>
        <v>927.64713984000002</v>
      </c>
      <c r="W586" s="58">
        <f t="shared" si="193"/>
        <v>7.364709729355623E-2</v>
      </c>
      <c r="X586" s="58">
        <f t="shared" si="190"/>
        <v>7.364709729355623E-2</v>
      </c>
      <c r="Y586" s="58">
        <f t="shared" si="191"/>
        <v>0.22756953063708873</v>
      </c>
      <c r="Z586" s="79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x14ac:dyDescent="0.3">
      <c r="A587" s="55">
        <v>2</v>
      </c>
      <c r="B587" s="58" t="s">
        <v>125</v>
      </c>
      <c r="C587" s="58">
        <f t="shared" si="175"/>
        <v>584</v>
      </c>
      <c r="D587" s="58">
        <f t="shared" si="184"/>
        <v>7.1807699999999999</v>
      </c>
      <c r="E587" s="58">
        <f>E586+0.3</f>
        <v>3.21</v>
      </c>
      <c r="F587" s="90">
        <f>($C$4/E587)+F586</f>
        <v>75.036526533818403</v>
      </c>
      <c r="G587" s="58">
        <f>G586+250</f>
        <v>1250</v>
      </c>
      <c r="H587" s="58">
        <v>2</v>
      </c>
      <c r="I587" s="90">
        <f>E587-E586</f>
        <v>0.29999999999999982</v>
      </c>
      <c r="J587" s="58">
        <f>(0.5*VEHICLE!$C$71*VEHICLE!$C$28*VEHICLE!$C$27*'Drive Cycle'!E587^2)</f>
        <v>9.1665696068099987</v>
      </c>
      <c r="K587" s="58">
        <f>IF(A587=1,VEHICLE!$S$5,IF(A587=2,VEHICLE!$Q$5,IF(A587=3,VEHICLE!$R$5,IF(A587=4,VEHICLE!$P$5,1))))</f>
        <v>278.27536500000002</v>
      </c>
      <c r="L587" s="58">
        <f t="shared" si="170"/>
        <v>0</v>
      </c>
      <c r="M587" s="58">
        <f t="shared" si="192"/>
        <v>0</v>
      </c>
      <c r="N587" s="58">
        <f t="shared" si="185"/>
        <v>0</v>
      </c>
      <c r="O587" s="58">
        <f t="shared" si="186"/>
        <v>0</v>
      </c>
      <c r="P587" s="58">
        <f t="shared" si="187"/>
        <v>287.44193460681004</v>
      </c>
      <c r="Q587" s="58">
        <f>IF(H587=1,I587*VEHICLE!$C$69,IF(H587=2,VEHICLE!$C$70*I587,IF(H587=3,VEHICLE!$C$71*I587,0)))</f>
        <v>175.5445459590351</v>
      </c>
      <c r="R587" s="58">
        <f>(J587+K587+O587+Q587)</f>
        <v>462.98648056584511</v>
      </c>
      <c r="S587" s="58">
        <f t="shared" si="188"/>
        <v>462.98648056584511</v>
      </c>
      <c r="T587" s="58">
        <f>ABS((R587)/((2*PI()*G587)/60))</f>
        <v>3.5369561744051512</v>
      </c>
      <c r="U587" s="58">
        <f t="shared" si="189"/>
        <v>4</v>
      </c>
      <c r="V587" s="58">
        <f>INDEX(BSFC!$D$4:$AD$26,MATCH(U587,BSFC!$B$4:$B$26,0),MATCH(G587,BSFC!$D$2:$AD$2,0))</f>
        <v>795.95460288000015</v>
      </c>
      <c r="W587" s="58">
        <f t="shared" si="193"/>
        <v>0.10236561674377671</v>
      </c>
      <c r="X587" s="58">
        <f t="shared" si="190"/>
        <v>0.10236561674377671</v>
      </c>
      <c r="Y587" s="58">
        <f t="shared" si="191"/>
        <v>0.31630975573827003</v>
      </c>
      <c r="Z587" s="79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x14ac:dyDescent="0.3">
      <c r="A588" s="55">
        <v>2</v>
      </c>
      <c r="B588" s="58" t="s">
        <v>125</v>
      </c>
      <c r="C588" s="58">
        <f t="shared" si="175"/>
        <v>585</v>
      </c>
      <c r="D588" s="58">
        <f t="shared" si="184"/>
        <v>7.8518699999999999</v>
      </c>
      <c r="E588" s="58">
        <f t="shared" ref="E588:E594" si="194">E587+0.3</f>
        <v>3.51</v>
      </c>
      <c r="F588" s="90">
        <f>($C$4/E588)+F587</f>
        <v>75.321426818718692</v>
      </c>
      <c r="G588" s="58">
        <f t="shared" ref="G588:G604" si="195">G587+250</f>
        <v>1500</v>
      </c>
      <c r="H588" s="58">
        <v>2</v>
      </c>
      <c r="I588" s="90">
        <f>E588-E587</f>
        <v>0.29999999999999982</v>
      </c>
      <c r="J588" s="58">
        <f>(0.5*VEHICLE!$C$71*VEHICLE!$C$28*VEHICLE!$C$27*'Drive Cycle'!E588^2)</f>
        <v>10.960011472409997</v>
      </c>
      <c r="K588" s="58">
        <f>IF(A588=1,VEHICLE!$S$5,IF(A588=2,VEHICLE!$Q$5,IF(A588=3,VEHICLE!$R$5,IF(A588=4,VEHICLE!$P$5,1))))</f>
        <v>278.27536500000002</v>
      </c>
      <c r="L588" s="58">
        <f t="shared" si="170"/>
        <v>0</v>
      </c>
      <c r="M588" s="58">
        <f t="shared" si="192"/>
        <v>0</v>
      </c>
      <c r="N588" s="58">
        <f t="shared" si="185"/>
        <v>0</v>
      </c>
      <c r="O588" s="58">
        <f t="shared" si="186"/>
        <v>0</v>
      </c>
      <c r="P588" s="58">
        <f t="shared" si="187"/>
        <v>289.23537647241</v>
      </c>
      <c r="Q588" s="58">
        <f>IF(H588=1,I588*VEHICLE!$C$69,IF(H588=2,VEHICLE!$C$70*I588,IF(H588=3,VEHICLE!$C$71*I588,0)))</f>
        <v>175.5445459590351</v>
      </c>
      <c r="R588" s="58">
        <f>(J588+K588+O588+Q588)</f>
        <v>464.77992243144513</v>
      </c>
      <c r="S588" s="58">
        <f t="shared" si="188"/>
        <v>464.77992243144513</v>
      </c>
      <c r="T588" s="58">
        <f>ABS((R588)/((2*PI()*G588)/60))</f>
        <v>2.9588808841932872</v>
      </c>
      <c r="U588" s="58">
        <f t="shared" si="189"/>
        <v>3</v>
      </c>
      <c r="V588" s="58">
        <f>INDEX(BSFC!$D$4:$AD$26,MATCH(U588,BSFC!$B$4:$B$26,0),MATCH(G588,BSFC!$D$2:$AD$2,0))</f>
        <v>912.12649008000005</v>
      </c>
      <c r="W588" s="58">
        <f t="shared" si="193"/>
        <v>0.11776057758529132</v>
      </c>
      <c r="X588" s="58">
        <f t="shared" si="190"/>
        <v>0.11776057758529132</v>
      </c>
      <c r="Y588" s="58">
        <f t="shared" si="191"/>
        <v>0.36388018473855016</v>
      </c>
      <c r="Z588" s="79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x14ac:dyDescent="0.3">
      <c r="A589" s="55">
        <v>2</v>
      </c>
      <c r="B589" s="58" t="s">
        <v>125</v>
      </c>
      <c r="C589" s="58">
        <f t="shared" si="175"/>
        <v>586</v>
      </c>
      <c r="D589" s="58">
        <f t="shared" si="184"/>
        <v>8.522969999999999</v>
      </c>
      <c r="E589" s="58">
        <f t="shared" si="194"/>
        <v>3.8099999999999996</v>
      </c>
      <c r="F589" s="90">
        <f>($C$4/E589)+F588</f>
        <v>75.583894010319739</v>
      </c>
      <c r="G589" s="58">
        <f t="shared" si="195"/>
        <v>1750</v>
      </c>
      <c r="H589" s="58">
        <v>2</v>
      </c>
      <c r="I589" s="90">
        <f>E589-E588</f>
        <v>0.29999999999999982</v>
      </c>
      <c r="J589" s="58">
        <f>(0.5*VEHICLE!$C$71*VEHICLE!$C$28*VEHICLE!$C$27*'Drive Cycle'!E589^2)</f>
        <v>12.913582076009995</v>
      </c>
      <c r="K589" s="58">
        <f>IF(A589=1,VEHICLE!$S$5,IF(A589=2,VEHICLE!$Q$5,IF(A589=3,VEHICLE!$R$5,IF(A589=4,VEHICLE!$P$5,1))))</f>
        <v>278.27536500000002</v>
      </c>
      <c r="L589" s="58">
        <f t="shared" si="170"/>
        <v>0</v>
      </c>
      <c r="M589" s="58">
        <f t="shared" si="192"/>
        <v>0</v>
      </c>
      <c r="N589" s="58">
        <f t="shared" si="185"/>
        <v>0</v>
      </c>
      <c r="O589" s="58">
        <f t="shared" si="186"/>
        <v>0</v>
      </c>
      <c r="P589" s="58">
        <f t="shared" si="187"/>
        <v>291.18894707601004</v>
      </c>
      <c r="Q589" s="58">
        <f>IF(H589=1,I589*VEHICLE!$C$69,IF(H589=2,VEHICLE!$C$70*I589,IF(H589=3,VEHICLE!$C$71*I589,0)))</f>
        <v>175.5445459590351</v>
      </c>
      <c r="R589" s="58">
        <f>(J589+K589+O589+Q589)</f>
        <v>466.73349303504517</v>
      </c>
      <c r="S589" s="58">
        <f t="shared" si="188"/>
        <v>466.73349303504517</v>
      </c>
      <c r="T589" s="58">
        <f>ABS((R589)/((2*PI()*G589)/60))</f>
        <v>2.5468437436482567</v>
      </c>
      <c r="U589" s="58">
        <f t="shared" si="189"/>
        <v>3</v>
      </c>
      <c r="V589" s="58">
        <f>INDEX(BSFC!$D$4:$AD$26,MATCH(U589,BSFC!$B$4:$B$26,0),MATCH(G589,BSFC!$D$2:$AD$2,0))</f>
        <v>855.94153920000042</v>
      </c>
      <c r="W589" s="58">
        <f t="shared" si="193"/>
        <v>0.11097127345128036</v>
      </c>
      <c r="X589" s="58">
        <f t="shared" si="190"/>
        <v>0.11097127345128036</v>
      </c>
      <c r="Y589" s="58">
        <f t="shared" si="191"/>
        <v>0.34290123496445629</v>
      </c>
      <c r="Z589" s="79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x14ac:dyDescent="0.3">
      <c r="A590" s="55">
        <v>2</v>
      </c>
      <c r="B590" s="58" t="s">
        <v>125</v>
      </c>
      <c r="C590" s="58">
        <f t="shared" si="175"/>
        <v>587</v>
      </c>
      <c r="D590" s="58">
        <f t="shared" si="184"/>
        <v>9.19407</v>
      </c>
      <c r="E590" s="58">
        <f t="shared" si="194"/>
        <v>4.1099999999999994</v>
      </c>
      <c r="F590" s="90">
        <f>($C$4/E590)+F589</f>
        <v>75.827203012752832</v>
      </c>
      <c r="G590" s="58">
        <f t="shared" si="195"/>
        <v>2000</v>
      </c>
      <c r="H590" s="58">
        <v>2</v>
      </c>
      <c r="I590" s="90">
        <f>E590-E589</f>
        <v>0.29999999999999982</v>
      </c>
      <c r="J590" s="58">
        <f>(0.5*VEHICLE!$C$71*VEHICLE!$C$28*VEHICLE!$C$27*'Drive Cycle'!E590^2)</f>
        <v>15.027281417609995</v>
      </c>
      <c r="K590" s="58">
        <f>IF(A590=1,VEHICLE!$S$5,IF(A590=2,VEHICLE!$Q$5,IF(A590=3,VEHICLE!$R$5,IF(A590=4,VEHICLE!$P$5,1))))</f>
        <v>278.27536500000002</v>
      </c>
      <c r="L590" s="58">
        <f t="shared" si="170"/>
        <v>0</v>
      </c>
      <c r="M590" s="58">
        <f t="shared" si="192"/>
        <v>0</v>
      </c>
      <c r="N590" s="58">
        <f t="shared" si="185"/>
        <v>0</v>
      </c>
      <c r="O590" s="58">
        <f t="shared" si="186"/>
        <v>0</v>
      </c>
      <c r="P590" s="58">
        <f t="shared" si="187"/>
        <v>293.30264641760999</v>
      </c>
      <c r="Q590" s="58">
        <f>IF(H590=1,I590*VEHICLE!$C$69,IF(H590=2,VEHICLE!$C$70*I590,IF(H590=3,VEHICLE!$C$71*I590,0)))</f>
        <v>175.5445459590351</v>
      </c>
      <c r="R590" s="58">
        <f>(J590+K590+O590+Q590)</f>
        <v>468.84719237664513</v>
      </c>
      <c r="S590" s="58">
        <f t="shared" si="188"/>
        <v>468.84719237664513</v>
      </c>
      <c r="T590" s="58">
        <f>ABS((R590)/((2*PI()*G590)/60))</f>
        <v>2.2385804466449959</v>
      </c>
      <c r="U590" s="58">
        <f t="shared" si="189"/>
        <v>3</v>
      </c>
      <c r="V590" s="58">
        <f>INDEX(BSFC!$D$4:$AD$26,MATCH(U590,BSFC!$B$4:$B$26,0),MATCH(G590,BSFC!$D$2:$AD$2,0))</f>
        <v>871.70053920000043</v>
      </c>
      <c r="W590" s="58">
        <f t="shared" si="193"/>
        <v>0.11352620844364664</v>
      </c>
      <c r="X590" s="58">
        <f t="shared" si="190"/>
        <v>0.11352620844364664</v>
      </c>
      <c r="Y590" s="58">
        <f t="shared" si="191"/>
        <v>0.3507959840908681</v>
      </c>
      <c r="Z590" s="79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x14ac:dyDescent="0.3">
      <c r="A591" s="55">
        <v>2</v>
      </c>
      <c r="B591" s="58" t="s">
        <v>125</v>
      </c>
      <c r="C591" s="58">
        <f t="shared" si="175"/>
        <v>588</v>
      </c>
      <c r="D591" s="58">
        <f t="shared" si="184"/>
        <v>9.8651699999999991</v>
      </c>
      <c r="E591" s="58">
        <f t="shared" si="194"/>
        <v>4.4099999999999993</v>
      </c>
      <c r="F591" s="90">
        <f>($C$4/E591)+F590</f>
        <v>76.05396038236735</v>
      </c>
      <c r="G591" s="58">
        <f t="shared" si="195"/>
        <v>2250</v>
      </c>
      <c r="H591" s="58">
        <v>2</v>
      </c>
      <c r="I591" s="90">
        <f>E591-E590</f>
        <v>0.29999999999999982</v>
      </c>
      <c r="J591" s="58">
        <f>(0.5*VEHICLE!$C$71*VEHICLE!$C$28*VEHICLE!$C$27*'Drive Cycle'!E591^2)</f>
        <v>17.301109497209993</v>
      </c>
      <c r="K591" s="58">
        <f>IF(A591=1,VEHICLE!$S$5,IF(A591=2,VEHICLE!$Q$5,IF(A591=3,VEHICLE!$R$5,IF(A591=4,VEHICLE!$P$5,1))))</f>
        <v>278.27536500000002</v>
      </c>
      <c r="L591" s="58">
        <f t="shared" si="170"/>
        <v>0</v>
      </c>
      <c r="M591" s="58">
        <f t="shared" si="192"/>
        <v>0</v>
      </c>
      <c r="N591" s="58">
        <f t="shared" si="185"/>
        <v>0</v>
      </c>
      <c r="O591" s="58">
        <f t="shared" si="186"/>
        <v>0</v>
      </c>
      <c r="P591" s="58">
        <f t="shared" si="187"/>
        <v>295.57647449721003</v>
      </c>
      <c r="Q591" s="58">
        <f>IF(H591=1,I591*VEHICLE!$C$69,IF(H591=2,VEHICLE!$C$70*I591,IF(H591=3,VEHICLE!$C$71*I591,0)))</f>
        <v>175.5445459590351</v>
      </c>
      <c r="R591" s="58">
        <f>(J591+K591+O591+Q591)</f>
        <v>471.12102045624511</v>
      </c>
      <c r="S591" s="58">
        <f t="shared" si="188"/>
        <v>471.12102045624511</v>
      </c>
      <c r="T591" s="58">
        <f>ABS((R591)/((2*PI()*G591)/60))</f>
        <v>1.9994997120029159</v>
      </c>
      <c r="U591" s="58">
        <f t="shared" si="189"/>
        <v>2</v>
      </c>
      <c r="V591" s="58">
        <f>INDEX(BSFC!$D$4:$AD$26,MATCH(U591,BSFC!$B$4:$B$26,0),MATCH(G591,BSFC!$D$2:$AD$2,0))</f>
        <v>976.05928224000047</v>
      </c>
      <c r="W591" s="58">
        <f t="shared" si="193"/>
        <v>0.12773390140963864</v>
      </c>
      <c r="X591" s="58">
        <f t="shared" si="190"/>
        <v>0.12773390140963864</v>
      </c>
      <c r="Y591" s="58">
        <f t="shared" si="191"/>
        <v>0.39469775535578339</v>
      </c>
      <c r="Z591" s="79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x14ac:dyDescent="0.3">
      <c r="A592" s="55">
        <v>3</v>
      </c>
      <c r="B592" s="60" t="s">
        <v>111</v>
      </c>
      <c r="C592" s="60">
        <f t="shared" si="175"/>
        <v>589</v>
      </c>
      <c r="D592" s="60">
        <f t="shared" si="184"/>
        <v>10.536269999999998</v>
      </c>
      <c r="E592" s="60">
        <f t="shared" si="194"/>
        <v>4.7099999999999991</v>
      </c>
      <c r="F592" s="89">
        <f>($C$4/E592)+F591</f>
        <v>76.266274607420428</v>
      </c>
      <c r="G592" s="60">
        <f t="shared" si="195"/>
        <v>2500</v>
      </c>
      <c r="H592" s="60">
        <v>2</v>
      </c>
      <c r="I592" s="89">
        <f>E592-E591</f>
        <v>0.29999999999999982</v>
      </c>
      <c r="J592" s="60">
        <f>(0.5*VEHICLE!$C$71*VEHICLE!$C$28*VEHICLE!$C$27*'Drive Cycle'!E592^2)</f>
        <v>19.735066314809988</v>
      </c>
      <c r="K592" s="60">
        <f>IF(A592=1,VEHICLE!$S$5,IF(A592=2,VEHICLE!$Q$5,IF(A592=3,VEHICLE!$R$5,IF(A592=4,VEHICLE!$P$5,1))))</f>
        <v>556.55073000000004</v>
      </c>
      <c r="L592" s="60">
        <f t="shared" si="170"/>
        <v>0</v>
      </c>
      <c r="M592" s="60">
        <f t="shared" si="192"/>
        <v>0</v>
      </c>
      <c r="N592" s="60">
        <f t="shared" si="185"/>
        <v>0</v>
      </c>
      <c r="O592" s="60">
        <f t="shared" si="186"/>
        <v>0</v>
      </c>
      <c r="P592" s="60">
        <f t="shared" si="187"/>
        <v>576.28579631481</v>
      </c>
      <c r="Q592" s="60">
        <f>IF(H592=1,I592*VEHICLE!$C$69,IF(H592=2,VEHICLE!$C$70*I592,IF(H592=3,VEHICLE!$C$71*I592,0)))</f>
        <v>175.5445459590351</v>
      </c>
      <c r="R592" s="60">
        <f>(J592+K592+O592+Q592)</f>
        <v>751.83034227384508</v>
      </c>
      <c r="S592" s="60">
        <f t="shared" si="188"/>
        <v>751.83034227384508</v>
      </c>
      <c r="T592" s="60">
        <f>ABS((R592)/((2*PI()*G592)/60))</f>
        <v>2.871780368144496</v>
      </c>
      <c r="U592" s="60">
        <f t="shared" si="189"/>
        <v>3</v>
      </c>
      <c r="V592" s="60">
        <f>INDEX(BSFC!$D$4:$AD$26,MATCH(U592,BSFC!$B$4:$B$26,0),MATCH(G592,BSFC!$D$2:$AD$2,0))</f>
        <v>898.36185024000031</v>
      </c>
      <c r="W592" s="60">
        <f t="shared" si="193"/>
        <v>0.1876154714865845</v>
      </c>
      <c r="X592" s="60">
        <f t="shared" si="190"/>
        <v>0.1876154714865845</v>
      </c>
      <c r="Y592" s="60">
        <f t="shared" si="191"/>
        <v>0.57973180689354609</v>
      </c>
      <c r="Z592" s="79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x14ac:dyDescent="0.3">
      <c r="A593" s="55">
        <v>3</v>
      </c>
      <c r="B593" s="60" t="s">
        <v>111</v>
      </c>
      <c r="C593" s="60">
        <f t="shared" si="175"/>
        <v>590</v>
      </c>
      <c r="D593" s="60">
        <f t="shared" si="184"/>
        <v>11.207369999999997</v>
      </c>
      <c r="E593" s="60">
        <f t="shared" si="194"/>
        <v>5.0099999999999989</v>
      </c>
      <c r="F593" s="89">
        <f>($C$4/E593)+F592</f>
        <v>76.465875405823624</v>
      </c>
      <c r="G593" s="60">
        <f t="shared" si="195"/>
        <v>2750</v>
      </c>
      <c r="H593" s="60">
        <v>2</v>
      </c>
      <c r="I593" s="89">
        <f>E593-E592</f>
        <v>0.29999999999999982</v>
      </c>
      <c r="J593" s="60">
        <f>(0.5*VEHICLE!$C$71*VEHICLE!$C$28*VEHICLE!$C$27*'Drive Cycle'!E593^2)</f>
        <v>22.329151870409991</v>
      </c>
      <c r="K593" s="60">
        <f>IF(A593=1,VEHICLE!$S$5,IF(A593=2,VEHICLE!$Q$5,IF(A593=3,VEHICLE!$R$5,IF(A593=4,VEHICLE!$P$5,1))))</f>
        <v>556.55073000000004</v>
      </c>
      <c r="L593" s="60">
        <f t="shared" si="170"/>
        <v>0</v>
      </c>
      <c r="M593" s="60">
        <f t="shared" si="192"/>
        <v>0</v>
      </c>
      <c r="N593" s="60">
        <f t="shared" si="185"/>
        <v>0</v>
      </c>
      <c r="O593" s="60">
        <f t="shared" si="186"/>
        <v>0</v>
      </c>
      <c r="P593" s="60">
        <f t="shared" si="187"/>
        <v>578.87988187041003</v>
      </c>
      <c r="Q593" s="60">
        <f>IF(H593=1,I593*VEHICLE!$C$69,IF(H593=2,VEHICLE!$C$70*I593,IF(H593=3,VEHICLE!$C$71*I593,0)))</f>
        <v>175.5445459590351</v>
      </c>
      <c r="R593" s="60">
        <f>(J593+K593+O593+Q593)</f>
        <v>754.42442782944511</v>
      </c>
      <c r="S593" s="60">
        <f t="shared" si="188"/>
        <v>754.42442782944511</v>
      </c>
      <c r="T593" s="60">
        <f>ABS((R593)/((2*PI()*G593)/60))</f>
        <v>2.6197173137090415</v>
      </c>
      <c r="U593" s="60">
        <f t="shared" si="189"/>
        <v>3</v>
      </c>
      <c r="V593" s="60">
        <f>INDEX(BSFC!$D$4:$AD$26,MATCH(U593,BSFC!$B$4:$B$26,0),MATCH(G593,BSFC!$D$2:$AD$2,0))</f>
        <v>892.76689024000029</v>
      </c>
      <c r="W593" s="60">
        <f t="shared" si="193"/>
        <v>0.1870903195428848</v>
      </c>
      <c r="X593" s="60">
        <f t="shared" si="190"/>
        <v>0.1870903195428848</v>
      </c>
      <c r="Y593" s="60">
        <f t="shared" si="191"/>
        <v>0.57810908738751399</v>
      </c>
      <c r="Z593" s="79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x14ac:dyDescent="0.3">
      <c r="A594" s="55">
        <v>3</v>
      </c>
      <c r="B594" s="60" t="s">
        <v>111</v>
      </c>
      <c r="C594" s="60">
        <f t="shared" si="175"/>
        <v>591</v>
      </c>
      <c r="D594" s="60">
        <f t="shared" si="184"/>
        <v>11.878469999999998</v>
      </c>
      <c r="E594" s="60">
        <f t="shared" si="194"/>
        <v>5.3099999999999987</v>
      </c>
      <c r="F594" s="89">
        <f>($C$4/E594)+F593</f>
        <v>76.654199322961105</v>
      </c>
      <c r="G594" s="60">
        <f t="shared" si="195"/>
        <v>3000</v>
      </c>
      <c r="H594" s="60">
        <v>2</v>
      </c>
      <c r="I594" s="89">
        <f>E594-E593</f>
        <v>0.29999999999999982</v>
      </c>
      <c r="J594" s="60">
        <f>(0.5*VEHICLE!$C$71*VEHICLE!$C$28*VEHICLE!$C$27*'Drive Cycle'!E594^2)</f>
        <v>25.083366164009984</v>
      </c>
      <c r="K594" s="60">
        <f>IF(A594=1,VEHICLE!$S$5,IF(A594=2,VEHICLE!$Q$5,IF(A594=3,VEHICLE!$R$5,IF(A594=4,VEHICLE!$P$5,1))))</f>
        <v>556.55073000000004</v>
      </c>
      <c r="L594" s="60">
        <f t="shared" si="170"/>
        <v>0</v>
      </c>
      <c r="M594" s="60">
        <f t="shared" si="192"/>
        <v>0</v>
      </c>
      <c r="N594" s="60">
        <f t="shared" si="185"/>
        <v>0</v>
      </c>
      <c r="O594" s="60">
        <f t="shared" si="186"/>
        <v>0</v>
      </c>
      <c r="P594" s="60">
        <f t="shared" si="187"/>
        <v>581.63409616400997</v>
      </c>
      <c r="Q594" s="60">
        <f>IF(H594=1,I594*VEHICLE!$C$69,IF(H594=2,VEHICLE!$C$70*I594,IF(H594=3,VEHICLE!$C$71*I594,0)))</f>
        <v>175.5445459590351</v>
      </c>
      <c r="R594" s="60">
        <f>(J594+K594+O594+Q594)</f>
        <v>757.17864212304505</v>
      </c>
      <c r="S594" s="60">
        <f t="shared" si="188"/>
        <v>757.17864212304505</v>
      </c>
      <c r="T594" s="60">
        <f>ABS((R594)/((2*PI()*G594)/60))</f>
        <v>2.4101744739498363</v>
      </c>
      <c r="U594" s="60">
        <f t="shared" si="189"/>
        <v>3</v>
      </c>
      <c r="V594" s="60">
        <f>INDEX(BSFC!$D$4:$AD$26,MATCH(U594,BSFC!$B$4:$B$26,0),MATCH(G594,BSFC!$D$2:$AD$2,0))</f>
        <v>875.83654128000001</v>
      </c>
      <c r="W594" s="60">
        <f t="shared" si="193"/>
        <v>0.18421242306892632</v>
      </c>
      <c r="X594" s="60">
        <f t="shared" si="190"/>
        <v>0.18421242306892632</v>
      </c>
      <c r="Y594" s="60">
        <f t="shared" si="191"/>
        <v>0.56921638728298229</v>
      </c>
      <c r="Z594" s="79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x14ac:dyDescent="0.3">
      <c r="A595" s="55">
        <v>3</v>
      </c>
      <c r="B595" s="60" t="s">
        <v>111</v>
      </c>
      <c r="C595" s="60">
        <f t="shared" si="175"/>
        <v>592</v>
      </c>
      <c r="D595" s="60">
        <f t="shared" si="184"/>
        <v>13.556219999999998</v>
      </c>
      <c r="E595" s="60">
        <f>E594+0.75</f>
        <v>6.0599999999999987</v>
      </c>
      <c r="F595" s="89">
        <f>($C$4/E595)+F594</f>
        <v>76.819215824611277</v>
      </c>
      <c r="G595" s="60">
        <f t="shared" si="195"/>
        <v>3250</v>
      </c>
      <c r="H595" s="60">
        <v>2</v>
      </c>
      <c r="I595" s="89">
        <f>E595-E594</f>
        <v>0.75</v>
      </c>
      <c r="J595" s="60">
        <f>(0.5*VEHICLE!$C$71*VEHICLE!$C$28*VEHICLE!$C$27*'Drive Cycle'!E595^2)</f>
        <v>32.669465126759981</v>
      </c>
      <c r="K595" s="60">
        <f>IF(A595=1,VEHICLE!$S$5,IF(A595=2,VEHICLE!$Q$5,IF(A595=3,VEHICLE!$R$5,IF(A595=4,VEHICLE!$P$5,1))))</f>
        <v>556.55073000000004</v>
      </c>
      <c r="L595" s="60">
        <f t="shared" si="170"/>
        <v>0</v>
      </c>
      <c r="M595" s="60">
        <f t="shared" si="192"/>
        <v>0</v>
      </c>
      <c r="N595" s="60">
        <f t="shared" si="185"/>
        <v>0</v>
      </c>
      <c r="O595" s="60">
        <f t="shared" si="186"/>
        <v>0</v>
      </c>
      <c r="P595" s="60">
        <f t="shared" si="187"/>
        <v>589.22019512676002</v>
      </c>
      <c r="Q595" s="60">
        <f>IF(H595=1,I595*VEHICLE!$C$69,IF(H595=2,VEHICLE!$C$70*I595,IF(H595=3,VEHICLE!$C$71*I595,0)))</f>
        <v>438.86136489758803</v>
      </c>
      <c r="R595" s="60">
        <f>(J595+K595+O595+Q595)</f>
        <v>1028.0815600243482</v>
      </c>
      <c r="S595" s="60">
        <f t="shared" si="188"/>
        <v>1028.0815600243482</v>
      </c>
      <c r="T595" s="60">
        <f>ABS((R595)/((2*PI()*G595)/60))</f>
        <v>3.0207556094677313</v>
      </c>
      <c r="U595" s="60">
        <f t="shared" si="189"/>
        <v>4</v>
      </c>
      <c r="V595" s="60">
        <f>INDEX(BSFC!$D$4:$AD$26,MATCH(U595,BSFC!$B$4:$B$26,0),MATCH(G595,BSFC!$D$2:$AD$2,0))</f>
        <v>789.30468391999989</v>
      </c>
      <c r="W595" s="60">
        <f t="shared" si="193"/>
        <v>0.22540821966083294</v>
      </c>
      <c r="X595" s="60">
        <f t="shared" si="190"/>
        <v>0.22540821966083294</v>
      </c>
      <c r="Y595" s="60">
        <f t="shared" si="191"/>
        <v>0.69651139875197376</v>
      </c>
      <c r="Z595" s="79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x14ac:dyDescent="0.3">
      <c r="A596" s="55">
        <v>3</v>
      </c>
      <c r="B596" s="60" t="s">
        <v>111</v>
      </c>
      <c r="C596" s="60">
        <f t="shared" si="175"/>
        <v>593</v>
      </c>
      <c r="D596" s="60">
        <f t="shared" si="184"/>
        <v>15.233969999999998</v>
      </c>
      <c r="E596" s="60">
        <f t="shared" ref="E596:E604" si="196">E595+0.75</f>
        <v>6.8099999999999987</v>
      </c>
      <c r="F596" s="89">
        <f>($C$4/E596)+F595</f>
        <v>76.966058702731686</v>
      </c>
      <c r="G596" s="60">
        <f t="shared" si="195"/>
        <v>3500</v>
      </c>
      <c r="H596" s="60">
        <v>2</v>
      </c>
      <c r="I596" s="89">
        <f>E596-E595</f>
        <v>0.75</v>
      </c>
      <c r="J596" s="60">
        <f>(0.5*VEHICLE!$C$71*VEHICLE!$C$28*VEHICLE!$C$27*'Drive Cycle'!E596^2)</f>
        <v>41.256368702009979</v>
      </c>
      <c r="K596" s="60">
        <f>IF(A596=1,VEHICLE!$S$5,IF(A596=2,VEHICLE!$Q$5,IF(A596=3,VEHICLE!$R$5,IF(A596=4,VEHICLE!$P$5,1))))</f>
        <v>556.55073000000004</v>
      </c>
      <c r="L596" s="60">
        <f t="shared" ref="L596:L610" si="197">L595</f>
        <v>0</v>
      </c>
      <c r="M596" s="60">
        <f t="shared" si="192"/>
        <v>0</v>
      </c>
      <c r="N596" s="60">
        <f t="shared" si="185"/>
        <v>0</v>
      </c>
      <c r="O596" s="60">
        <f t="shared" si="186"/>
        <v>0</v>
      </c>
      <c r="P596" s="60">
        <f t="shared" si="187"/>
        <v>597.80709870201008</v>
      </c>
      <c r="Q596" s="60">
        <f>IF(H596=1,I596*VEHICLE!$C$69,IF(H596=2,VEHICLE!$C$70*I596,IF(H596=3,VEHICLE!$C$71*I596,0)))</f>
        <v>438.86136489758803</v>
      </c>
      <c r="R596" s="60">
        <f>(J596+K596+O596+Q596)</f>
        <v>1036.668463599598</v>
      </c>
      <c r="S596" s="60">
        <f t="shared" si="188"/>
        <v>1036.668463599598</v>
      </c>
      <c r="T596" s="60">
        <f>ABS((R596)/((2*PI()*G596)/60))</f>
        <v>2.8284156056461134</v>
      </c>
      <c r="U596" s="60">
        <f t="shared" si="189"/>
        <v>3</v>
      </c>
      <c r="V596" s="60">
        <f>INDEX(BSFC!$D$4:$AD$26,MATCH(U596,BSFC!$B$4:$B$26,0),MATCH(G596,BSFC!$D$2:$AD$2,0))</f>
        <v>819.92766336000011</v>
      </c>
      <c r="W596" s="60">
        <f t="shared" si="193"/>
        <v>0.23610920862172771</v>
      </c>
      <c r="X596" s="60">
        <f t="shared" si="190"/>
        <v>0.23610920862172771</v>
      </c>
      <c r="Y596" s="60">
        <f t="shared" si="191"/>
        <v>0.72957745464113855</v>
      </c>
      <c r="Z596" s="79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x14ac:dyDescent="0.3">
      <c r="A597" s="55">
        <v>3</v>
      </c>
      <c r="B597" s="60" t="s">
        <v>111</v>
      </c>
      <c r="C597" s="60">
        <f t="shared" si="175"/>
        <v>594</v>
      </c>
      <c r="D597" s="60">
        <f t="shared" si="184"/>
        <v>16.911719999999999</v>
      </c>
      <c r="E597" s="60">
        <f t="shared" si="196"/>
        <v>7.5599999999999987</v>
      </c>
      <c r="F597" s="89">
        <f>($C$4/E597)+F596</f>
        <v>77.098333835006812</v>
      </c>
      <c r="G597" s="60">
        <f t="shared" si="195"/>
        <v>3750</v>
      </c>
      <c r="H597" s="60">
        <v>2</v>
      </c>
      <c r="I597" s="89">
        <f>E597-E596</f>
        <v>0.75</v>
      </c>
      <c r="J597" s="60">
        <f>(0.5*VEHICLE!$C$71*VEHICLE!$C$28*VEHICLE!$C$27*'Drive Cycle'!E597^2)</f>
        <v>50.844076889759982</v>
      </c>
      <c r="K597" s="60">
        <f>IF(A597=1,VEHICLE!$S$5,IF(A597=2,VEHICLE!$Q$5,IF(A597=3,VEHICLE!$R$5,IF(A597=4,VEHICLE!$P$5,1))))</f>
        <v>556.55073000000004</v>
      </c>
      <c r="L597" s="60">
        <f t="shared" si="197"/>
        <v>0</v>
      </c>
      <c r="M597" s="60">
        <f t="shared" si="192"/>
        <v>0</v>
      </c>
      <c r="N597" s="60">
        <f t="shared" si="185"/>
        <v>0</v>
      </c>
      <c r="O597" s="60">
        <f t="shared" si="186"/>
        <v>0</v>
      </c>
      <c r="P597" s="60">
        <f t="shared" si="187"/>
        <v>607.39480688976005</v>
      </c>
      <c r="Q597" s="60">
        <f>IF(H597=1,I597*VEHICLE!$C$69,IF(H597=2,VEHICLE!$C$70*I597,IF(H597=3,VEHICLE!$C$71*I597,0)))</f>
        <v>438.86136489758803</v>
      </c>
      <c r="R597" s="60">
        <f>(J597+K597+O597+Q597)</f>
        <v>1046.2561717873482</v>
      </c>
      <c r="S597" s="60">
        <f t="shared" si="188"/>
        <v>1046.2561717873482</v>
      </c>
      <c r="T597" s="60">
        <f>ABS((R597)/((2*PI()*G597)/60))</f>
        <v>2.6642694636857547</v>
      </c>
      <c r="U597" s="60">
        <f t="shared" si="189"/>
        <v>3</v>
      </c>
      <c r="V597" s="60">
        <f>INDEX(BSFC!$D$4:$AD$26,MATCH(U597,BSFC!$B$4:$B$26,0),MATCH(G597,BSFC!$D$2:$AD$2,0))</f>
        <v>821.18653759999995</v>
      </c>
      <c r="W597" s="60">
        <f t="shared" si="193"/>
        <v>0.23865874532018977</v>
      </c>
      <c r="X597" s="60">
        <f t="shared" si="190"/>
        <v>0.23865874532018977</v>
      </c>
      <c r="Y597" s="60">
        <f t="shared" si="191"/>
        <v>0.73745552303938633</v>
      </c>
      <c r="Z597" s="79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x14ac:dyDescent="0.3">
      <c r="A598" s="55">
        <v>3</v>
      </c>
      <c r="B598" s="60" t="s">
        <v>111</v>
      </c>
      <c r="C598" s="60">
        <f t="shared" si="175"/>
        <v>595</v>
      </c>
      <c r="D598" s="60">
        <f t="shared" si="184"/>
        <v>18.589469999999999</v>
      </c>
      <c r="E598" s="60">
        <f t="shared" si="196"/>
        <v>8.3099999999999987</v>
      </c>
      <c r="F598" s="89">
        <f>($C$4/E598)+F597</f>
        <v>77.218670778448455</v>
      </c>
      <c r="G598" s="60">
        <f t="shared" si="195"/>
        <v>4000</v>
      </c>
      <c r="H598" s="60">
        <v>2</v>
      </c>
      <c r="I598" s="89">
        <f>E598-E597</f>
        <v>0.75</v>
      </c>
      <c r="J598" s="60">
        <f>(0.5*VEHICLE!$C$71*VEHICLE!$C$28*VEHICLE!$C$27*'Drive Cycle'!E598^2)</f>
        <v>61.432589690009969</v>
      </c>
      <c r="K598" s="60">
        <f>IF(A598=1,VEHICLE!$S$5,IF(A598=2,VEHICLE!$Q$5,IF(A598=3,VEHICLE!$R$5,IF(A598=4,VEHICLE!$P$5,1))))</f>
        <v>556.55073000000004</v>
      </c>
      <c r="L598" s="60">
        <f t="shared" si="197"/>
        <v>0</v>
      </c>
      <c r="M598" s="60">
        <f t="shared" si="192"/>
        <v>0</v>
      </c>
      <c r="N598" s="60">
        <f t="shared" si="185"/>
        <v>0</v>
      </c>
      <c r="O598" s="60">
        <f t="shared" si="186"/>
        <v>0</v>
      </c>
      <c r="P598" s="60">
        <f t="shared" si="187"/>
        <v>617.98331969001003</v>
      </c>
      <c r="Q598" s="60">
        <f>IF(H598=1,I598*VEHICLE!$C$69,IF(H598=2,VEHICLE!$C$70*I598,IF(H598=3,VEHICLE!$C$71*I598,0)))</f>
        <v>438.86136489758803</v>
      </c>
      <c r="R598" s="60">
        <f>(J598+K598+O598+Q598)</f>
        <v>1056.8446845875981</v>
      </c>
      <c r="S598" s="60">
        <f t="shared" si="188"/>
        <v>1056.8446845875981</v>
      </c>
      <c r="T598" s="60">
        <f>ABS((R598)/((2*PI()*G598)/60))</f>
        <v>2.5230308344876691</v>
      </c>
      <c r="U598" s="60">
        <f t="shared" si="189"/>
        <v>3</v>
      </c>
      <c r="V598" s="60">
        <f>INDEX(BSFC!$D$4:$AD$26,MATCH(U598,BSFC!$B$4:$B$26,0),MATCH(G598,BSFC!$D$2:$AD$2,0))</f>
        <v>811.6487376</v>
      </c>
      <c r="W598" s="60">
        <f t="shared" si="193"/>
        <v>0.23827407057910946</v>
      </c>
      <c r="X598" s="60">
        <f t="shared" si="190"/>
        <v>0.23827407057910946</v>
      </c>
      <c r="Y598" s="60">
        <f t="shared" si="191"/>
        <v>0.73626687808944824</v>
      </c>
      <c r="Z598" s="79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x14ac:dyDescent="0.3">
      <c r="A599" s="55">
        <v>3</v>
      </c>
      <c r="B599" s="60" t="s">
        <v>111</v>
      </c>
      <c r="C599" s="60">
        <f t="shared" si="175"/>
        <v>596</v>
      </c>
      <c r="D599" s="60">
        <f t="shared" si="184"/>
        <v>20.267219999999998</v>
      </c>
      <c r="E599" s="60">
        <f t="shared" si="196"/>
        <v>9.0599999999999987</v>
      </c>
      <c r="F599" s="89">
        <f>($C$4/E599)+F598</f>
        <v>77.329046054386652</v>
      </c>
      <c r="G599" s="60">
        <f t="shared" si="195"/>
        <v>4250</v>
      </c>
      <c r="H599" s="60">
        <v>3</v>
      </c>
      <c r="I599" s="89">
        <f>E599-E598</f>
        <v>0.75</v>
      </c>
      <c r="J599" s="60">
        <f>(0.5*VEHICLE!$C$71*VEHICLE!$C$28*VEHICLE!$C$27*'Drive Cycle'!E599^2)</f>
        <v>73.021907102759968</v>
      </c>
      <c r="K599" s="60">
        <f>IF(A599=1,VEHICLE!$S$5,IF(A599=2,VEHICLE!$Q$5,IF(A599=3,VEHICLE!$R$5,IF(A599=4,VEHICLE!$P$5,1))))</f>
        <v>556.55073000000004</v>
      </c>
      <c r="L599" s="60">
        <f t="shared" si="197"/>
        <v>0</v>
      </c>
      <c r="M599" s="60">
        <f t="shared" si="192"/>
        <v>0</v>
      </c>
      <c r="N599" s="60">
        <f t="shared" si="185"/>
        <v>0</v>
      </c>
      <c r="O599" s="60">
        <f t="shared" si="186"/>
        <v>0</v>
      </c>
      <c r="P599" s="60">
        <f t="shared" si="187"/>
        <v>629.57263710276004</v>
      </c>
      <c r="Q599" s="60">
        <f>IF(H599=1,I599*VEHICLE!$C$69,IF(H599=2,VEHICLE!$C$70*I599,IF(H599=3,VEHICLE!$C$71*I599,0)))</f>
        <v>0.87525000000000008</v>
      </c>
      <c r="R599" s="60">
        <f>(J599+K599+O599+Q599)</f>
        <v>630.44788710276009</v>
      </c>
      <c r="S599" s="60">
        <f t="shared" si="188"/>
        <v>630.44788710276009</v>
      </c>
      <c r="T599" s="60">
        <f>ABS((R599)/((2*PI()*G599)/60))</f>
        <v>1.4165491425069945</v>
      </c>
      <c r="U599" s="60">
        <f t="shared" si="189"/>
        <v>2</v>
      </c>
      <c r="V599" s="60">
        <f>INDEX(BSFC!$D$4:$AD$26,MATCH(U599,BSFC!$B$4:$B$26,0),MATCH(G599,BSFC!$D$2:$AD$2,0))</f>
        <v>913.43656767999983</v>
      </c>
      <c r="W599" s="60">
        <f t="shared" si="193"/>
        <v>0.15996504280451479</v>
      </c>
      <c r="X599" s="60">
        <f t="shared" si="190"/>
        <v>0.15996504280451479</v>
      </c>
      <c r="Y599" s="60">
        <f t="shared" si="191"/>
        <v>0.49429198226595067</v>
      </c>
      <c r="Z599" s="79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x14ac:dyDescent="0.3">
      <c r="A600" s="55">
        <v>3</v>
      </c>
      <c r="B600" s="60" t="s">
        <v>111</v>
      </c>
      <c r="C600" s="60">
        <f t="shared" si="175"/>
        <v>597</v>
      </c>
      <c r="D600" s="60">
        <f t="shared" si="184"/>
        <v>21.944969999999998</v>
      </c>
      <c r="E600" s="60">
        <f t="shared" si="196"/>
        <v>9.8099999999999987</v>
      </c>
      <c r="F600" s="89">
        <f>($C$4/E600)+F599</f>
        <v>77.430982853571152</v>
      </c>
      <c r="G600" s="60">
        <f t="shared" si="195"/>
        <v>4500</v>
      </c>
      <c r="H600" s="60">
        <v>3</v>
      </c>
      <c r="I600" s="89">
        <f>E600-E599</f>
        <v>0.75</v>
      </c>
      <c r="J600" s="60">
        <f>(0.5*VEHICLE!$C$71*VEHICLE!$C$28*VEHICLE!$C$27*'Drive Cycle'!E600^2)</f>
        <v>85.612029128009965</v>
      </c>
      <c r="K600" s="60">
        <f>IF(A600=1,VEHICLE!$S$5,IF(A600=2,VEHICLE!$Q$5,IF(A600=3,VEHICLE!$R$5,IF(A600=4,VEHICLE!$P$5,1))))</f>
        <v>556.55073000000004</v>
      </c>
      <c r="L600" s="60">
        <f t="shared" si="197"/>
        <v>0</v>
      </c>
      <c r="M600" s="60">
        <f t="shared" si="192"/>
        <v>0</v>
      </c>
      <c r="N600" s="60">
        <f t="shared" si="185"/>
        <v>0</v>
      </c>
      <c r="O600" s="60">
        <f t="shared" si="186"/>
        <v>0</v>
      </c>
      <c r="P600" s="60">
        <f t="shared" si="187"/>
        <v>642.16275912801007</v>
      </c>
      <c r="Q600" s="60">
        <f>IF(H600=1,I600*VEHICLE!$C$69,IF(H600=2,VEHICLE!$C$70*I600,IF(H600=3,VEHICLE!$C$71*I600,0)))</f>
        <v>0.87525000000000008</v>
      </c>
      <c r="R600" s="60">
        <f>(J600+K600+O600+Q600)</f>
        <v>643.03800912801012</v>
      </c>
      <c r="S600" s="60">
        <f t="shared" si="188"/>
        <v>643.03800912801012</v>
      </c>
      <c r="T600" s="60">
        <f>ABS((R600)/((2*PI()*G600)/60))</f>
        <v>1.3645690366492549</v>
      </c>
      <c r="U600" s="60">
        <f t="shared" si="189"/>
        <v>2</v>
      </c>
      <c r="V600" s="60">
        <f>INDEX(BSFC!$D$4:$AD$26,MATCH(U600,BSFC!$B$4:$B$26,0),MATCH(G600,BSFC!$D$2:$AD$2,0))</f>
        <v>900.04656767999984</v>
      </c>
      <c r="W600" s="60">
        <f t="shared" si="193"/>
        <v>0.16076782027873499</v>
      </c>
      <c r="X600" s="60">
        <f t="shared" si="190"/>
        <v>0.16076782027873499</v>
      </c>
      <c r="Y600" s="60">
        <f t="shared" si="191"/>
        <v>0.49677256466129111</v>
      </c>
      <c r="Z600" s="79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x14ac:dyDescent="0.3">
      <c r="A601" s="55">
        <v>3</v>
      </c>
      <c r="B601" s="60" t="s">
        <v>111</v>
      </c>
      <c r="C601" s="60">
        <f t="shared" si="175"/>
        <v>598</v>
      </c>
      <c r="D601" s="60">
        <f t="shared" si="184"/>
        <v>23.622719999999997</v>
      </c>
      <c r="E601" s="60">
        <f t="shared" si="196"/>
        <v>10.559999999999999</v>
      </c>
      <c r="F601" s="89">
        <f>($C$4/E601)+F600</f>
        <v>77.525679823268121</v>
      </c>
      <c r="G601" s="60">
        <f>G600+250</f>
        <v>4750</v>
      </c>
      <c r="H601" s="60">
        <v>3</v>
      </c>
      <c r="I601" s="89">
        <f>E601-E600</f>
        <v>0.75</v>
      </c>
      <c r="J601" s="60">
        <f>(0.5*VEHICLE!$C$71*VEHICLE!$C$28*VEHICLE!$C$27*'Drive Cycle'!E601^2)</f>
        <v>99.202955765759967</v>
      </c>
      <c r="K601" s="60">
        <f>IF(A601=1,VEHICLE!$S$5,IF(A601=2,VEHICLE!$Q$5,IF(A601=3,VEHICLE!$R$5,IF(A601=4,VEHICLE!$P$5,1))))</f>
        <v>556.55073000000004</v>
      </c>
      <c r="L601" s="60">
        <f t="shared" si="197"/>
        <v>0</v>
      </c>
      <c r="M601" s="60">
        <f t="shared" si="192"/>
        <v>0</v>
      </c>
      <c r="N601" s="60">
        <f t="shared" si="185"/>
        <v>0</v>
      </c>
      <c r="O601" s="60">
        <f t="shared" si="186"/>
        <v>0</v>
      </c>
      <c r="P601" s="60">
        <f t="shared" si="187"/>
        <v>655.75368576576</v>
      </c>
      <c r="Q601" s="60">
        <f>IF(H601=1,I601*VEHICLE!$C$69,IF(H601=2,VEHICLE!$C$70*I601,IF(H601=3,VEHICLE!$C$71*I601,0)))</f>
        <v>0.87525000000000008</v>
      </c>
      <c r="R601" s="60">
        <f>(J601+K601+O601+Q601)</f>
        <v>656.62893576576005</v>
      </c>
      <c r="S601" s="60">
        <f t="shared" si="188"/>
        <v>656.62893576576005</v>
      </c>
      <c r="T601" s="60">
        <f>ABS((R601)/((2*PI()*G601)/60))</f>
        <v>1.3200725166857854</v>
      </c>
      <c r="U601" s="60">
        <f t="shared" si="189"/>
        <v>2</v>
      </c>
      <c r="V601" s="60">
        <f>INDEX(BSFC!$D$4:$AD$26,MATCH(U601,BSFC!$B$4:$B$26,0),MATCH(G601,BSFC!$D$2:$AD$2,0))</f>
        <v>892.42868767999994</v>
      </c>
      <c r="W601" s="60">
        <f t="shared" si="193"/>
        <v>0.16277624984393116</v>
      </c>
      <c r="X601" s="60">
        <f t="shared" si="190"/>
        <v>0.16277624984393116</v>
      </c>
      <c r="Y601" s="60">
        <f t="shared" si="191"/>
        <v>0.5029786120177473</v>
      </c>
      <c r="Z601" s="79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x14ac:dyDescent="0.3">
      <c r="A602" s="55">
        <v>3</v>
      </c>
      <c r="B602" s="60" t="s">
        <v>111</v>
      </c>
      <c r="C602" s="60">
        <f t="shared" si="175"/>
        <v>599</v>
      </c>
      <c r="D602" s="60">
        <f t="shared" si="184"/>
        <v>25.300469999999997</v>
      </c>
      <c r="E602" s="60">
        <f t="shared" si="196"/>
        <v>11.309999999999999</v>
      </c>
      <c r="F602" s="89">
        <f>($C$4/E602)+F601</f>
        <v>77.614097153064762</v>
      </c>
      <c r="G602" s="60">
        <f t="shared" si="195"/>
        <v>5000</v>
      </c>
      <c r="H602" s="60">
        <v>3</v>
      </c>
      <c r="I602" s="89">
        <f>E602-E601</f>
        <v>0.75</v>
      </c>
      <c r="J602" s="60">
        <f>(0.5*VEHICLE!$C$71*VEHICLE!$C$28*VEHICLE!$C$27*'Drive Cycle'!E602^2)</f>
        <v>113.79468701600996</v>
      </c>
      <c r="K602" s="60">
        <f>IF(A602=1,VEHICLE!$S$5,IF(A602=2,VEHICLE!$Q$5,IF(A602=3,VEHICLE!$R$5,IF(A602=4,VEHICLE!$P$5,1))))</f>
        <v>556.55073000000004</v>
      </c>
      <c r="L602" s="60">
        <f t="shared" si="197"/>
        <v>0</v>
      </c>
      <c r="M602" s="60">
        <f t="shared" si="192"/>
        <v>0</v>
      </c>
      <c r="N602" s="60">
        <f t="shared" si="185"/>
        <v>0</v>
      </c>
      <c r="O602" s="60">
        <f t="shared" si="186"/>
        <v>0</v>
      </c>
      <c r="P602" s="60">
        <f t="shared" si="187"/>
        <v>670.34541701601006</v>
      </c>
      <c r="Q602" s="60">
        <f>IF(H602=1,I602*VEHICLE!$C$69,IF(H602=2,VEHICLE!$C$70*I602,IF(H602=3,VEHICLE!$C$71*I602,0)))</f>
        <v>0.87525000000000008</v>
      </c>
      <c r="R602" s="60">
        <f>(J602+K602+O602+Q602)</f>
        <v>671.22066701601011</v>
      </c>
      <c r="S602" s="60">
        <f t="shared" si="188"/>
        <v>671.22066701601011</v>
      </c>
      <c r="T602" s="60">
        <f>ABS((R602)/((2*PI()*G602)/60))</f>
        <v>1.2819370447324454</v>
      </c>
      <c r="U602" s="60">
        <f t="shared" si="189"/>
        <v>2</v>
      </c>
      <c r="V602" s="60">
        <f>INDEX(BSFC!$D$4:$AD$26,MATCH(U602,BSFC!$B$4:$B$26,0),MATCH(G602,BSFC!$D$2:$AD$2,0))</f>
        <v>881.19835871999999</v>
      </c>
      <c r="W602" s="60">
        <f t="shared" si="193"/>
        <v>0.16429959725373661</v>
      </c>
      <c r="X602" s="60">
        <f t="shared" si="190"/>
        <v>0.16429959725373661</v>
      </c>
      <c r="Y602" s="60">
        <f t="shared" si="191"/>
        <v>0.50768575551404604</v>
      </c>
      <c r="Z602" s="79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x14ac:dyDescent="0.3">
      <c r="A603" s="55">
        <v>3</v>
      </c>
      <c r="B603" s="60" t="s">
        <v>111</v>
      </c>
      <c r="C603" s="60">
        <f t="shared" si="175"/>
        <v>600</v>
      </c>
      <c r="D603" s="60">
        <f t="shared" si="184"/>
        <v>26.978219999999997</v>
      </c>
      <c r="E603" s="60">
        <f t="shared" si="196"/>
        <v>12.059999999999999</v>
      </c>
      <c r="F603" s="89">
        <f>($C$4/E603)+F602</f>
        <v>77.697015892699923</v>
      </c>
      <c r="G603" s="60">
        <f t="shared" si="195"/>
        <v>5250</v>
      </c>
      <c r="H603" s="60">
        <v>3</v>
      </c>
      <c r="I603" s="89">
        <f>E603-E602</f>
        <v>0.75</v>
      </c>
      <c r="J603" s="60">
        <f>(0.5*VEHICLE!$C$71*VEHICLE!$C$28*VEHICLE!$C$27*'Drive Cycle'!E603^2)</f>
        <v>129.38722287875996</v>
      </c>
      <c r="K603" s="60">
        <f>IF(A603=1,VEHICLE!$S$5,IF(A603=2,VEHICLE!$Q$5,IF(A603=3,VEHICLE!$R$5,IF(A603=4,VEHICLE!$P$5,1))))</f>
        <v>556.55073000000004</v>
      </c>
      <c r="L603" s="60">
        <f t="shared" si="197"/>
        <v>0</v>
      </c>
      <c r="M603" s="60">
        <f t="shared" si="192"/>
        <v>0</v>
      </c>
      <c r="N603" s="60">
        <f t="shared" si="185"/>
        <v>0</v>
      </c>
      <c r="O603" s="60">
        <f t="shared" si="186"/>
        <v>0</v>
      </c>
      <c r="P603" s="60">
        <f t="shared" si="187"/>
        <v>685.93795287876003</v>
      </c>
      <c r="Q603" s="60">
        <f>IF(H603=1,I603*VEHICLE!$C$69,IF(H603=2,VEHICLE!$C$70*I603,IF(H603=3,VEHICLE!$C$71*I603,0)))</f>
        <v>0.87525000000000008</v>
      </c>
      <c r="R603" s="60">
        <f>(J603+K603+O603+Q603)</f>
        <v>686.81320287876008</v>
      </c>
      <c r="S603" s="60">
        <f t="shared" si="188"/>
        <v>686.81320287876008</v>
      </c>
      <c r="T603" s="60">
        <f>ABS((R603)/((2*PI()*G603)/60))</f>
        <v>1.2492538996449307</v>
      </c>
      <c r="U603" s="60">
        <f t="shared" si="189"/>
        <v>2</v>
      </c>
      <c r="V603" s="60">
        <f>INDEX(BSFC!$D$4:$AD$26,MATCH(U603,BSFC!$B$4:$B$26,0),MATCH(G603,BSFC!$D$2:$AD$2,0))</f>
        <v>873.71643872000004</v>
      </c>
      <c r="W603" s="60">
        <f t="shared" si="193"/>
        <v>0.16668888491252978</v>
      </c>
      <c r="X603" s="60">
        <f t="shared" si="190"/>
        <v>0.16668888491252978</v>
      </c>
      <c r="Y603" s="60">
        <f t="shared" si="191"/>
        <v>0.51506865437971705</v>
      </c>
      <c r="Z603" s="79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x14ac:dyDescent="0.3">
      <c r="A604" s="55">
        <v>3</v>
      </c>
      <c r="B604" s="60" t="s">
        <v>111</v>
      </c>
      <c r="C604" s="60">
        <f t="shared" si="175"/>
        <v>601</v>
      </c>
      <c r="D604" s="60">
        <f t="shared" si="184"/>
        <v>28.65597</v>
      </c>
      <c r="E604" s="60">
        <f t="shared" si="196"/>
        <v>12.809999999999999</v>
      </c>
      <c r="F604" s="89">
        <f>($C$4/E604)+F603</f>
        <v>77.775079905190168</v>
      </c>
      <c r="G604" s="60">
        <f t="shared" si="195"/>
        <v>5500</v>
      </c>
      <c r="H604" s="60">
        <v>3</v>
      </c>
      <c r="I604" s="89">
        <f>E604-E603</f>
        <v>0.75</v>
      </c>
      <c r="J604" s="60">
        <f>(0.5*VEHICLE!$C$71*VEHICLE!$C$28*VEHICLE!$C$27*'Drive Cycle'!E604^2)</f>
        <v>145.98056335400997</v>
      </c>
      <c r="K604" s="60">
        <f>IF(A604=1,VEHICLE!$S$5,IF(A604=2,VEHICLE!$Q$5,IF(A604=3,VEHICLE!$R$5,IF(A604=4,VEHICLE!$P$5,1))))</f>
        <v>556.55073000000004</v>
      </c>
      <c r="L604" s="60">
        <f t="shared" si="197"/>
        <v>0</v>
      </c>
      <c r="M604" s="60">
        <f t="shared" si="192"/>
        <v>0</v>
      </c>
      <c r="N604" s="60">
        <f t="shared" si="185"/>
        <v>0</v>
      </c>
      <c r="O604" s="60">
        <f t="shared" si="186"/>
        <v>0</v>
      </c>
      <c r="P604" s="60">
        <f t="shared" si="187"/>
        <v>702.53129335401002</v>
      </c>
      <c r="Q604" s="60">
        <f>IF(H604=1,I604*VEHICLE!$C$69,IF(H604=2,VEHICLE!$C$70*I604,IF(H604=3,VEHICLE!$C$71*I604,0)))</f>
        <v>0.87525000000000008</v>
      </c>
      <c r="R604" s="60">
        <f>(J604+K604+O604+Q604)</f>
        <v>703.40654335401007</v>
      </c>
      <c r="S604" s="60">
        <f t="shared" si="188"/>
        <v>703.40654335401007</v>
      </c>
      <c r="T604" s="60">
        <f>ABS((R604)/((2*PI()*G604)/60))</f>
        <v>1.2212795823051743</v>
      </c>
      <c r="U604" s="60">
        <f t="shared" si="189"/>
        <v>2</v>
      </c>
      <c r="V604" s="60">
        <f>INDEX(BSFC!$D$4:$AD$26,MATCH(U604,BSFC!$B$4:$B$26,0),MATCH(G604,BSFC!$D$2:$AD$2,0))</f>
        <v>862.35014976000002</v>
      </c>
      <c r="W604" s="60">
        <f t="shared" si="193"/>
        <v>0.1684952050009707</v>
      </c>
      <c r="X604" s="60">
        <f t="shared" si="190"/>
        <v>0.1684952050009707</v>
      </c>
      <c r="Y604" s="60">
        <f t="shared" si="191"/>
        <v>0.5206501834529994</v>
      </c>
      <c r="Z604" s="79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x14ac:dyDescent="0.3">
      <c r="A605" s="55">
        <v>3</v>
      </c>
      <c r="B605" s="60" t="s">
        <v>111</v>
      </c>
      <c r="C605" s="60">
        <f t="shared" si="175"/>
        <v>602</v>
      </c>
      <c r="D605" s="60">
        <f t="shared" si="184"/>
        <v>29.998170000000002</v>
      </c>
      <c r="E605" s="60">
        <v>13.41</v>
      </c>
      <c r="F605" s="89">
        <f>($C$4/E605)+F604</f>
        <v>77.849651120700983</v>
      </c>
      <c r="G605" s="60">
        <v>7000</v>
      </c>
      <c r="H605" s="60">
        <v>3</v>
      </c>
      <c r="I605" s="89">
        <f>E605-E604</f>
        <v>0.60000000000000142</v>
      </c>
      <c r="J605" s="60">
        <f>(0.5*VEHICLE!$C$71*VEHICLE!$C$28*VEHICLE!$C$27*'Drive Cycle'!E605^2)</f>
        <v>159.97581505520998</v>
      </c>
      <c r="K605" s="60">
        <f>IF(A605=1,VEHICLE!$S$5,IF(A605=2,VEHICLE!$Q$5,IF(A605=3,VEHICLE!$R$5,IF(A605=4,VEHICLE!$P$5,1))))</f>
        <v>556.55073000000004</v>
      </c>
      <c r="L605" s="60">
        <f t="shared" si="197"/>
        <v>0</v>
      </c>
      <c r="M605" s="60">
        <f t="shared" si="192"/>
        <v>0</v>
      </c>
      <c r="N605" s="60">
        <f t="shared" si="185"/>
        <v>0</v>
      </c>
      <c r="O605" s="60">
        <f t="shared" si="186"/>
        <v>0</v>
      </c>
      <c r="P605" s="60">
        <f t="shared" si="187"/>
        <v>716.52654505521002</v>
      </c>
      <c r="Q605" s="60">
        <f>IF(H605=1,I605*VEHICLE!$C$69,IF(H605=2,VEHICLE!$C$70*I605,IF(H605=3,VEHICLE!$C$71*I605,0)))</f>
        <v>0.70020000000000171</v>
      </c>
      <c r="R605" s="60">
        <f>(J605+K605+O605+Q605)</f>
        <v>717.22674505521002</v>
      </c>
      <c r="S605" s="60">
        <f t="shared" si="188"/>
        <v>717.22674505521002</v>
      </c>
      <c r="T605" s="60">
        <f>ABS((R605)/((2*PI()*G605)/60))</f>
        <v>0.9784301296564053</v>
      </c>
      <c r="U605" s="60">
        <f t="shared" si="189"/>
        <v>1</v>
      </c>
      <c r="V605" s="60">
        <f>INDEX(BSFC!$D$4:$AD$26,MATCH(U605,BSFC!$B$4:$B$26,0),MATCH(G605,BSFC!$D$2:$AD$2,0))</f>
        <v>920.25590927999997</v>
      </c>
      <c r="W605" s="60">
        <f t="shared" si="193"/>
        <v>0.18334226400853251</v>
      </c>
      <c r="X605" s="60">
        <f t="shared" si="190"/>
        <v>0.18334226400853251</v>
      </c>
      <c r="Y605" s="60">
        <f t="shared" si="191"/>
        <v>0.56652759578636547</v>
      </c>
      <c r="Z605" s="79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x14ac:dyDescent="0.3">
      <c r="A606" s="55">
        <v>3</v>
      </c>
      <c r="B606" s="60" t="s">
        <v>111</v>
      </c>
      <c r="C606" s="60">
        <f t="shared" si="175"/>
        <v>603</v>
      </c>
      <c r="D606" s="60">
        <f t="shared" si="184"/>
        <v>29.998170000000002</v>
      </c>
      <c r="E606" s="60">
        <v>13.41</v>
      </c>
      <c r="F606" s="89">
        <f>($C$4/E606)+F605</f>
        <v>77.924222336211798</v>
      </c>
      <c r="G606" s="60">
        <f>G605</f>
        <v>7000</v>
      </c>
      <c r="H606" s="60">
        <v>3</v>
      </c>
      <c r="I606" s="89">
        <f>E606-E605</f>
        <v>0</v>
      </c>
      <c r="J606" s="60">
        <f>(0.5*VEHICLE!$C$71*VEHICLE!$C$28*VEHICLE!$C$27*'Drive Cycle'!E606^2)</f>
        <v>159.97581505520998</v>
      </c>
      <c r="K606" s="60">
        <f>IF(A606=1,VEHICLE!$S$5,IF(A606=2,VEHICLE!$Q$5,IF(A606=3,VEHICLE!$R$5,IF(A606=4,VEHICLE!$P$5,1))))</f>
        <v>556.55073000000004</v>
      </c>
      <c r="L606" s="60">
        <f t="shared" si="197"/>
        <v>0</v>
      </c>
      <c r="M606" s="60">
        <f t="shared" si="192"/>
        <v>0</v>
      </c>
      <c r="N606" s="60">
        <f t="shared" si="185"/>
        <v>0</v>
      </c>
      <c r="O606" s="60">
        <f t="shared" si="186"/>
        <v>0</v>
      </c>
      <c r="P606" s="60">
        <f t="shared" si="187"/>
        <v>716.52654505521002</v>
      </c>
      <c r="Q606" s="60">
        <f>IF(H606=1,I606*VEHICLE!$C$69,IF(H606=2,VEHICLE!$C$70*I606,IF(H606=3,VEHICLE!$C$71*I606,0)))</f>
        <v>0</v>
      </c>
      <c r="R606" s="60">
        <f>(J606+K606+O606+Q606)</f>
        <v>716.52654505521002</v>
      </c>
      <c r="S606" s="60">
        <f t="shared" si="188"/>
        <v>716.52654505521002</v>
      </c>
      <c r="T606" s="60">
        <f>ABS((R606)/((2*PI()*G606)/60))</f>
        <v>0.97747492716080864</v>
      </c>
      <c r="U606" s="60">
        <f t="shared" si="189"/>
        <v>1</v>
      </c>
      <c r="V606" s="60">
        <f>INDEX(BSFC!$D$4:$AD$26,MATCH(U606,BSFC!$B$4:$B$26,0),MATCH(G606,BSFC!$D$2:$AD$2,0))</f>
        <v>920.25590927999997</v>
      </c>
      <c r="W606" s="60">
        <f t="shared" si="193"/>
        <v>0.18316327423417753</v>
      </c>
      <c r="X606" s="60">
        <f t="shared" si="190"/>
        <v>0.18316327423417753</v>
      </c>
      <c r="Y606" s="60">
        <f t="shared" si="191"/>
        <v>0.56597451738360849</v>
      </c>
      <c r="Z606" s="79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x14ac:dyDescent="0.3">
      <c r="A607" s="55">
        <v>3</v>
      </c>
      <c r="B607" s="60" t="s">
        <v>111</v>
      </c>
      <c r="C607" s="60">
        <f t="shared" si="175"/>
        <v>604</v>
      </c>
      <c r="D607" s="60">
        <f t="shared" si="184"/>
        <v>29.998170000000002</v>
      </c>
      <c r="E607" s="60">
        <v>13.41</v>
      </c>
      <c r="F607" s="89">
        <f>($C$4/E607)+F606</f>
        <v>77.998793551722613</v>
      </c>
      <c r="G607" s="60">
        <f t="shared" ref="G607:G610" si="198">G606</f>
        <v>7000</v>
      </c>
      <c r="H607" s="60">
        <v>3</v>
      </c>
      <c r="I607" s="89">
        <f>E607-E606</f>
        <v>0</v>
      </c>
      <c r="J607" s="60">
        <f>(0.5*VEHICLE!$C$71*VEHICLE!$C$28*VEHICLE!$C$27*'Drive Cycle'!E607^2)</f>
        <v>159.97581505520998</v>
      </c>
      <c r="K607" s="60">
        <f>IF(A607=1,VEHICLE!$S$5,IF(A607=2,VEHICLE!$Q$5,IF(A607=3,VEHICLE!$R$5,IF(A607=4,VEHICLE!$P$5,1))))</f>
        <v>556.55073000000004</v>
      </c>
      <c r="L607" s="60">
        <f t="shared" si="197"/>
        <v>0</v>
      </c>
      <c r="M607" s="60">
        <f t="shared" si="192"/>
        <v>0</v>
      </c>
      <c r="N607" s="60">
        <f t="shared" si="185"/>
        <v>0</v>
      </c>
      <c r="O607" s="60">
        <f t="shared" si="186"/>
        <v>0</v>
      </c>
      <c r="P607" s="60">
        <f t="shared" si="187"/>
        <v>716.52654505521002</v>
      </c>
      <c r="Q607" s="60">
        <f>IF(H607=1,I607*VEHICLE!$C$69,IF(H607=2,VEHICLE!$C$70*I607,IF(H607=3,VEHICLE!$C$71*I607,0)))</f>
        <v>0</v>
      </c>
      <c r="R607" s="60">
        <f>(J607+K607+O607+Q607)</f>
        <v>716.52654505521002</v>
      </c>
      <c r="S607" s="60">
        <f t="shared" si="188"/>
        <v>716.52654505521002</v>
      </c>
      <c r="T607" s="60">
        <f>ABS((R607)/((2*PI()*G607)/60))</f>
        <v>0.97747492716080864</v>
      </c>
      <c r="U607" s="60">
        <f t="shared" si="189"/>
        <v>1</v>
      </c>
      <c r="V607" s="60">
        <f>INDEX(BSFC!$D$4:$AD$26,MATCH(U607,BSFC!$B$4:$B$26,0),MATCH(G607,BSFC!$D$2:$AD$2,0))</f>
        <v>920.25590927999997</v>
      </c>
      <c r="W607" s="60">
        <f t="shared" si="193"/>
        <v>0.18316327423417753</v>
      </c>
      <c r="X607" s="60">
        <f t="shared" si="190"/>
        <v>0.18316327423417753</v>
      </c>
      <c r="Y607" s="60">
        <f t="shared" si="191"/>
        <v>0.56597451738360849</v>
      </c>
      <c r="Z607" s="79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x14ac:dyDescent="0.3">
      <c r="A608" s="55">
        <v>3</v>
      </c>
      <c r="B608" s="60" t="s">
        <v>111</v>
      </c>
      <c r="C608" s="60">
        <f t="shared" si="175"/>
        <v>605</v>
      </c>
      <c r="D608" s="60">
        <f t="shared" si="184"/>
        <v>29.998170000000002</v>
      </c>
      <c r="E608" s="60">
        <v>13.41</v>
      </c>
      <c r="F608" s="89">
        <f>($C$4/E608)+F607</f>
        <v>78.073364767233429</v>
      </c>
      <c r="G608" s="60">
        <f t="shared" si="198"/>
        <v>7000</v>
      </c>
      <c r="H608" s="60">
        <v>3</v>
      </c>
      <c r="I608" s="89">
        <f>E608-E607</f>
        <v>0</v>
      </c>
      <c r="J608" s="60">
        <f>(0.5*VEHICLE!$C$71*VEHICLE!$C$28*VEHICLE!$C$27*'Drive Cycle'!E608^2)</f>
        <v>159.97581505520998</v>
      </c>
      <c r="K608" s="60">
        <f>IF(A608=1,VEHICLE!$S$5,IF(A608=2,VEHICLE!$Q$5,IF(A608=3,VEHICLE!$R$5,IF(A608=4,VEHICLE!$P$5,1))))</f>
        <v>556.55073000000004</v>
      </c>
      <c r="L608" s="60">
        <f t="shared" si="197"/>
        <v>0</v>
      </c>
      <c r="M608" s="60">
        <f t="shared" si="192"/>
        <v>0</v>
      </c>
      <c r="N608" s="60">
        <f t="shared" si="185"/>
        <v>0</v>
      </c>
      <c r="O608" s="60">
        <f t="shared" si="186"/>
        <v>0</v>
      </c>
      <c r="P608" s="60">
        <f t="shared" si="187"/>
        <v>716.52654505521002</v>
      </c>
      <c r="Q608" s="60">
        <f>IF(H608=1,I608*VEHICLE!$C$69,IF(H608=2,VEHICLE!$C$70*I608,IF(H608=3,VEHICLE!$C$71*I608,0)))</f>
        <v>0</v>
      </c>
      <c r="R608" s="60">
        <f>(J608+K608+O608+Q608)</f>
        <v>716.52654505521002</v>
      </c>
      <c r="S608" s="60">
        <f t="shared" si="188"/>
        <v>716.52654505521002</v>
      </c>
      <c r="T608" s="60">
        <f>ABS((R608)/((2*PI()*G608)/60))</f>
        <v>0.97747492716080864</v>
      </c>
      <c r="U608" s="60">
        <f t="shared" si="189"/>
        <v>1</v>
      </c>
      <c r="V608" s="60">
        <f>INDEX(BSFC!$D$4:$AD$26,MATCH(U608,BSFC!$B$4:$B$26,0),MATCH(G608,BSFC!$D$2:$AD$2,0))</f>
        <v>920.25590927999997</v>
      </c>
      <c r="W608" s="60">
        <f t="shared" si="193"/>
        <v>0.18316327423417753</v>
      </c>
      <c r="X608" s="60">
        <f t="shared" si="190"/>
        <v>0.18316327423417753</v>
      </c>
      <c r="Y608" s="60">
        <f t="shared" si="191"/>
        <v>0.56597451738360849</v>
      </c>
      <c r="Z608" s="79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x14ac:dyDescent="0.3">
      <c r="A609" s="55">
        <v>3</v>
      </c>
      <c r="B609" s="60" t="s">
        <v>111</v>
      </c>
      <c r="C609" s="60">
        <f t="shared" si="175"/>
        <v>606</v>
      </c>
      <c r="D609" s="60">
        <f t="shared" si="184"/>
        <v>29.998170000000002</v>
      </c>
      <c r="E609" s="60">
        <v>13.41</v>
      </c>
      <c r="F609" s="89">
        <f>($C$4/E609)+F608</f>
        <v>78.147935982744244</v>
      </c>
      <c r="G609" s="60">
        <f t="shared" si="198"/>
        <v>7000</v>
      </c>
      <c r="H609" s="60">
        <v>3</v>
      </c>
      <c r="I609" s="89">
        <f>E609-E608</f>
        <v>0</v>
      </c>
      <c r="J609" s="60">
        <f>(0.5*VEHICLE!$C$71*VEHICLE!$C$28*VEHICLE!$C$27*'Drive Cycle'!E609^2)</f>
        <v>159.97581505520998</v>
      </c>
      <c r="K609" s="60">
        <f>IF(A609=1,VEHICLE!$S$5,IF(A609=2,VEHICLE!$Q$5,IF(A609=3,VEHICLE!$R$5,IF(A609=4,VEHICLE!$P$5,1))))</f>
        <v>556.55073000000004</v>
      </c>
      <c r="L609" s="60">
        <f t="shared" si="197"/>
        <v>0</v>
      </c>
      <c r="M609" s="60">
        <f t="shared" si="192"/>
        <v>0</v>
      </c>
      <c r="N609" s="60">
        <f t="shared" si="185"/>
        <v>0</v>
      </c>
      <c r="O609" s="60">
        <f t="shared" si="186"/>
        <v>0</v>
      </c>
      <c r="P609" s="60">
        <f t="shared" si="187"/>
        <v>716.52654505521002</v>
      </c>
      <c r="Q609" s="60">
        <f>IF(H609=1,I609*VEHICLE!$C$69,IF(H609=2,VEHICLE!$C$70*I609,IF(H609=3,VEHICLE!$C$71*I609,0)))</f>
        <v>0</v>
      </c>
      <c r="R609" s="60">
        <f>(J609+K609+O609+Q609)</f>
        <v>716.52654505521002</v>
      </c>
      <c r="S609" s="60">
        <f t="shared" si="188"/>
        <v>716.52654505521002</v>
      </c>
      <c r="T609" s="60">
        <f>ABS((R609)/((2*PI()*G609)/60))</f>
        <v>0.97747492716080864</v>
      </c>
      <c r="U609" s="60">
        <f t="shared" si="189"/>
        <v>1</v>
      </c>
      <c r="V609" s="60">
        <f>INDEX(BSFC!$D$4:$AD$26,MATCH(U609,BSFC!$B$4:$B$26,0),MATCH(G609,BSFC!$D$2:$AD$2,0))</f>
        <v>920.25590927999997</v>
      </c>
      <c r="W609" s="60">
        <f t="shared" si="193"/>
        <v>0.18316327423417753</v>
      </c>
      <c r="X609" s="60">
        <f t="shared" si="190"/>
        <v>0.18316327423417753</v>
      </c>
      <c r="Y609" s="60">
        <f t="shared" si="191"/>
        <v>0.56597451738360849</v>
      </c>
      <c r="Z609" s="79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x14ac:dyDescent="0.3">
      <c r="A610" s="55">
        <v>3</v>
      </c>
      <c r="B610" s="60" t="s">
        <v>111</v>
      </c>
      <c r="C610" s="60">
        <f t="shared" si="175"/>
        <v>607</v>
      </c>
      <c r="D610" s="60">
        <f t="shared" si="184"/>
        <v>29.998170000000002</v>
      </c>
      <c r="E610" s="60">
        <v>13.41</v>
      </c>
      <c r="F610" s="89">
        <f>($C$4/E610)+F609</f>
        <v>78.222507198255059</v>
      </c>
      <c r="G610" s="60">
        <f t="shared" si="198"/>
        <v>7000</v>
      </c>
      <c r="H610" s="60">
        <v>3</v>
      </c>
      <c r="I610" s="89">
        <f>E610-E609</f>
        <v>0</v>
      </c>
      <c r="J610" s="60">
        <f>(0.5*VEHICLE!$C$71*VEHICLE!$C$28*VEHICLE!$C$27*'Drive Cycle'!E610^2)</f>
        <v>159.97581505520998</v>
      </c>
      <c r="K610" s="60">
        <f>IF(A610=1,VEHICLE!$S$5,IF(A610=2,VEHICLE!$Q$5,IF(A610=3,VEHICLE!$R$5,IF(A610=4,VEHICLE!$P$5,1))))</f>
        <v>556.55073000000004</v>
      </c>
      <c r="L610" s="60">
        <f t="shared" si="197"/>
        <v>0</v>
      </c>
      <c r="M610" s="60">
        <f t="shared" si="192"/>
        <v>0</v>
      </c>
      <c r="N610" s="60">
        <f t="shared" si="185"/>
        <v>0</v>
      </c>
      <c r="O610" s="60">
        <f t="shared" si="186"/>
        <v>0</v>
      </c>
      <c r="P610" s="60">
        <f t="shared" si="187"/>
        <v>716.52654505521002</v>
      </c>
      <c r="Q610" s="60">
        <f>IF(H610=1,I610*VEHICLE!$C$69,IF(H610=2,VEHICLE!$C$70*I610,IF(H610=3,VEHICLE!$C$71*I610,0)))</f>
        <v>0</v>
      </c>
      <c r="R610" s="60">
        <f>(J610+K610+O610+Q610)</f>
        <v>716.52654505521002</v>
      </c>
      <c r="S610" s="60">
        <f t="shared" si="188"/>
        <v>716.52654505521002</v>
      </c>
      <c r="T610" s="60">
        <f>ABS((R610)/((2*PI()*G610)/60))</f>
        <v>0.97747492716080864</v>
      </c>
      <c r="U610" s="60">
        <f t="shared" si="189"/>
        <v>1</v>
      </c>
      <c r="V610" s="60">
        <f>INDEX(BSFC!$D$4:$AD$26,MATCH(U610,BSFC!$B$4:$B$26,0),MATCH(G610,BSFC!$D$2:$AD$2,0))</f>
        <v>920.25590927999997</v>
      </c>
      <c r="W610" s="60">
        <f t="shared" si="193"/>
        <v>0.18316327423417753</v>
      </c>
      <c r="X610" s="60">
        <f t="shared" si="190"/>
        <v>0.18316327423417753</v>
      </c>
      <c r="Y610" s="60">
        <f t="shared" si="191"/>
        <v>0.56597451738360849</v>
      </c>
      <c r="Z610" s="79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x14ac:dyDescent="0.3">
      <c r="A611" s="55">
        <v>3</v>
      </c>
      <c r="B611" s="60" t="s">
        <v>111</v>
      </c>
      <c r="C611" s="60">
        <f t="shared" si="175"/>
        <v>608</v>
      </c>
      <c r="D611" s="60">
        <f t="shared" si="184"/>
        <v>27.962500000000002</v>
      </c>
      <c r="E611" s="60">
        <v>12.5</v>
      </c>
      <c r="F611" s="89">
        <f>($C$4/E611)+F610</f>
        <v>78.302507198255057</v>
      </c>
      <c r="G611" s="60">
        <v>6500</v>
      </c>
      <c r="H611" s="60">
        <v>3</v>
      </c>
      <c r="I611" s="89">
        <f>E611-E610</f>
        <v>-0.91000000000000014</v>
      </c>
      <c r="J611" s="60">
        <f>(0.5*VEHICLE!$C$71*VEHICLE!$C$28*VEHICLE!$C$27*'Drive Cycle'!E611^2)</f>
        <v>139.00064062499999</v>
      </c>
      <c r="K611" s="60">
        <f>IF(A611=1,VEHICLE!$S$5,IF(A611=2,VEHICLE!$Q$5,IF(A611=3,VEHICLE!$R$5,IF(A611=4,VEHICLE!$P$5,1))))</f>
        <v>556.55073000000004</v>
      </c>
      <c r="L611" s="60">
        <f>L610+0.5</f>
        <v>0.5</v>
      </c>
      <c r="M611" s="60">
        <f t="shared" si="192"/>
        <v>0.5</v>
      </c>
      <c r="N611" s="60">
        <f t="shared" si="185"/>
        <v>26.56505117707799</v>
      </c>
      <c r="O611" s="60">
        <f t="shared" si="186"/>
        <v>193.03527636160186</v>
      </c>
      <c r="P611" s="60">
        <f t="shared" si="187"/>
        <v>888.58664698660186</v>
      </c>
      <c r="Q611" s="60">
        <f>IF(H611=1,I611*VEHICLE!$C$69,IF(H611=2,VEHICLE!$C$70*I611,IF(H611=3,VEHICLE!$C$71*I611,0)))</f>
        <v>-1.0619700000000003</v>
      </c>
      <c r="R611" s="60">
        <f>(J611+K611+O611+Q611)</f>
        <v>887.52467698660189</v>
      </c>
      <c r="S611" s="60">
        <f t="shared" si="188"/>
        <v>887.52467698660189</v>
      </c>
      <c r="T611" s="60">
        <f>ABS((R611)/((2*PI()*G611)/60))</f>
        <v>1.30388251807805</v>
      </c>
      <c r="U611" s="60">
        <f t="shared" si="189"/>
        <v>2</v>
      </c>
      <c r="V611" s="60">
        <f>INDEX(BSFC!$D$4:$AD$26,MATCH(U611,BSFC!$B$4:$B$26,0),MATCH(G611,BSFC!$D$2:$AD$2,0))</f>
        <v>894.55972883999993</v>
      </c>
      <c r="W611" s="60">
        <f t="shared" si="193"/>
        <v>0.22053995399553974</v>
      </c>
      <c r="X611" s="60">
        <f t="shared" si="190"/>
        <v>0.22053995399553974</v>
      </c>
      <c r="Y611" s="60">
        <f t="shared" si="191"/>
        <v>0.68146845784621779</v>
      </c>
      <c r="Z611" s="79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x14ac:dyDescent="0.3">
      <c r="A612" s="55">
        <v>3</v>
      </c>
      <c r="B612" s="60" t="s">
        <v>111</v>
      </c>
      <c r="C612" s="60">
        <f t="shared" si="175"/>
        <v>609</v>
      </c>
      <c r="D612" s="60">
        <f t="shared" si="184"/>
        <v>26.844000000000001</v>
      </c>
      <c r="E612" s="60">
        <v>12</v>
      </c>
      <c r="F612" s="89">
        <f>($C$4/E612)+F611</f>
        <v>78.385840531588386</v>
      </c>
      <c r="G612" s="60">
        <v>6000</v>
      </c>
      <c r="H612" s="60">
        <v>3</v>
      </c>
      <c r="I612" s="89">
        <f>E612-E611</f>
        <v>-0.5</v>
      </c>
      <c r="J612" s="60">
        <f>(0.5*VEHICLE!$C$71*VEHICLE!$C$28*VEHICLE!$C$27*'Drive Cycle'!E612^2)</f>
        <v>128.10299039999998</v>
      </c>
      <c r="K612" s="60">
        <f>IF(A612=1,VEHICLE!$S$5,IF(A612=2,VEHICLE!$Q$5,IF(A612=3,VEHICLE!$R$5,IF(A612=4,VEHICLE!$P$5,1))))</f>
        <v>556.55073000000004</v>
      </c>
      <c r="L612" s="60">
        <f t="shared" ref="L612:L617" si="199">L611+0.5</f>
        <v>1</v>
      </c>
      <c r="M612" s="60">
        <f t="shared" si="192"/>
        <v>0.5</v>
      </c>
      <c r="N612" s="60">
        <f t="shared" si="185"/>
        <v>26.56505117707799</v>
      </c>
      <c r="O612" s="60">
        <f t="shared" si="186"/>
        <v>193.03527636160186</v>
      </c>
      <c r="P612" s="60">
        <f t="shared" si="187"/>
        <v>877.68899676160186</v>
      </c>
      <c r="Q612" s="60">
        <f>IF(H612=1,I612*VEHICLE!$C$69,IF(H612=2,VEHICLE!$C$70*I612,IF(H612=3,VEHICLE!$C$71*I612,0)))</f>
        <v>-0.58350000000000002</v>
      </c>
      <c r="R612" s="60">
        <f>(J612+K612+O612+Q612)</f>
        <v>877.1054967616019</v>
      </c>
      <c r="S612" s="60">
        <f t="shared" si="188"/>
        <v>877.1054967616019</v>
      </c>
      <c r="T612" s="60">
        <f>ABS((R612)/((2*PI()*G612)/60))</f>
        <v>1.3959567542268134</v>
      </c>
      <c r="U612" s="60">
        <f t="shared" si="189"/>
        <v>2</v>
      </c>
      <c r="V612" s="60">
        <f>INDEX(BSFC!$D$4:$AD$26,MATCH(U612,BSFC!$B$4:$B$26,0),MATCH(G612,BSFC!$D$2:$AD$2,0))</f>
        <v>881.66816232000019</v>
      </c>
      <c r="W612" s="60">
        <f t="shared" si="193"/>
        <v>0.21480999763627015</v>
      </c>
      <c r="X612" s="60">
        <f t="shared" si="190"/>
        <v>0.21480999763627015</v>
      </c>
      <c r="Y612" s="60">
        <f t="shared" si="191"/>
        <v>0.66376289269607469</v>
      </c>
      <c r="Z612" s="79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x14ac:dyDescent="0.3">
      <c r="A613" s="55">
        <v>3</v>
      </c>
      <c r="B613" s="60" t="s">
        <v>111</v>
      </c>
      <c r="C613" s="60">
        <f t="shared" si="175"/>
        <v>610</v>
      </c>
      <c r="D613" s="60">
        <f t="shared" si="184"/>
        <v>26.844000000000001</v>
      </c>
      <c r="E613" s="60">
        <v>12</v>
      </c>
      <c r="F613" s="89">
        <f>($C$4/E613)+F612</f>
        <v>78.469173864921714</v>
      </c>
      <c r="G613" s="60">
        <v>6000</v>
      </c>
      <c r="H613" s="60">
        <v>3</v>
      </c>
      <c r="I613" s="89">
        <f>E613-E612</f>
        <v>0</v>
      </c>
      <c r="J613" s="60">
        <f>(0.5*VEHICLE!$C$71*VEHICLE!$C$28*VEHICLE!$C$27*'Drive Cycle'!E613^2)</f>
        <v>128.10299039999998</v>
      </c>
      <c r="K613" s="60">
        <f>IF(A613=1,VEHICLE!$S$5,IF(A613=2,VEHICLE!$Q$5,IF(A613=3,VEHICLE!$R$5,IF(A613=4,VEHICLE!$P$5,1))))</f>
        <v>556.55073000000004</v>
      </c>
      <c r="L613" s="60">
        <f t="shared" si="199"/>
        <v>1.5</v>
      </c>
      <c r="M613" s="60">
        <f t="shared" si="192"/>
        <v>0.5</v>
      </c>
      <c r="N613" s="60">
        <f t="shared" si="185"/>
        <v>26.56505117707799</v>
      </c>
      <c r="O613" s="60">
        <f t="shared" si="186"/>
        <v>193.03527636160186</v>
      </c>
      <c r="P613" s="60">
        <f t="shared" si="187"/>
        <v>877.68899676160186</v>
      </c>
      <c r="Q613" s="60">
        <f>IF(H613=1,I613*VEHICLE!$C$69,IF(H613=2,VEHICLE!$C$70*I613,IF(H613=3,VEHICLE!$C$71*I613,0)))</f>
        <v>0</v>
      </c>
      <c r="R613" s="60">
        <f>(J613+K613+O613+Q613)</f>
        <v>877.68899676160186</v>
      </c>
      <c r="S613" s="60">
        <f t="shared" si="188"/>
        <v>877.68899676160186</v>
      </c>
      <c r="T613" s="60">
        <f>ABS((R613)/((2*PI()*G613)/60))</f>
        <v>1.3968854233197545</v>
      </c>
      <c r="U613" s="60">
        <f t="shared" si="189"/>
        <v>2</v>
      </c>
      <c r="V613" s="60">
        <f>INDEX(BSFC!$D$4:$AD$26,MATCH(U613,BSFC!$B$4:$B$26,0),MATCH(G613,BSFC!$D$2:$AD$2,0))</f>
        <v>881.66816232000019</v>
      </c>
      <c r="W613" s="60">
        <f t="shared" si="193"/>
        <v>0.2149529013509128</v>
      </c>
      <c r="X613" s="60">
        <f t="shared" si="190"/>
        <v>0.2149529013509128</v>
      </c>
      <c r="Y613" s="60">
        <f t="shared" si="191"/>
        <v>0.66420446517432052</v>
      </c>
      <c r="Z613" s="79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x14ac:dyDescent="0.3">
      <c r="A614" s="55">
        <v>3</v>
      </c>
      <c r="B614" s="60" t="s">
        <v>111</v>
      </c>
      <c r="C614" s="60">
        <f t="shared" si="175"/>
        <v>611</v>
      </c>
      <c r="D614" s="60">
        <f t="shared" si="184"/>
        <v>27.962500000000002</v>
      </c>
      <c r="E614" s="60">
        <v>12.5</v>
      </c>
      <c r="F614" s="89">
        <f>($C$4/E614)+F613</f>
        <v>78.549173864921713</v>
      </c>
      <c r="G614" s="60">
        <v>6500</v>
      </c>
      <c r="H614" s="60">
        <v>3</v>
      </c>
      <c r="I614" s="89">
        <f>E614-E613</f>
        <v>0.5</v>
      </c>
      <c r="J614" s="60">
        <f>(0.5*VEHICLE!$C$71*VEHICLE!$C$28*VEHICLE!$C$27*'Drive Cycle'!E614^2)</f>
        <v>139.00064062499999</v>
      </c>
      <c r="K614" s="60">
        <f>IF(A614=1,VEHICLE!$S$5,IF(A614=2,VEHICLE!$Q$5,IF(A614=3,VEHICLE!$R$5,IF(A614=4,VEHICLE!$P$5,1))))</f>
        <v>556.55073000000004</v>
      </c>
      <c r="L614" s="60">
        <f t="shared" si="199"/>
        <v>2</v>
      </c>
      <c r="M614" s="60">
        <f t="shared" si="192"/>
        <v>0.5</v>
      </c>
      <c r="N614" s="60">
        <f t="shared" si="185"/>
        <v>26.56505117707799</v>
      </c>
      <c r="O614" s="60">
        <f t="shared" si="186"/>
        <v>193.03527636160186</v>
      </c>
      <c r="P614" s="60">
        <f t="shared" si="187"/>
        <v>888.58664698660186</v>
      </c>
      <c r="Q614" s="60">
        <f>IF(H614=1,I614*VEHICLE!$C$69,IF(H614=2,VEHICLE!$C$70*I614,IF(H614=3,VEHICLE!$C$71*I614,0)))</f>
        <v>0.58350000000000002</v>
      </c>
      <c r="R614" s="60">
        <f>(J614+K614+O614+Q614)</f>
        <v>889.17014698660182</v>
      </c>
      <c r="S614" s="60">
        <f t="shared" si="188"/>
        <v>889.17014698660182</v>
      </c>
      <c r="T614" s="60">
        <f>ABS((R614)/((2*PI()*G614)/60))</f>
        <v>1.3062999151630599</v>
      </c>
      <c r="U614" s="60">
        <f t="shared" si="189"/>
        <v>2</v>
      </c>
      <c r="V614" s="60">
        <f>INDEX(BSFC!$D$4:$AD$26,MATCH(U614,BSFC!$B$4:$B$26,0),MATCH(G614,BSFC!$D$2:$AD$2,0))</f>
        <v>894.55972883999993</v>
      </c>
      <c r="W614" s="60">
        <f t="shared" si="193"/>
        <v>0.22094883488359929</v>
      </c>
      <c r="X614" s="60">
        <f t="shared" si="190"/>
        <v>0.22094883488359929</v>
      </c>
      <c r="Y614" s="60">
        <f t="shared" si="191"/>
        <v>0.68273189979032178</v>
      </c>
      <c r="Z614" s="79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x14ac:dyDescent="0.3">
      <c r="A615" s="55">
        <v>3</v>
      </c>
      <c r="B615" s="60" t="s">
        <v>111</v>
      </c>
      <c r="C615" s="60">
        <f t="shared" si="175"/>
        <v>612</v>
      </c>
      <c r="D615" s="60">
        <f t="shared" si="184"/>
        <v>29.081000000000003</v>
      </c>
      <c r="E615" s="60">
        <v>13</v>
      </c>
      <c r="F615" s="89">
        <f>($C$4/E615)+F614</f>
        <v>78.626096941844793</v>
      </c>
      <c r="G615" s="60">
        <v>7000</v>
      </c>
      <c r="H615" s="60">
        <v>3</v>
      </c>
      <c r="I615" s="89">
        <f>E615-E614</f>
        <v>0.5</v>
      </c>
      <c r="J615" s="60">
        <f>(0.5*VEHICLE!$C$71*VEHICLE!$C$28*VEHICLE!$C$27*'Drive Cycle'!E615^2)</f>
        <v>150.34309289999999</v>
      </c>
      <c r="K615" s="60">
        <f>IF(A615=1,VEHICLE!$S$5,IF(A615=2,VEHICLE!$Q$5,IF(A615=3,VEHICLE!$R$5,IF(A615=4,VEHICLE!$P$5,1))))</f>
        <v>556.55073000000004</v>
      </c>
      <c r="L615" s="60">
        <f t="shared" si="199"/>
        <v>2.5</v>
      </c>
      <c r="M615" s="60">
        <f t="shared" si="192"/>
        <v>0.5</v>
      </c>
      <c r="N615" s="60">
        <f t="shared" si="185"/>
        <v>26.56505117707799</v>
      </c>
      <c r="O615" s="60">
        <f t="shared" si="186"/>
        <v>193.03527636160186</v>
      </c>
      <c r="P615" s="60">
        <f t="shared" si="187"/>
        <v>899.92909926160189</v>
      </c>
      <c r="Q615" s="60">
        <f>IF(H615=1,I615*VEHICLE!$C$69,IF(H615=2,VEHICLE!$C$70*I615,IF(H615=3,VEHICLE!$C$71*I615,0)))</f>
        <v>0.58350000000000002</v>
      </c>
      <c r="R615" s="60">
        <f>(J615+K615+O615+Q615)</f>
        <v>900.51259926160185</v>
      </c>
      <c r="S615" s="60">
        <f t="shared" si="188"/>
        <v>900.51259926160185</v>
      </c>
      <c r="T615" s="60">
        <f>ABS((R615)/((2*PI()*G615)/60))</f>
        <v>1.2284659841915573</v>
      </c>
      <c r="U615" s="60">
        <f t="shared" si="189"/>
        <v>2</v>
      </c>
      <c r="V615" s="60">
        <f>INDEX(BSFC!$D$4:$AD$26,MATCH(U615,BSFC!$B$4:$B$26,0),MATCH(G615,BSFC!$D$2:$AD$2,0))</f>
        <v>911.73559271999989</v>
      </c>
      <c r="W615" s="60">
        <f t="shared" si="193"/>
        <v>0.2280637190110012</v>
      </c>
      <c r="X615" s="60">
        <f t="shared" si="190"/>
        <v>0.2280637190110012</v>
      </c>
      <c r="Y615" s="60">
        <f t="shared" si="191"/>
        <v>0.70471689174399366</v>
      </c>
      <c r="Z615" s="79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x14ac:dyDescent="0.3">
      <c r="A616" s="55">
        <v>3</v>
      </c>
      <c r="B616" s="60" t="s">
        <v>111</v>
      </c>
      <c r="C616" s="60">
        <f t="shared" ref="C616:C679" si="200">C615+1</f>
        <v>613</v>
      </c>
      <c r="D616" s="60">
        <f t="shared" si="184"/>
        <v>29.998170000000002</v>
      </c>
      <c r="E616" s="60">
        <v>13.41</v>
      </c>
      <c r="F616" s="89">
        <f>($C$4/E616)+F615</f>
        <v>78.700668157355608</v>
      </c>
      <c r="G616" s="60">
        <v>7000</v>
      </c>
      <c r="H616" s="60">
        <v>3</v>
      </c>
      <c r="I616" s="89">
        <f>E616-E615</f>
        <v>0.41000000000000014</v>
      </c>
      <c r="J616" s="60">
        <f>(0.5*VEHICLE!$C$71*VEHICLE!$C$28*VEHICLE!$C$27*'Drive Cycle'!E616^2)</f>
        <v>159.97581505520998</v>
      </c>
      <c r="K616" s="60">
        <f>IF(A616=1,VEHICLE!$S$5,IF(A616=2,VEHICLE!$Q$5,IF(A616=3,VEHICLE!$R$5,IF(A616=4,VEHICLE!$P$5,1))))</f>
        <v>556.55073000000004</v>
      </c>
      <c r="L616" s="60">
        <f t="shared" si="199"/>
        <v>3</v>
      </c>
      <c r="M616" s="60">
        <f t="shared" si="192"/>
        <v>0.5</v>
      </c>
      <c r="N616" s="60">
        <f t="shared" si="185"/>
        <v>26.56505117707799</v>
      </c>
      <c r="O616" s="60">
        <f t="shared" si="186"/>
        <v>193.03527636160186</v>
      </c>
      <c r="P616" s="60">
        <f t="shared" si="187"/>
        <v>909.56182141681188</v>
      </c>
      <c r="Q616" s="60">
        <f>IF(H616=1,I616*VEHICLE!$C$69,IF(H616=2,VEHICLE!$C$70*I616,IF(H616=3,VEHICLE!$C$71*I616,0)))</f>
        <v>0.47847000000000017</v>
      </c>
      <c r="R616" s="60">
        <f>(J616+K616+O616+Q616)</f>
        <v>910.0402914168119</v>
      </c>
      <c r="S616" s="60">
        <f t="shared" si="188"/>
        <v>910.0402914168119</v>
      </c>
      <c r="T616" s="60">
        <f>ABS((R616)/((2*PI()*G616)/60))</f>
        <v>1.2414635210723535</v>
      </c>
      <c r="U616" s="60">
        <f t="shared" si="189"/>
        <v>2</v>
      </c>
      <c r="V616" s="60">
        <f>INDEX(BSFC!$D$4:$AD$26,MATCH(U616,BSFC!$B$4:$B$26,0),MATCH(G616,BSFC!$D$2:$AD$2,0))</f>
        <v>911.73559271999989</v>
      </c>
      <c r="W616" s="60">
        <f t="shared" si="193"/>
        <v>0.23047670124833014</v>
      </c>
      <c r="X616" s="60">
        <f t="shared" si="190"/>
        <v>0.23047670124833014</v>
      </c>
      <c r="Y616" s="60">
        <f t="shared" si="191"/>
        <v>0.71217300685734009</v>
      </c>
      <c r="Z616" s="79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x14ac:dyDescent="0.3">
      <c r="A617" s="55">
        <v>3</v>
      </c>
      <c r="B617" s="60" t="s">
        <v>111</v>
      </c>
      <c r="C617" s="60">
        <f t="shared" si="200"/>
        <v>614</v>
      </c>
      <c r="D617" s="60">
        <f t="shared" si="184"/>
        <v>29.998170000000002</v>
      </c>
      <c r="E617" s="60">
        <v>13.41</v>
      </c>
      <c r="F617" s="89">
        <f>($C$4/E617)+F616</f>
        <v>78.775239372866423</v>
      </c>
      <c r="G617" s="60">
        <v>7000</v>
      </c>
      <c r="H617" s="60">
        <v>3</v>
      </c>
      <c r="I617" s="89">
        <f>E617-E616</f>
        <v>0</v>
      </c>
      <c r="J617" s="60">
        <f>(0.5*VEHICLE!$C$71*VEHICLE!$C$28*VEHICLE!$C$27*'Drive Cycle'!E617^2)</f>
        <v>159.97581505520998</v>
      </c>
      <c r="K617" s="60">
        <f>IF(A617=1,VEHICLE!$S$5,IF(A617=2,VEHICLE!$Q$5,IF(A617=3,VEHICLE!$R$5,IF(A617=4,VEHICLE!$P$5,1))))</f>
        <v>556.55073000000004</v>
      </c>
      <c r="L617" s="60">
        <f t="shared" si="199"/>
        <v>3.5</v>
      </c>
      <c r="M617" s="60">
        <f t="shared" si="192"/>
        <v>0.5</v>
      </c>
      <c r="N617" s="60">
        <f t="shared" si="185"/>
        <v>26.56505117707799</v>
      </c>
      <c r="O617" s="60">
        <f t="shared" si="186"/>
        <v>193.03527636160186</v>
      </c>
      <c r="P617" s="60">
        <f t="shared" si="187"/>
        <v>909.56182141681188</v>
      </c>
      <c r="Q617" s="60">
        <f>IF(H617=1,I617*VEHICLE!$C$69,IF(H617=2,VEHICLE!$C$70*I617,IF(H617=3,VEHICLE!$C$71*I617,0)))</f>
        <v>0</v>
      </c>
      <c r="R617" s="60">
        <f>(J617+K617+O617+Q617)</f>
        <v>909.56182141681188</v>
      </c>
      <c r="S617" s="60">
        <f t="shared" si="188"/>
        <v>909.56182141681188</v>
      </c>
      <c r="T617" s="60">
        <f>ABS((R617)/((2*PI()*G617)/60))</f>
        <v>1.240810799367029</v>
      </c>
      <c r="U617" s="60">
        <f t="shared" si="189"/>
        <v>2</v>
      </c>
      <c r="V617" s="60">
        <f>INDEX(BSFC!$D$4:$AD$26,MATCH(U617,BSFC!$B$4:$B$26,0),MATCH(G617,BSFC!$D$2:$AD$2,0))</f>
        <v>911.73559271999989</v>
      </c>
      <c r="W617" s="60">
        <f t="shared" si="193"/>
        <v>0.23035552399026102</v>
      </c>
      <c r="X617" s="60">
        <f t="shared" si="190"/>
        <v>0.23035552399026102</v>
      </c>
      <c r="Y617" s="60">
        <f t="shared" si="191"/>
        <v>0.71179856912990647</v>
      </c>
      <c r="Z617" s="79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x14ac:dyDescent="0.3">
      <c r="A618" s="55">
        <v>3</v>
      </c>
      <c r="B618" s="60" t="s">
        <v>111</v>
      </c>
      <c r="C618" s="60">
        <f t="shared" si="200"/>
        <v>615</v>
      </c>
      <c r="D618" s="60">
        <f t="shared" si="184"/>
        <v>29.998170000000002</v>
      </c>
      <c r="E618" s="60">
        <v>13.41</v>
      </c>
      <c r="F618" s="89">
        <f>($C$4/E618)+F617</f>
        <v>78.849810588377238</v>
      </c>
      <c r="G618" s="60">
        <v>7000</v>
      </c>
      <c r="H618" s="60">
        <v>3</v>
      </c>
      <c r="I618" s="89">
        <f>E618-E617</f>
        <v>0</v>
      </c>
      <c r="J618" s="60">
        <f>(0.5*VEHICLE!$C$71*VEHICLE!$C$28*VEHICLE!$C$27*'Drive Cycle'!E618^2)</f>
        <v>159.97581505520998</v>
      </c>
      <c r="K618" s="60">
        <f>IF(A618=1,VEHICLE!$S$5,IF(A618=2,VEHICLE!$Q$5,IF(A618=3,VEHICLE!$R$5,IF(A618=4,VEHICLE!$P$5,1))))</f>
        <v>556.55073000000004</v>
      </c>
      <c r="L618" s="60">
        <f>L617</f>
        <v>3.5</v>
      </c>
      <c r="M618" s="60">
        <f t="shared" si="192"/>
        <v>0</v>
      </c>
      <c r="N618" s="60">
        <f t="shared" si="185"/>
        <v>0</v>
      </c>
      <c r="O618" s="60">
        <f t="shared" si="186"/>
        <v>0</v>
      </c>
      <c r="P618" s="60">
        <f t="shared" si="187"/>
        <v>716.52654505521002</v>
      </c>
      <c r="Q618" s="60">
        <f>IF(H618=1,I618*VEHICLE!$C$69,IF(H618=2,VEHICLE!$C$70*I618,IF(H618=3,VEHICLE!$C$71*I618,0)))</f>
        <v>0</v>
      </c>
      <c r="R618" s="60">
        <f>(J618+K618+O618+Q618)</f>
        <v>716.52654505521002</v>
      </c>
      <c r="S618" s="60">
        <f t="shared" si="188"/>
        <v>716.52654505521002</v>
      </c>
      <c r="T618" s="60">
        <f>ABS((R618)/((2*PI()*G618)/60))</f>
        <v>0.97747492716080864</v>
      </c>
      <c r="U618" s="60">
        <f t="shared" si="189"/>
        <v>1</v>
      </c>
      <c r="V618" s="60">
        <f>INDEX(BSFC!$D$4:$AD$26,MATCH(U618,BSFC!$B$4:$B$26,0),MATCH(G618,BSFC!$D$2:$AD$2,0))</f>
        <v>920.25590927999997</v>
      </c>
      <c r="W618" s="60">
        <f t="shared" si="193"/>
        <v>0.18316327423417753</v>
      </c>
      <c r="X618" s="60">
        <f t="shared" si="190"/>
        <v>0.18316327423417753</v>
      </c>
      <c r="Y618" s="60">
        <f t="shared" si="191"/>
        <v>0.56597451738360849</v>
      </c>
      <c r="Z618" s="79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x14ac:dyDescent="0.3">
      <c r="A619" s="55">
        <v>3</v>
      </c>
      <c r="B619" s="60" t="s">
        <v>111</v>
      </c>
      <c r="C619" s="60">
        <f t="shared" si="200"/>
        <v>616</v>
      </c>
      <c r="D619" s="60">
        <f t="shared" si="184"/>
        <v>29.998170000000002</v>
      </c>
      <c r="E619" s="60">
        <v>13.41</v>
      </c>
      <c r="F619" s="89">
        <f>($C$4/E619)+F618</f>
        <v>78.924381803888053</v>
      </c>
      <c r="G619" s="60">
        <v>7000</v>
      </c>
      <c r="H619" s="60">
        <v>3</v>
      </c>
      <c r="I619" s="89">
        <f>E619-E618</f>
        <v>0</v>
      </c>
      <c r="J619" s="60">
        <f>(0.5*VEHICLE!$C$71*VEHICLE!$C$28*VEHICLE!$C$27*'Drive Cycle'!E619^2)</f>
        <v>159.97581505520998</v>
      </c>
      <c r="K619" s="60">
        <f>IF(A619=1,VEHICLE!$S$5,IF(A619=2,VEHICLE!$Q$5,IF(A619=3,VEHICLE!$R$5,IF(A619=4,VEHICLE!$P$5,1))))</f>
        <v>556.55073000000004</v>
      </c>
      <c r="L619" s="60">
        <f t="shared" ref="L619:L629" si="201">L618</f>
        <v>3.5</v>
      </c>
      <c r="M619" s="60">
        <f t="shared" si="192"/>
        <v>0</v>
      </c>
      <c r="N619" s="60">
        <f t="shared" si="185"/>
        <v>0</v>
      </c>
      <c r="O619" s="60">
        <f t="shared" si="186"/>
        <v>0</v>
      </c>
      <c r="P619" s="60">
        <f t="shared" si="187"/>
        <v>716.52654505521002</v>
      </c>
      <c r="Q619" s="60">
        <f>IF(H619=1,I619*VEHICLE!$C$69,IF(H619=2,VEHICLE!$C$70*I619,IF(H619=3,VEHICLE!$C$71*I619,0)))</f>
        <v>0</v>
      </c>
      <c r="R619" s="60">
        <f>(J619+K619+O619+Q619)</f>
        <v>716.52654505521002</v>
      </c>
      <c r="S619" s="60">
        <f t="shared" si="188"/>
        <v>716.52654505521002</v>
      </c>
      <c r="T619" s="60">
        <f>ABS((R619)/((2*PI()*G619)/60))</f>
        <v>0.97747492716080864</v>
      </c>
      <c r="U619" s="60">
        <f t="shared" si="189"/>
        <v>1</v>
      </c>
      <c r="V619" s="60">
        <f>INDEX(BSFC!$D$4:$AD$26,MATCH(U619,BSFC!$B$4:$B$26,0),MATCH(G619,BSFC!$D$2:$AD$2,0))</f>
        <v>920.25590927999997</v>
      </c>
      <c r="W619" s="60">
        <f t="shared" si="193"/>
        <v>0.18316327423417753</v>
      </c>
      <c r="X619" s="60">
        <f t="shared" si="190"/>
        <v>0.18316327423417753</v>
      </c>
      <c r="Y619" s="60">
        <f t="shared" si="191"/>
        <v>0.56597451738360849</v>
      </c>
      <c r="Z619" s="79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x14ac:dyDescent="0.3">
      <c r="A620" s="55">
        <v>3</v>
      </c>
      <c r="B620" s="60" t="s">
        <v>111</v>
      </c>
      <c r="C620" s="60">
        <f t="shared" si="200"/>
        <v>617</v>
      </c>
      <c r="D620" s="60">
        <f t="shared" si="184"/>
        <v>29.998170000000002</v>
      </c>
      <c r="E620" s="60">
        <v>13.41</v>
      </c>
      <c r="F620" s="89">
        <f>($C$4/E620)+F619</f>
        <v>78.998953019398868</v>
      </c>
      <c r="G620" s="60">
        <v>7000</v>
      </c>
      <c r="H620" s="60">
        <v>3</v>
      </c>
      <c r="I620" s="89">
        <f>E620-E619</f>
        <v>0</v>
      </c>
      <c r="J620" s="60">
        <f>(0.5*VEHICLE!$C$71*VEHICLE!$C$28*VEHICLE!$C$27*'Drive Cycle'!E620^2)</f>
        <v>159.97581505520998</v>
      </c>
      <c r="K620" s="60">
        <f>IF(A620=1,VEHICLE!$S$5,IF(A620=2,VEHICLE!$Q$5,IF(A620=3,VEHICLE!$R$5,IF(A620=4,VEHICLE!$P$5,1))))</f>
        <v>556.55073000000004</v>
      </c>
      <c r="L620" s="60">
        <f t="shared" si="201"/>
        <v>3.5</v>
      </c>
      <c r="M620" s="60">
        <f t="shared" si="192"/>
        <v>0</v>
      </c>
      <c r="N620" s="60">
        <f t="shared" si="185"/>
        <v>0</v>
      </c>
      <c r="O620" s="60">
        <f t="shared" si="186"/>
        <v>0</v>
      </c>
      <c r="P620" s="60">
        <f t="shared" si="187"/>
        <v>716.52654505521002</v>
      </c>
      <c r="Q620" s="60">
        <f>IF(H620=1,I620*VEHICLE!$C$69,IF(H620=2,VEHICLE!$C$70*I620,IF(H620=3,VEHICLE!$C$71*I620,0)))</f>
        <v>0</v>
      </c>
      <c r="R620" s="60">
        <f>(J620+K620+O620+Q620)</f>
        <v>716.52654505521002</v>
      </c>
      <c r="S620" s="60">
        <f t="shared" si="188"/>
        <v>716.52654505521002</v>
      </c>
      <c r="T620" s="60">
        <f>ABS((R620)/((2*PI()*G620)/60))</f>
        <v>0.97747492716080864</v>
      </c>
      <c r="U620" s="60">
        <f t="shared" si="189"/>
        <v>1</v>
      </c>
      <c r="V620" s="60">
        <f>INDEX(BSFC!$D$4:$AD$26,MATCH(U620,BSFC!$B$4:$B$26,0),MATCH(G620,BSFC!$D$2:$AD$2,0))</f>
        <v>920.25590927999997</v>
      </c>
      <c r="W620" s="60">
        <f t="shared" si="193"/>
        <v>0.18316327423417753</v>
      </c>
      <c r="X620" s="60">
        <f t="shared" si="190"/>
        <v>0.18316327423417753</v>
      </c>
      <c r="Y620" s="60">
        <f t="shared" si="191"/>
        <v>0.56597451738360849</v>
      </c>
      <c r="Z620" s="79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x14ac:dyDescent="0.3">
      <c r="A621" s="55">
        <v>3</v>
      </c>
      <c r="B621" s="60" t="s">
        <v>111</v>
      </c>
      <c r="C621" s="60">
        <f t="shared" si="200"/>
        <v>618</v>
      </c>
      <c r="D621" s="60">
        <f t="shared" si="184"/>
        <v>29.998170000000002</v>
      </c>
      <c r="E621" s="60">
        <v>13.41</v>
      </c>
      <c r="F621" s="89">
        <f>($C$4/E621)+F620</f>
        <v>79.073524234909684</v>
      </c>
      <c r="G621" s="60">
        <v>7000</v>
      </c>
      <c r="H621" s="60">
        <v>3</v>
      </c>
      <c r="I621" s="89">
        <f>E621-E620</f>
        <v>0</v>
      </c>
      <c r="J621" s="60">
        <f>(0.5*VEHICLE!$C$71*VEHICLE!$C$28*VEHICLE!$C$27*'Drive Cycle'!E621^2)</f>
        <v>159.97581505520998</v>
      </c>
      <c r="K621" s="60">
        <f>IF(A621=1,VEHICLE!$S$5,IF(A621=2,VEHICLE!$Q$5,IF(A621=3,VEHICLE!$R$5,IF(A621=4,VEHICLE!$P$5,1))))</f>
        <v>556.55073000000004</v>
      </c>
      <c r="L621" s="60">
        <f t="shared" si="201"/>
        <v>3.5</v>
      </c>
      <c r="M621" s="60">
        <f t="shared" si="192"/>
        <v>0</v>
      </c>
      <c r="N621" s="60">
        <f t="shared" si="185"/>
        <v>0</v>
      </c>
      <c r="O621" s="60">
        <f t="shared" si="186"/>
        <v>0</v>
      </c>
      <c r="P621" s="60">
        <f t="shared" si="187"/>
        <v>716.52654505521002</v>
      </c>
      <c r="Q621" s="60">
        <f>IF(H621=1,I621*VEHICLE!$C$69,IF(H621=2,VEHICLE!$C$70*I621,IF(H621=3,VEHICLE!$C$71*I621,0)))</f>
        <v>0</v>
      </c>
      <c r="R621" s="60">
        <f>(J621+K621+O621+Q621)</f>
        <v>716.52654505521002</v>
      </c>
      <c r="S621" s="60">
        <f t="shared" si="188"/>
        <v>716.52654505521002</v>
      </c>
      <c r="T621" s="60">
        <f>ABS((R621)/((2*PI()*G621)/60))</f>
        <v>0.97747492716080864</v>
      </c>
      <c r="U621" s="60">
        <f t="shared" si="189"/>
        <v>1</v>
      </c>
      <c r="V621" s="60">
        <f>INDEX(BSFC!$D$4:$AD$26,MATCH(U621,BSFC!$B$4:$B$26,0),MATCH(G621,BSFC!$D$2:$AD$2,0))</f>
        <v>920.25590927999997</v>
      </c>
      <c r="W621" s="60">
        <f t="shared" si="193"/>
        <v>0.18316327423417753</v>
      </c>
      <c r="X621" s="60">
        <f t="shared" si="190"/>
        <v>0.18316327423417753</v>
      </c>
      <c r="Y621" s="60">
        <f t="shared" si="191"/>
        <v>0.56597451738360849</v>
      </c>
      <c r="Z621" s="79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x14ac:dyDescent="0.3">
      <c r="A622" s="55">
        <v>3</v>
      </c>
      <c r="B622" s="60" t="s">
        <v>111</v>
      </c>
      <c r="C622" s="60">
        <f t="shared" si="200"/>
        <v>619</v>
      </c>
      <c r="D622" s="60">
        <f t="shared" si="184"/>
        <v>29.998170000000002</v>
      </c>
      <c r="E622" s="60">
        <v>13.41</v>
      </c>
      <c r="F622" s="89">
        <f>($C$4/E622)+F621</f>
        <v>79.148095450420499</v>
      </c>
      <c r="G622" s="60">
        <v>7000</v>
      </c>
      <c r="H622" s="60">
        <v>3</v>
      </c>
      <c r="I622" s="89">
        <f>E622-E621</f>
        <v>0</v>
      </c>
      <c r="J622" s="60">
        <f>(0.5*VEHICLE!$C$71*VEHICLE!$C$28*VEHICLE!$C$27*'Drive Cycle'!E622^2)</f>
        <v>159.97581505520998</v>
      </c>
      <c r="K622" s="60">
        <f>IF(A622=1,VEHICLE!$S$5,IF(A622=2,VEHICLE!$Q$5,IF(A622=3,VEHICLE!$R$5,IF(A622=4,VEHICLE!$P$5,1))))</f>
        <v>556.55073000000004</v>
      </c>
      <c r="L622" s="60">
        <f t="shared" si="201"/>
        <v>3.5</v>
      </c>
      <c r="M622" s="60">
        <f t="shared" si="192"/>
        <v>0</v>
      </c>
      <c r="N622" s="60">
        <f t="shared" si="185"/>
        <v>0</v>
      </c>
      <c r="O622" s="60">
        <f t="shared" si="186"/>
        <v>0</v>
      </c>
      <c r="P622" s="60">
        <f t="shared" si="187"/>
        <v>716.52654505521002</v>
      </c>
      <c r="Q622" s="60">
        <f>IF(H622=1,I622*VEHICLE!$C$69,IF(H622=2,VEHICLE!$C$70*I622,IF(H622=3,VEHICLE!$C$71*I622,0)))</f>
        <v>0</v>
      </c>
      <c r="R622" s="60">
        <f>(J622+K622+O622+Q622)</f>
        <v>716.52654505521002</v>
      </c>
      <c r="S622" s="60">
        <f t="shared" si="188"/>
        <v>716.52654505521002</v>
      </c>
      <c r="T622" s="60">
        <f>ABS((R622)/((2*PI()*G622)/60))</f>
        <v>0.97747492716080864</v>
      </c>
      <c r="U622" s="60">
        <f t="shared" si="189"/>
        <v>1</v>
      </c>
      <c r="V622" s="60">
        <f>INDEX(BSFC!$D$4:$AD$26,MATCH(U622,BSFC!$B$4:$B$26,0),MATCH(G622,BSFC!$D$2:$AD$2,0))</f>
        <v>920.25590927999997</v>
      </c>
      <c r="W622" s="60">
        <f t="shared" si="193"/>
        <v>0.18316327423417753</v>
      </c>
      <c r="X622" s="60">
        <f t="shared" si="190"/>
        <v>0.18316327423417753</v>
      </c>
      <c r="Y622" s="60">
        <f t="shared" si="191"/>
        <v>0.56597451738360849</v>
      </c>
      <c r="Z622" s="79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x14ac:dyDescent="0.3">
      <c r="A623" s="55">
        <v>3</v>
      </c>
      <c r="B623" s="60" t="s">
        <v>111</v>
      </c>
      <c r="C623" s="60">
        <f t="shared" si="200"/>
        <v>620</v>
      </c>
      <c r="D623" s="60">
        <f t="shared" si="184"/>
        <v>29.998170000000002</v>
      </c>
      <c r="E623" s="60">
        <v>13.41</v>
      </c>
      <c r="F623" s="89">
        <f>($C$4/E623)+F622</f>
        <v>79.222666665931314</v>
      </c>
      <c r="G623" s="60">
        <v>7000</v>
      </c>
      <c r="H623" s="60">
        <v>3</v>
      </c>
      <c r="I623" s="89">
        <f>E623-E622</f>
        <v>0</v>
      </c>
      <c r="J623" s="60">
        <f>(0.5*VEHICLE!$C$71*VEHICLE!$C$28*VEHICLE!$C$27*'Drive Cycle'!E623^2)</f>
        <v>159.97581505520998</v>
      </c>
      <c r="K623" s="60">
        <f>IF(A623=1,VEHICLE!$S$5,IF(A623=2,VEHICLE!$Q$5,IF(A623=3,VEHICLE!$R$5,IF(A623=4,VEHICLE!$P$5,1))))</f>
        <v>556.55073000000004</v>
      </c>
      <c r="L623" s="60">
        <f t="shared" si="201"/>
        <v>3.5</v>
      </c>
      <c r="M623" s="60">
        <f t="shared" si="192"/>
        <v>0</v>
      </c>
      <c r="N623" s="60">
        <f t="shared" si="185"/>
        <v>0</v>
      </c>
      <c r="O623" s="60">
        <f t="shared" si="186"/>
        <v>0</v>
      </c>
      <c r="P623" s="60">
        <f t="shared" si="187"/>
        <v>716.52654505521002</v>
      </c>
      <c r="Q623" s="60">
        <f>IF(H623=1,I623*VEHICLE!$C$69,IF(H623=2,VEHICLE!$C$70*I623,IF(H623=3,VEHICLE!$C$71*I623,0)))</f>
        <v>0</v>
      </c>
      <c r="R623" s="60">
        <f>(J623+K623+O623+Q623)</f>
        <v>716.52654505521002</v>
      </c>
      <c r="S623" s="60">
        <f t="shared" si="188"/>
        <v>716.52654505521002</v>
      </c>
      <c r="T623" s="60">
        <f>ABS((R623)/((2*PI()*G623)/60))</f>
        <v>0.97747492716080864</v>
      </c>
      <c r="U623" s="60">
        <f t="shared" si="189"/>
        <v>1</v>
      </c>
      <c r="V623" s="60">
        <f>INDEX(BSFC!$D$4:$AD$26,MATCH(U623,BSFC!$B$4:$B$26,0),MATCH(G623,BSFC!$D$2:$AD$2,0))</f>
        <v>920.25590927999997</v>
      </c>
      <c r="W623" s="60">
        <f t="shared" si="193"/>
        <v>0.18316327423417753</v>
      </c>
      <c r="X623" s="60">
        <f t="shared" si="190"/>
        <v>0.18316327423417753</v>
      </c>
      <c r="Y623" s="60">
        <f t="shared" si="191"/>
        <v>0.56597451738360849</v>
      </c>
      <c r="Z623" s="79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x14ac:dyDescent="0.3">
      <c r="A624" s="55">
        <v>3</v>
      </c>
      <c r="B624" s="60" t="s">
        <v>111</v>
      </c>
      <c r="C624" s="60">
        <f t="shared" si="200"/>
        <v>621</v>
      </c>
      <c r="D624" s="60">
        <f t="shared" si="184"/>
        <v>29.998170000000002</v>
      </c>
      <c r="E624" s="60">
        <v>13.41</v>
      </c>
      <c r="F624" s="89">
        <f>($C$4/E624)+F623</f>
        <v>79.297237881442129</v>
      </c>
      <c r="G624" s="60">
        <v>7000</v>
      </c>
      <c r="H624" s="60">
        <v>3</v>
      </c>
      <c r="I624" s="89">
        <f>E624-E623</f>
        <v>0</v>
      </c>
      <c r="J624" s="60">
        <f>(0.5*VEHICLE!$C$71*VEHICLE!$C$28*VEHICLE!$C$27*'Drive Cycle'!E624^2)</f>
        <v>159.97581505520998</v>
      </c>
      <c r="K624" s="60">
        <f>IF(A624=1,VEHICLE!$S$5,IF(A624=2,VEHICLE!$Q$5,IF(A624=3,VEHICLE!$R$5,IF(A624=4,VEHICLE!$P$5,1))))</f>
        <v>556.55073000000004</v>
      </c>
      <c r="L624" s="60">
        <f t="shared" si="201"/>
        <v>3.5</v>
      </c>
      <c r="M624" s="60">
        <f t="shared" si="192"/>
        <v>0</v>
      </c>
      <c r="N624" s="60">
        <f t="shared" si="185"/>
        <v>0</v>
      </c>
      <c r="O624" s="60">
        <f t="shared" si="186"/>
        <v>0</v>
      </c>
      <c r="P624" s="60">
        <f t="shared" si="187"/>
        <v>716.52654505521002</v>
      </c>
      <c r="Q624" s="60">
        <f>IF(H624=1,I624*VEHICLE!$C$69,IF(H624=2,VEHICLE!$C$70*I624,IF(H624=3,VEHICLE!$C$71*I624,0)))</f>
        <v>0</v>
      </c>
      <c r="R624" s="60">
        <f>(J624+K624+O624+Q624)</f>
        <v>716.52654505521002</v>
      </c>
      <c r="S624" s="60">
        <f t="shared" si="188"/>
        <v>716.52654505521002</v>
      </c>
      <c r="T624" s="60">
        <f>ABS((R624)/((2*PI()*G624)/60))</f>
        <v>0.97747492716080864</v>
      </c>
      <c r="U624" s="60">
        <f t="shared" si="189"/>
        <v>1</v>
      </c>
      <c r="V624" s="60">
        <f>INDEX(BSFC!$D$4:$AD$26,MATCH(U624,BSFC!$B$4:$B$26,0),MATCH(G624,BSFC!$D$2:$AD$2,0))</f>
        <v>920.25590927999997</v>
      </c>
      <c r="W624" s="60">
        <f t="shared" si="193"/>
        <v>0.18316327423417753</v>
      </c>
      <c r="X624" s="60">
        <f t="shared" si="190"/>
        <v>0.18316327423417753</v>
      </c>
      <c r="Y624" s="60">
        <f t="shared" si="191"/>
        <v>0.56597451738360849</v>
      </c>
      <c r="Z624" s="79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x14ac:dyDescent="0.3">
      <c r="A625" s="55">
        <v>3</v>
      </c>
      <c r="B625" s="60" t="s">
        <v>111</v>
      </c>
      <c r="C625" s="60">
        <f t="shared" si="200"/>
        <v>622</v>
      </c>
      <c r="D625" s="60">
        <f t="shared" si="184"/>
        <v>29.998170000000002</v>
      </c>
      <c r="E625" s="60">
        <v>13.41</v>
      </c>
      <c r="F625" s="89">
        <f>($C$4/E625)+F624</f>
        <v>79.371809096952944</v>
      </c>
      <c r="G625" s="60">
        <v>7000</v>
      </c>
      <c r="H625" s="60">
        <v>3</v>
      </c>
      <c r="I625" s="89">
        <f>E625-E624</f>
        <v>0</v>
      </c>
      <c r="J625" s="60">
        <f>(0.5*VEHICLE!$C$71*VEHICLE!$C$28*VEHICLE!$C$27*'Drive Cycle'!E625^2)</f>
        <v>159.97581505520998</v>
      </c>
      <c r="K625" s="60">
        <f>IF(A625=1,VEHICLE!$S$5,IF(A625=2,VEHICLE!$Q$5,IF(A625=3,VEHICLE!$R$5,IF(A625=4,VEHICLE!$P$5,1))))</f>
        <v>556.55073000000004</v>
      </c>
      <c r="L625" s="60">
        <f t="shared" si="201"/>
        <v>3.5</v>
      </c>
      <c r="M625" s="60">
        <f t="shared" si="192"/>
        <v>0</v>
      </c>
      <c r="N625" s="60">
        <f t="shared" si="185"/>
        <v>0</v>
      </c>
      <c r="O625" s="60">
        <f t="shared" si="186"/>
        <v>0</v>
      </c>
      <c r="P625" s="60">
        <f t="shared" si="187"/>
        <v>716.52654505521002</v>
      </c>
      <c r="Q625" s="60">
        <f>IF(H625=1,I625*VEHICLE!$C$69,IF(H625=2,VEHICLE!$C$70*I625,IF(H625=3,VEHICLE!$C$71*I625,0)))</f>
        <v>0</v>
      </c>
      <c r="R625" s="60">
        <f>(J625+K625+O625+Q625)</f>
        <v>716.52654505521002</v>
      </c>
      <c r="S625" s="60">
        <f t="shared" si="188"/>
        <v>716.52654505521002</v>
      </c>
      <c r="T625" s="60">
        <f>ABS((R625)/((2*PI()*G625)/60))</f>
        <v>0.97747492716080864</v>
      </c>
      <c r="U625" s="60">
        <f t="shared" si="189"/>
        <v>1</v>
      </c>
      <c r="V625" s="60">
        <f>INDEX(BSFC!$D$4:$AD$26,MATCH(U625,BSFC!$B$4:$B$26,0),MATCH(G625,BSFC!$D$2:$AD$2,0))</f>
        <v>920.25590927999997</v>
      </c>
      <c r="W625" s="60">
        <f t="shared" si="193"/>
        <v>0.18316327423417753</v>
      </c>
      <c r="X625" s="60">
        <f t="shared" si="190"/>
        <v>0.18316327423417753</v>
      </c>
      <c r="Y625" s="60">
        <f t="shared" si="191"/>
        <v>0.56597451738360849</v>
      </c>
      <c r="Z625" s="79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x14ac:dyDescent="0.3">
      <c r="A626" s="55">
        <v>3</v>
      </c>
      <c r="B626" s="60" t="s">
        <v>111</v>
      </c>
      <c r="C626" s="60">
        <f t="shared" si="200"/>
        <v>623</v>
      </c>
      <c r="D626" s="60">
        <f t="shared" si="184"/>
        <v>29.998170000000002</v>
      </c>
      <c r="E626" s="60">
        <v>13.41</v>
      </c>
      <c r="F626" s="89">
        <f>($C$4/E626)+F625</f>
        <v>79.446380312463759</v>
      </c>
      <c r="G626" s="60">
        <v>7000</v>
      </c>
      <c r="H626" s="60">
        <v>3</v>
      </c>
      <c r="I626" s="89">
        <f>E626-E625</f>
        <v>0</v>
      </c>
      <c r="J626" s="60">
        <f>(0.5*VEHICLE!$C$71*VEHICLE!$C$28*VEHICLE!$C$27*'Drive Cycle'!E626^2)</f>
        <v>159.97581505520998</v>
      </c>
      <c r="K626" s="60">
        <f>IF(A626=1,VEHICLE!$S$5,IF(A626=2,VEHICLE!$Q$5,IF(A626=3,VEHICLE!$R$5,IF(A626=4,VEHICLE!$P$5,1))))</f>
        <v>556.55073000000004</v>
      </c>
      <c r="L626" s="60">
        <f t="shared" si="201"/>
        <v>3.5</v>
      </c>
      <c r="M626" s="60">
        <f t="shared" si="192"/>
        <v>0</v>
      </c>
      <c r="N626" s="60">
        <f t="shared" si="185"/>
        <v>0</v>
      </c>
      <c r="O626" s="60">
        <f t="shared" si="186"/>
        <v>0</v>
      </c>
      <c r="P626" s="60">
        <f t="shared" si="187"/>
        <v>716.52654505521002</v>
      </c>
      <c r="Q626" s="60">
        <f>IF(H626=1,I626*VEHICLE!$C$69,IF(H626=2,VEHICLE!$C$70*I626,IF(H626=3,VEHICLE!$C$71*I626,0)))</f>
        <v>0</v>
      </c>
      <c r="R626" s="60">
        <f>(J626+K626+O626+Q626)</f>
        <v>716.52654505521002</v>
      </c>
      <c r="S626" s="60">
        <f t="shared" si="188"/>
        <v>716.52654505521002</v>
      </c>
      <c r="T626" s="60">
        <f>ABS((R626)/((2*PI()*G626)/60))</f>
        <v>0.97747492716080864</v>
      </c>
      <c r="U626" s="60">
        <f t="shared" si="189"/>
        <v>1</v>
      </c>
      <c r="V626" s="60">
        <f>INDEX(BSFC!$D$4:$AD$26,MATCH(U626,BSFC!$B$4:$B$26,0),MATCH(G626,BSFC!$D$2:$AD$2,0))</f>
        <v>920.25590927999997</v>
      </c>
      <c r="W626" s="60">
        <f t="shared" si="193"/>
        <v>0.18316327423417753</v>
      </c>
      <c r="X626" s="60">
        <f t="shared" si="190"/>
        <v>0.18316327423417753</v>
      </c>
      <c r="Y626" s="60">
        <f t="shared" si="191"/>
        <v>0.56597451738360849</v>
      </c>
      <c r="Z626" s="79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x14ac:dyDescent="0.3">
      <c r="A627" s="55">
        <v>3</v>
      </c>
      <c r="B627" s="60" t="s">
        <v>111</v>
      </c>
      <c r="C627" s="60">
        <f t="shared" si="200"/>
        <v>624</v>
      </c>
      <c r="D627" s="60">
        <f t="shared" si="184"/>
        <v>29.998170000000002</v>
      </c>
      <c r="E627" s="60">
        <v>13.41</v>
      </c>
      <c r="F627" s="89">
        <f>($C$4/E627)+F626</f>
        <v>79.520951527974574</v>
      </c>
      <c r="G627" s="60">
        <v>7000</v>
      </c>
      <c r="H627" s="60">
        <v>3</v>
      </c>
      <c r="I627" s="89">
        <f>E627-E626</f>
        <v>0</v>
      </c>
      <c r="J627" s="60">
        <f>(0.5*VEHICLE!$C$71*VEHICLE!$C$28*VEHICLE!$C$27*'Drive Cycle'!E627^2)</f>
        <v>159.97581505520998</v>
      </c>
      <c r="K627" s="60">
        <f>IF(A627=1,VEHICLE!$S$5,IF(A627=2,VEHICLE!$Q$5,IF(A627=3,VEHICLE!$R$5,IF(A627=4,VEHICLE!$P$5,1))))</f>
        <v>556.55073000000004</v>
      </c>
      <c r="L627" s="60">
        <f t="shared" si="201"/>
        <v>3.5</v>
      </c>
      <c r="M627" s="60">
        <f t="shared" si="192"/>
        <v>0</v>
      </c>
      <c r="N627" s="60">
        <f t="shared" si="185"/>
        <v>0</v>
      </c>
      <c r="O627" s="60">
        <f t="shared" si="186"/>
        <v>0</v>
      </c>
      <c r="P627" s="60">
        <f t="shared" si="187"/>
        <v>716.52654505521002</v>
      </c>
      <c r="Q627" s="60">
        <f>IF(H627=1,I627*VEHICLE!$C$69,IF(H627=2,VEHICLE!$C$70*I627,IF(H627=3,VEHICLE!$C$71*I627,0)))</f>
        <v>0</v>
      </c>
      <c r="R627" s="60">
        <f>(J627+K627+O627+Q627)</f>
        <v>716.52654505521002</v>
      </c>
      <c r="S627" s="60">
        <f t="shared" si="188"/>
        <v>716.52654505521002</v>
      </c>
      <c r="T627" s="60">
        <f>ABS((R627)/((2*PI()*G627)/60))</f>
        <v>0.97747492716080864</v>
      </c>
      <c r="U627" s="60">
        <f t="shared" si="189"/>
        <v>1</v>
      </c>
      <c r="V627" s="60">
        <f>INDEX(BSFC!$D$4:$AD$26,MATCH(U627,BSFC!$B$4:$B$26,0),MATCH(G627,BSFC!$D$2:$AD$2,0))</f>
        <v>920.25590927999997</v>
      </c>
      <c r="W627" s="60">
        <f t="shared" si="193"/>
        <v>0.18316327423417753</v>
      </c>
      <c r="X627" s="60">
        <f t="shared" si="190"/>
        <v>0.18316327423417753</v>
      </c>
      <c r="Y627" s="60">
        <f t="shared" si="191"/>
        <v>0.56597451738360849</v>
      </c>
      <c r="Z627" s="79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x14ac:dyDescent="0.3">
      <c r="A628" s="55">
        <v>3</v>
      </c>
      <c r="B628" s="60" t="s">
        <v>111</v>
      </c>
      <c r="C628" s="60">
        <f t="shared" si="200"/>
        <v>625</v>
      </c>
      <c r="D628" s="60">
        <f t="shared" si="184"/>
        <v>29.998170000000002</v>
      </c>
      <c r="E628" s="60">
        <v>13.41</v>
      </c>
      <c r="F628" s="89">
        <f>($C$4/E628)+F627</f>
        <v>79.59552274348539</v>
      </c>
      <c r="G628" s="60">
        <v>7000</v>
      </c>
      <c r="H628" s="60">
        <v>3</v>
      </c>
      <c r="I628" s="89">
        <f>E628-E627</f>
        <v>0</v>
      </c>
      <c r="J628" s="60">
        <f>(0.5*VEHICLE!$C$71*VEHICLE!$C$28*VEHICLE!$C$27*'Drive Cycle'!E628^2)</f>
        <v>159.97581505520998</v>
      </c>
      <c r="K628" s="60">
        <f>IF(A628=1,VEHICLE!$S$5,IF(A628=2,VEHICLE!$Q$5,IF(A628=3,VEHICLE!$R$5,IF(A628=4,VEHICLE!$P$5,1))))</f>
        <v>556.55073000000004</v>
      </c>
      <c r="L628" s="60">
        <f t="shared" si="201"/>
        <v>3.5</v>
      </c>
      <c r="M628" s="60">
        <f t="shared" si="192"/>
        <v>0</v>
      </c>
      <c r="N628" s="60">
        <f t="shared" si="185"/>
        <v>0</v>
      </c>
      <c r="O628" s="60">
        <f t="shared" si="186"/>
        <v>0</v>
      </c>
      <c r="P628" s="60">
        <f t="shared" si="187"/>
        <v>716.52654505521002</v>
      </c>
      <c r="Q628" s="60">
        <f>IF(H628=1,I628*VEHICLE!$C$69,IF(H628=2,VEHICLE!$C$70*I628,IF(H628=3,VEHICLE!$C$71*I628,0)))</f>
        <v>0</v>
      </c>
      <c r="R628" s="60">
        <f>(J628+K628+O628+Q628)</f>
        <v>716.52654505521002</v>
      </c>
      <c r="S628" s="60">
        <f t="shared" si="188"/>
        <v>716.52654505521002</v>
      </c>
      <c r="T628" s="60">
        <f>ABS((R628)/((2*PI()*G628)/60))</f>
        <v>0.97747492716080864</v>
      </c>
      <c r="U628" s="60">
        <f t="shared" si="189"/>
        <v>1</v>
      </c>
      <c r="V628" s="60">
        <f>INDEX(BSFC!$D$4:$AD$26,MATCH(U628,BSFC!$B$4:$B$26,0),MATCH(G628,BSFC!$D$2:$AD$2,0))</f>
        <v>920.25590927999997</v>
      </c>
      <c r="W628" s="60">
        <f t="shared" si="193"/>
        <v>0.18316327423417753</v>
      </c>
      <c r="X628" s="60">
        <f t="shared" si="190"/>
        <v>0.18316327423417753</v>
      </c>
      <c r="Y628" s="60">
        <f t="shared" si="191"/>
        <v>0.56597451738360849</v>
      </c>
      <c r="Z628" s="79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x14ac:dyDescent="0.3">
      <c r="A629" s="55">
        <v>3</v>
      </c>
      <c r="B629" s="60" t="s">
        <v>111</v>
      </c>
      <c r="C629" s="60">
        <f t="shared" si="200"/>
        <v>626</v>
      </c>
      <c r="D629" s="60">
        <f t="shared" si="184"/>
        <v>29.998170000000002</v>
      </c>
      <c r="E629" s="60">
        <v>13.41</v>
      </c>
      <c r="F629" s="89">
        <f>($C$4/E629)+F628</f>
        <v>79.670093958996205</v>
      </c>
      <c r="G629" s="60">
        <v>7000</v>
      </c>
      <c r="H629" s="60">
        <v>3</v>
      </c>
      <c r="I629" s="89">
        <f>E629-E628</f>
        <v>0</v>
      </c>
      <c r="J629" s="60">
        <f>(0.5*VEHICLE!$C$71*VEHICLE!$C$28*VEHICLE!$C$27*'Drive Cycle'!E629^2)</f>
        <v>159.97581505520998</v>
      </c>
      <c r="K629" s="60">
        <f>IF(A629=1,VEHICLE!$S$5,IF(A629=2,VEHICLE!$Q$5,IF(A629=3,VEHICLE!$R$5,IF(A629=4,VEHICLE!$P$5,1))))</f>
        <v>556.55073000000004</v>
      </c>
      <c r="L629" s="60">
        <f t="shared" si="201"/>
        <v>3.5</v>
      </c>
      <c r="M629" s="60">
        <f t="shared" si="192"/>
        <v>0</v>
      </c>
      <c r="N629" s="60">
        <f t="shared" si="185"/>
        <v>0</v>
      </c>
      <c r="O629" s="60">
        <f t="shared" si="186"/>
        <v>0</v>
      </c>
      <c r="P629" s="60">
        <f t="shared" si="187"/>
        <v>716.52654505521002</v>
      </c>
      <c r="Q629" s="60">
        <f>IF(H629=1,I629*VEHICLE!$C$69,IF(H629=2,VEHICLE!$C$70*I629,IF(H629=3,VEHICLE!$C$71*I629,0)))</f>
        <v>0</v>
      </c>
      <c r="R629" s="60">
        <f>(J629+K629+O629+Q629)</f>
        <v>716.52654505521002</v>
      </c>
      <c r="S629" s="60">
        <f t="shared" si="188"/>
        <v>716.52654505521002</v>
      </c>
      <c r="T629" s="60">
        <f>ABS((R629)/((2*PI()*G629)/60))</f>
        <v>0.97747492716080864</v>
      </c>
      <c r="U629" s="60">
        <f t="shared" si="189"/>
        <v>1</v>
      </c>
      <c r="V629" s="60">
        <f>INDEX(BSFC!$D$4:$AD$26,MATCH(U629,BSFC!$B$4:$B$26,0),MATCH(G629,BSFC!$D$2:$AD$2,0))</f>
        <v>920.25590927999997</v>
      </c>
      <c r="W629" s="60">
        <f t="shared" si="193"/>
        <v>0.18316327423417753</v>
      </c>
      <c r="X629" s="60">
        <f t="shared" si="190"/>
        <v>0.18316327423417753</v>
      </c>
      <c r="Y629" s="60">
        <f t="shared" si="191"/>
        <v>0.56597451738360849</v>
      </c>
      <c r="Z629" s="79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x14ac:dyDescent="0.3">
      <c r="A630" s="55">
        <v>3</v>
      </c>
      <c r="B630" s="60" t="s">
        <v>111</v>
      </c>
      <c r="C630" s="60">
        <f t="shared" si="200"/>
        <v>627</v>
      </c>
      <c r="D630" s="60">
        <f t="shared" si="184"/>
        <v>29.998170000000002</v>
      </c>
      <c r="E630" s="60">
        <v>13.41</v>
      </c>
      <c r="F630" s="89">
        <f>($C$4/E630)+F629</f>
        <v>79.74466517450702</v>
      </c>
      <c r="G630" s="60">
        <v>7000</v>
      </c>
      <c r="H630" s="60">
        <v>3</v>
      </c>
      <c r="I630" s="89">
        <f>E630-E629</f>
        <v>0</v>
      </c>
      <c r="J630" s="60">
        <f>(0.5*VEHICLE!$C$71*VEHICLE!$C$28*VEHICLE!$C$27*'Drive Cycle'!E630^2)</f>
        <v>159.97581505520998</v>
      </c>
      <c r="K630" s="60">
        <f>IF(A630=1,VEHICLE!$S$5,IF(A630=2,VEHICLE!$Q$5,IF(A630=3,VEHICLE!$R$5,IF(A630=4,VEHICLE!$P$5,1))))</f>
        <v>556.55073000000004</v>
      </c>
      <c r="L630" s="60">
        <f>L629-0.35</f>
        <v>3.15</v>
      </c>
      <c r="M630" s="60">
        <f t="shared" si="192"/>
        <v>-0.35000000000000009</v>
      </c>
      <c r="N630" s="60">
        <f t="shared" si="185"/>
        <v>-19.290046219188739</v>
      </c>
      <c r="O630" s="60">
        <f t="shared" si="186"/>
        <v>-142.59245732963976</v>
      </c>
      <c r="P630" s="60">
        <f t="shared" si="187"/>
        <v>573.93408772557029</v>
      </c>
      <c r="Q630" s="60">
        <f>IF(H630=1,I630*VEHICLE!$C$69,IF(H630=2,VEHICLE!$C$70*I630,IF(H630=3,VEHICLE!$C$71*I630,0)))</f>
        <v>0</v>
      </c>
      <c r="R630" s="60">
        <f>(J630+K630+O630+Q630)</f>
        <v>573.93408772557029</v>
      </c>
      <c r="S630" s="60">
        <f t="shared" si="188"/>
        <v>573.93408772557029</v>
      </c>
      <c r="T630" s="60">
        <f>ABS((R630)/((2*PI()*G630)/60))</f>
        <v>0.78295240346110295</v>
      </c>
      <c r="U630" s="60">
        <f t="shared" si="189"/>
        <v>1</v>
      </c>
      <c r="V630" s="60">
        <f>INDEX(BSFC!$D$4:$AD$26,MATCH(U630,BSFC!$B$4:$B$26,0),MATCH(G630,BSFC!$D$2:$AD$2,0))</f>
        <v>920.25590927999997</v>
      </c>
      <c r="W630" s="60">
        <f t="shared" si="193"/>
        <v>0.14671284326852277</v>
      </c>
      <c r="X630" s="60">
        <f t="shared" si="190"/>
        <v>0.14671284326852277</v>
      </c>
      <c r="Y630" s="60">
        <f t="shared" si="191"/>
        <v>0.45334268569973535</v>
      </c>
      <c r="Z630" s="79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x14ac:dyDescent="0.3">
      <c r="A631" s="55">
        <v>3</v>
      </c>
      <c r="B631" s="60" t="s">
        <v>111</v>
      </c>
      <c r="C631" s="60">
        <f t="shared" si="200"/>
        <v>628</v>
      </c>
      <c r="D631" s="60">
        <f t="shared" si="184"/>
        <v>29.998170000000002</v>
      </c>
      <c r="E631" s="60">
        <v>13.41</v>
      </c>
      <c r="F631" s="89">
        <f>($C$4/E631)+F630</f>
        <v>79.819236390017835</v>
      </c>
      <c r="G631" s="60">
        <v>7000</v>
      </c>
      <c r="H631" s="60">
        <v>3</v>
      </c>
      <c r="I631" s="89">
        <f>E631-E630</f>
        <v>0</v>
      </c>
      <c r="J631" s="60">
        <f>(0.5*VEHICLE!$C$71*VEHICLE!$C$28*VEHICLE!$C$27*'Drive Cycle'!E631^2)</f>
        <v>159.97581505520998</v>
      </c>
      <c r="K631" s="60">
        <f>IF(A631=1,VEHICLE!$S$5,IF(A631=2,VEHICLE!$Q$5,IF(A631=3,VEHICLE!$R$5,IF(A631=4,VEHICLE!$P$5,1))))</f>
        <v>556.55073000000004</v>
      </c>
      <c r="L631" s="60">
        <f t="shared" ref="L631:L638" si="202">L630-0.35</f>
        <v>2.8</v>
      </c>
      <c r="M631" s="60">
        <f t="shared" si="192"/>
        <v>-0.35000000000000009</v>
      </c>
      <c r="N631" s="60">
        <f t="shared" si="185"/>
        <v>-19.290046219188739</v>
      </c>
      <c r="O631" s="60">
        <f t="shared" si="186"/>
        <v>-142.59245732963976</v>
      </c>
      <c r="P631" s="60">
        <f t="shared" si="187"/>
        <v>573.93408772557029</v>
      </c>
      <c r="Q631" s="60">
        <f>IF(H631=1,I631*VEHICLE!$C$69,IF(H631=2,VEHICLE!$C$70*I631,IF(H631=3,VEHICLE!$C$71*I631,0)))</f>
        <v>0</v>
      </c>
      <c r="R631" s="60">
        <f>(J631+K631+O631+Q631)</f>
        <v>573.93408772557029</v>
      </c>
      <c r="S631" s="60">
        <f t="shared" si="188"/>
        <v>573.93408772557029</v>
      </c>
      <c r="T631" s="60">
        <f>ABS((R631)/((2*PI()*G631)/60))</f>
        <v>0.78295240346110295</v>
      </c>
      <c r="U631" s="60">
        <f t="shared" si="189"/>
        <v>1</v>
      </c>
      <c r="V631" s="60">
        <f>INDEX(BSFC!$D$4:$AD$26,MATCH(U631,BSFC!$B$4:$B$26,0),MATCH(G631,BSFC!$D$2:$AD$2,0))</f>
        <v>920.25590927999997</v>
      </c>
      <c r="W631" s="60">
        <f t="shared" si="193"/>
        <v>0.14671284326852277</v>
      </c>
      <c r="X631" s="60">
        <f t="shared" si="190"/>
        <v>0.14671284326852277</v>
      </c>
      <c r="Y631" s="60">
        <f t="shared" si="191"/>
        <v>0.45334268569973535</v>
      </c>
      <c r="Z631" s="79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x14ac:dyDescent="0.3">
      <c r="A632" s="55">
        <v>3</v>
      </c>
      <c r="B632" s="60" t="s">
        <v>111</v>
      </c>
      <c r="C632" s="60">
        <f t="shared" si="200"/>
        <v>629</v>
      </c>
      <c r="D632" s="60">
        <f t="shared" si="184"/>
        <v>29.998170000000002</v>
      </c>
      <c r="E632" s="60">
        <v>13.41</v>
      </c>
      <c r="F632" s="89">
        <f>($C$4/E632)+F631</f>
        <v>79.89380760552865</v>
      </c>
      <c r="G632" s="60">
        <v>7000</v>
      </c>
      <c r="H632" s="60">
        <v>3</v>
      </c>
      <c r="I632" s="89">
        <f>E632-E631</f>
        <v>0</v>
      </c>
      <c r="J632" s="60">
        <f>(0.5*VEHICLE!$C$71*VEHICLE!$C$28*VEHICLE!$C$27*'Drive Cycle'!E632^2)</f>
        <v>159.97581505520998</v>
      </c>
      <c r="K632" s="60">
        <f>IF(A632=1,VEHICLE!$S$5,IF(A632=2,VEHICLE!$Q$5,IF(A632=3,VEHICLE!$R$5,IF(A632=4,VEHICLE!$P$5,1))))</f>
        <v>556.55073000000004</v>
      </c>
      <c r="L632" s="60">
        <f t="shared" si="202"/>
        <v>2.4499999999999997</v>
      </c>
      <c r="M632" s="60">
        <f t="shared" si="192"/>
        <v>-0.35000000000000009</v>
      </c>
      <c r="N632" s="60">
        <f t="shared" si="185"/>
        <v>-19.290046219188739</v>
      </c>
      <c r="O632" s="60">
        <f t="shared" si="186"/>
        <v>-142.59245732963976</v>
      </c>
      <c r="P632" s="60">
        <f t="shared" si="187"/>
        <v>573.93408772557029</v>
      </c>
      <c r="Q632" s="60">
        <f>IF(H632=1,I632*VEHICLE!$C$69,IF(H632=2,VEHICLE!$C$70*I632,IF(H632=3,VEHICLE!$C$71*I632,0)))</f>
        <v>0</v>
      </c>
      <c r="R632" s="60">
        <f>(J632+K632+O632+Q632)</f>
        <v>573.93408772557029</v>
      </c>
      <c r="S632" s="60">
        <f t="shared" si="188"/>
        <v>573.93408772557029</v>
      </c>
      <c r="T632" s="60">
        <f>ABS((R632)/((2*PI()*G632)/60))</f>
        <v>0.78295240346110295</v>
      </c>
      <c r="U632" s="60">
        <f t="shared" si="189"/>
        <v>1</v>
      </c>
      <c r="V632" s="60">
        <f>INDEX(BSFC!$D$4:$AD$26,MATCH(U632,BSFC!$B$4:$B$26,0),MATCH(G632,BSFC!$D$2:$AD$2,0))</f>
        <v>920.25590927999997</v>
      </c>
      <c r="W632" s="60">
        <f t="shared" si="193"/>
        <v>0.14671284326852277</v>
      </c>
      <c r="X632" s="60">
        <f t="shared" si="190"/>
        <v>0.14671284326852277</v>
      </c>
      <c r="Y632" s="60">
        <f t="shared" si="191"/>
        <v>0.45334268569973535</v>
      </c>
      <c r="Z632" s="79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x14ac:dyDescent="0.3">
      <c r="A633" s="55">
        <v>3</v>
      </c>
      <c r="B633" s="60" t="s">
        <v>111</v>
      </c>
      <c r="C633" s="60">
        <f t="shared" si="200"/>
        <v>630</v>
      </c>
      <c r="D633" s="60">
        <f t="shared" si="184"/>
        <v>29.998170000000002</v>
      </c>
      <c r="E633" s="60">
        <v>13.41</v>
      </c>
      <c r="F633" s="89">
        <f>($C$4/E633)+F632</f>
        <v>79.968378821039465</v>
      </c>
      <c r="G633" s="60">
        <v>7000</v>
      </c>
      <c r="H633" s="60">
        <v>3</v>
      </c>
      <c r="I633" s="89">
        <f>E633-E632</f>
        <v>0</v>
      </c>
      <c r="J633" s="60">
        <f>(0.5*VEHICLE!$C$71*VEHICLE!$C$28*VEHICLE!$C$27*'Drive Cycle'!E633^2)</f>
        <v>159.97581505520998</v>
      </c>
      <c r="K633" s="60">
        <f>IF(A633=1,VEHICLE!$S$5,IF(A633=2,VEHICLE!$Q$5,IF(A633=3,VEHICLE!$R$5,IF(A633=4,VEHICLE!$P$5,1))))</f>
        <v>556.55073000000004</v>
      </c>
      <c r="L633" s="60">
        <f t="shared" si="202"/>
        <v>2.0999999999999996</v>
      </c>
      <c r="M633" s="60">
        <f t="shared" si="192"/>
        <v>-0.35000000000000009</v>
      </c>
      <c r="N633" s="60">
        <f t="shared" si="185"/>
        <v>-19.290046219188739</v>
      </c>
      <c r="O633" s="60">
        <f t="shared" si="186"/>
        <v>-142.59245732963976</v>
      </c>
      <c r="P633" s="60">
        <f t="shared" si="187"/>
        <v>573.93408772557029</v>
      </c>
      <c r="Q633" s="60">
        <f>IF(H633=1,I633*VEHICLE!$C$69,IF(H633=2,VEHICLE!$C$70*I633,IF(H633=3,VEHICLE!$C$71*I633,0)))</f>
        <v>0</v>
      </c>
      <c r="R633" s="60">
        <f>(J633+K633+O633+Q633)</f>
        <v>573.93408772557029</v>
      </c>
      <c r="S633" s="60">
        <f t="shared" si="188"/>
        <v>573.93408772557029</v>
      </c>
      <c r="T633" s="60">
        <f>ABS((R633)/((2*PI()*G633)/60))</f>
        <v>0.78295240346110295</v>
      </c>
      <c r="U633" s="60">
        <f t="shared" si="189"/>
        <v>1</v>
      </c>
      <c r="V633" s="60">
        <f>INDEX(BSFC!$D$4:$AD$26,MATCH(U633,BSFC!$B$4:$B$26,0),MATCH(G633,BSFC!$D$2:$AD$2,0))</f>
        <v>920.25590927999997</v>
      </c>
      <c r="W633" s="60">
        <f t="shared" si="193"/>
        <v>0.14671284326852277</v>
      </c>
      <c r="X633" s="60">
        <f t="shared" si="190"/>
        <v>0.14671284326852277</v>
      </c>
      <c r="Y633" s="60">
        <f t="shared" si="191"/>
        <v>0.45334268569973535</v>
      </c>
      <c r="Z633" s="79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x14ac:dyDescent="0.3">
      <c r="A634" s="55">
        <v>3</v>
      </c>
      <c r="B634" s="60" t="s">
        <v>111</v>
      </c>
      <c r="C634" s="60">
        <f t="shared" si="200"/>
        <v>631</v>
      </c>
      <c r="D634" s="60">
        <f t="shared" si="184"/>
        <v>29.998170000000002</v>
      </c>
      <c r="E634" s="60">
        <v>13.41</v>
      </c>
      <c r="F634" s="89">
        <f>($C$4/E634)+F633</f>
        <v>80.04295003655028</v>
      </c>
      <c r="G634" s="60">
        <v>7000</v>
      </c>
      <c r="H634" s="60">
        <v>3</v>
      </c>
      <c r="I634" s="89">
        <f>E634-E633</f>
        <v>0</v>
      </c>
      <c r="J634" s="60">
        <f>(0.5*VEHICLE!$C$71*VEHICLE!$C$28*VEHICLE!$C$27*'Drive Cycle'!E634^2)</f>
        <v>159.97581505520998</v>
      </c>
      <c r="K634" s="60">
        <f>IF(A634=1,VEHICLE!$S$5,IF(A634=2,VEHICLE!$Q$5,IF(A634=3,VEHICLE!$R$5,IF(A634=4,VEHICLE!$P$5,1))))</f>
        <v>556.55073000000004</v>
      </c>
      <c r="L634" s="60">
        <f t="shared" si="202"/>
        <v>1.7499999999999996</v>
      </c>
      <c r="M634" s="60">
        <f t="shared" si="192"/>
        <v>-0.35000000000000009</v>
      </c>
      <c r="N634" s="60">
        <f t="shared" si="185"/>
        <v>-19.290046219188739</v>
      </c>
      <c r="O634" s="60">
        <f t="shared" si="186"/>
        <v>-142.59245732963976</v>
      </c>
      <c r="P634" s="60">
        <f t="shared" si="187"/>
        <v>573.93408772557029</v>
      </c>
      <c r="Q634" s="60">
        <f>IF(H634=1,I634*VEHICLE!$C$69,IF(H634=2,VEHICLE!$C$70*I634,IF(H634=3,VEHICLE!$C$71*I634,0)))</f>
        <v>0</v>
      </c>
      <c r="R634" s="60">
        <f>(J634+K634+O634+Q634)</f>
        <v>573.93408772557029</v>
      </c>
      <c r="S634" s="60">
        <f t="shared" si="188"/>
        <v>573.93408772557029</v>
      </c>
      <c r="T634" s="60">
        <f>ABS((R634)/((2*PI()*G634)/60))</f>
        <v>0.78295240346110295</v>
      </c>
      <c r="U634" s="60">
        <f t="shared" si="189"/>
        <v>1</v>
      </c>
      <c r="V634" s="60">
        <f>INDEX(BSFC!$D$4:$AD$26,MATCH(U634,BSFC!$B$4:$B$26,0),MATCH(G634,BSFC!$D$2:$AD$2,0))</f>
        <v>920.25590927999997</v>
      </c>
      <c r="W634" s="60">
        <f t="shared" si="193"/>
        <v>0.14671284326852277</v>
      </c>
      <c r="X634" s="60">
        <f t="shared" si="190"/>
        <v>0.14671284326852277</v>
      </c>
      <c r="Y634" s="60">
        <f t="shared" si="191"/>
        <v>0.45334268569973535</v>
      </c>
      <c r="Z634" s="79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x14ac:dyDescent="0.3">
      <c r="A635" s="55">
        <v>3</v>
      </c>
      <c r="B635" s="60" t="s">
        <v>111</v>
      </c>
      <c r="C635" s="60">
        <f t="shared" si="200"/>
        <v>632</v>
      </c>
      <c r="D635" s="60">
        <f t="shared" si="184"/>
        <v>29.998170000000002</v>
      </c>
      <c r="E635" s="60">
        <v>13.41</v>
      </c>
      <c r="F635" s="89">
        <f>($C$4/E635)+F634</f>
        <v>80.117521252061096</v>
      </c>
      <c r="G635" s="60">
        <v>7000</v>
      </c>
      <c r="H635" s="60">
        <v>3</v>
      </c>
      <c r="I635" s="89">
        <f>E635-E634</f>
        <v>0</v>
      </c>
      <c r="J635" s="60">
        <f>(0.5*VEHICLE!$C$71*VEHICLE!$C$28*VEHICLE!$C$27*'Drive Cycle'!E635^2)</f>
        <v>159.97581505520998</v>
      </c>
      <c r="K635" s="60">
        <f>IF(A635=1,VEHICLE!$S$5,IF(A635=2,VEHICLE!$Q$5,IF(A635=3,VEHICLE!$R$5,IF(A635=4,VEHICLE!$P$5,1))))</f>
        <v>556.55073000000004</v>
      </c>
      <c r="L635" s="60">
        <f t="shared" si="202"/>
        <v>1.3999999999999995</v>
      </c>
      <c r="M635" s="60">
        <f t="shared" si="192"/>
        <v>-0.35000000000000009</v>
      </c>
      <c r="N635" s="60">
        <f t="shared" si="185"/>
        <v>-19.290046219188739</v>
      </c>
      <c r="O635" s="60">
        <f t="shared" si="186"/>
        <v>-142.59245732963976</v>
      </c>
      <c r="P635" s="60">
        <f t="shared" si="187"/>
        <v>573.93408772557029</v>
      </c>
      <c r="Q635" s="60">
        <f>IF(H635=1,I635*VEHICLE!$C$69,IF(H635=2,VEHICLE!$C$70*I635,IF(H635=3,VEHICLE!$C$71*I635,0)))</f>
        <v>0</v>
      </c>
      <c r="R635" s="60">
        <f>(J635+K635+O635+Q635)</f>
        <v>573.93408772557029</v>
      </c>
      <c r="S635" s="60">
        <f t="shared" si="188"/>
        <v>573.93408772557029</v>
      </c>
      <c r="T635" s="60">
        <f>ABS((R635)/((2*PI()*G635)/60))</f>
        <v>0.78295240346110295</v>
      </c>
      <c r="U635" s="60">
        <f t="shared" si="189"/>
        <v>1</v>
      </c>
      <c r="V635" s="60">
        <f>INDEX(BSFC!$D$4:$AD$26,MATCH(U635,BSFC!$B$4:$B$26,0),MATCH(G635,BSFC!$D$2:$AD$2,0))</f>
        <v>920.25590927999997</v>
      </c>
      <c r="W635" s="60">
        <f t="shared" si="193"/>
        <v>0.14671284326852277</v>
      </c>
      <c r="X635" s="60">
        <f t="shared" si="190"/>
        <v>0.14671284326852277</v>
      </c>
      <c r="Y635" s="60">
        <f t="shared" si="191"/>
        <v>0.45334268569973535</v>
      </c>
      <c r="Z635" s="79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x14ac:dyDescent="0.3">
      <c r="A636" s="55">
        <v>3</v>
      </c>
      <c r="B636" s="60" t="s">
        <v>111</v>
      </c>
      <c r="C636" s="60">
        <f t="shared" si="200"/>
        <v>633</v>
      </c>
      <c r="D636" s="60">
        <f t="shared" si="184"/>
        <v>29.998170000000002</v>
      </c>
      <c r="E636" s="60">
        <v>13.41</v>
      </c>
      <c r="F636" s="89">
        <f>($C$4/E636)+F635</f>
        <v>80.192092467571911</v>
      </c>
      <c r="G636" s="60">
        <v>7000</v>
      </c>
      <c r="H636" s="60">
        <v>3</v>
      </c>
      <c r="I636" s="89">
        <f>E636-E635</f>
        <v>0</v>
      </c>
      <c r="J636" s="60">
        <f>(0.5*VEHICLE!$C$71*VEHICLE!$C$28*VEHICLE!$C$27*'Drive Cycle'!E636^2)</f>
        <v>159.97581505520998</v>
      </c>
      <c r="K636" s="60">
        <f>IF(A636=1,VEHICLE!$S$5,IF(A636=2,VEHICLE!$Q$5,IF(A636=3,VEHICLE!$R$5,IF(A636=4,VEHICLE!$P$5,1))))</f>
        <v>556.55073000000004</v>
      </c>
      <c r="L636" s="60">
        <f t="shared" si="202"/>
        <v>1.0499999999999994</v>
      </c>
      <c r="M636" s="60">
        <f t="shared" si="192"/>
        <v>-0.35000000000000009</v>
      </c>
      <c r="N636" s="60">
        <f t="shared" si="185"/>
        <v>-19.290046219188739</v>
      </c>
      <c r="O636" s="60">
        <f t="shared" si="186"/>
        <v>-142.59245732963976</v>
      </c>
      <c r="P636" s="60">
        <f t="shared" si="187"/>
        <v>573.93408772557029</v>
      </c>
      <c r="Q636" s="60">
        <f>IF(H636=1,I636*VEHICLE!$C$69,IF(H636=2,VEHICLE!$C$70*I636,IF(H636=3,VEHICLE!$C$71*I636,0)))</f>
        <v>0</v>
      </c>
      <c r="R636" s="60">
        <f>(J636+K636+O636+Q636)</f>
        <v>573.93408772557029</v>
      </c>
      <c r="S636" s="60">
        <f t="shared" si="188"/>
        <v>573.93408772557029</v>
      </c>
      <c r="T636" s="60">
        <f>ABS((R636)/((2*PI()*G636)/60))</f>
        <v>0.78295240346110295</v>
      </c>
      <c r="U636" s="60">
        <f t="shared" si="189"/>
        <v>1</v>
      </c>
      <c r="V636" s="60">
        <f>INDEX(BSFC!$D$4:$AD$26,MATCH(U636,BSFC!$B$4:$B$26,0),MATCH(G636,BSFC!$D$2:$AD$2,0))</f>
        <v>920.25590927999997</v>
      </c>
      <c r="W636" s="60">
        <f t="shared" si="193"/>
        <v>0.14671284326852277</v>
      </c>
      <c r="X636" s="60">
        <f t="shared" si="190"/>
        <v>0.14671284326852277</v>
      </c>
      <c r="Y636" s="60">
        <f t="shared" si="191"/>
        <v>0.45334268569973535</v>
      </c>
      <c r="Z636" s="79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x14ac:dyDescent="0.3">
      <c r="A637" s="55">
        <v>3</v>
      </c>
      <c r="B637" s="60" t="s">
        <v>111</v>
      </c>
      <c r="C637" s="60">
        <f t="shared" si="200"/>
        <v>634</v>
      </c>
      <c r="D637" s="60">
        <f t="shared" si="184"/>
        <v>29.998170000000002</v>
      </c>
      <c r="E637" s="60">
        <v>13.41</v>
      </c>
      <c r="F637" s="89">
        <f>($C$4/E637)+F636</f>
        <v>80.266663683082726</v>
      </c>
      <c r="G637" s="60">
        <v>7000</v>
      </c>
      <c r="H637" s="60">
        <v>3</v>
      </c>
      <c r="I637" s="89">
        <f>E637-E636</f>
        <v>0</v>
      </c>
      <c r="J637" s="60">
        <f>(0.5*VEHICLE!$C$71*VEHICLE!$C$28*VEHICLE!$C$27*'Drive Cycle'!E637^2)</f>
        <v>159.97581505520998</v>
      </c>
      <c r="K637" s="60">
        <f>IF(A637=1,VEHICLE!$S$5,IF(A637=2,VEHICLE!$Q$5,IF(A637=3,VEHICLE!$R$5,IF(A637=4,VEHICLE!$P$5,1))))</f>
        <v>556.55073000000004</v>
      </c>
      <c r="L637" s="60">
        <f t="shared" si="202"/>
        <v>0.6999999999999994</v>
      </c>
      <c r="M637" s="60">
        <f t="shared" si="192"/>
        <v>-0.35</v>
      </c>
      <c r="N637" s="60">
        <f t="shared" si="185"/>
        <v>-19.290046219188735</v>
      </c>
      <c r="O637" s="60">
        <f t="shared" si="186"/>
        <v>-142.59245732963973</v>
      </c>
      <c r="P637" s="60">
        <f t="shared" si="187"/>
        <v>573.93408772557029</v>
      </c>
      <c r="Q637" s="60">
        <f>IF(H637=1,I637*VEHICLE!$C$69,IF(H637=2,VEHICLE!$C$70*I637,IF(H637=3,VEHICLE!$C$71*I637,0)))</f>
        <v>0</v>
      </c>
      <c r="R637" s="60">
        <f>(J637+K637+O637+Q637)</f>
        <v>573.93408772557029</v>
      </c>
      <c r="S637" s="60">
        <f t="shared" si="188"/>
        <v>573.93408772557029</v>
      </c>
      <c r="T637" s="60">
        <f>ABS((R637)/((2*PI()*G637)/60))</f>
        <v>0.78295240346110295</v>
      </c>
      <c r="U637" s="60">
        <f t="shared" si="189"/>
        <v>1</v>
      </c>
      <c r="V637" s="60">
        <f>INDEX(BSFC!$D$4:$AD$26,MATCH(U637,BSFC!$B$4:$B$26,0),MATCH(G637,BSFC!$D$2:$AD$2,0))</f>
        <v>920.25590927999997</v>
      </c>
      <c r="W637" s="60">
        <f t="shared" si="193"/>
        <v>0.14671284326852277</v>
      </c>
      <c r="X637" s="60">
        <f t="shared" si="190"/>
        <v>0.14671284326852277</v>
      </c>
      <c r="Y637" s="60">
        <f t="shared" si="191"/>
        <v>0.45334268569973535</v>
      </c>
      <c r="Z637" s="79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x14ac:dyDescent="0.3">
      <c r="A638" s="55">
        <v>3</v>
      </c>
      <c r="B638" s="60" t="s">
        <v>111</v>
      </c>
      <c r="C638" s="60">
        <f t="shared" si="200"/>
        <v>635</v>
      </c>
      <c r="D638" s="60">
        <f t="shared" si="184"/>
        <v>29.998170000000002</v>
      </c>
      <c r="E638" s="60">
        <v>13.41</v>
      </c>
      <c r="F638" s="89">
        <f>($C$4/E638)+F637</f>
        <v>80.341234898593541</v>
      </c>
      <c r="G638" s="60">
        <v>7000</v>
      </c>
      <c r="H638" s="60">
        <v>3</v>
      </c>
      <c r="I638" s="89">
        <f>E638-E637</f>
        <v>0</v>
      </c>
      <c r="J638" s="60">
        <f>(0.5*VEHICLE!$C$71*VEHICLE!$C$28*VEHICLE!$C$27*'Drive Cycle'!E638^2)</f>
        <v>159.97581505520998</v>
      </c>
      <c r="K638" s="60">
        <f>IF(A638=1,VEHICLE!$S$5,IF(A638=2,VEHICLE!$Q$5,IF(A638=3,VEHICLE!$R$5,IF(A638=4,VEHICLE!$P$5,1))))</f>
        <v>556.55073000000004</v>
      </c>
      <c r="L638" s="60">
        <f t="shared" si="202"/>
        <v>0.34999999999999942</v>
      </c>
      <c r="M638" s="60">
        <f t="shared" si="192"/>
        <v>-0.35</v>
      </c>
      <c r="N638" s="60">
        <f t="shared" si="185"/>
        <v>-19.290046219188735</v>
      </c>
      <c r="O638" s="60">
        <f t="shared" si="186"/>
        <v>-142.59245732963973</v>
      </c>
      <c r="P638" s="60">
        <f t="shared" si="187"/>
        <v>573.93408772557029</v>
      </c>
      <c r="Q638" s="60">
        <f>IF(H638=1,I638*VEHICLE!$C$69,IF(H638=2,VEHICLE!$C$70*I638,IF(H638=3,VEHICLE!$C$71*I638,0)))</f>
        <v>0</v>
      </c>
      <c r="R638" s="60">
        <f>(J638+K638+O638+Q638)</f>
        <v>573.93408772557029</v>
      </c>
      <c r="S638" s="60">
        <f t="shared" si="188"/>
        <v>573.93408772557029</v>
      </c>
      <c r="T638" s="60">
        <f>ABS((R638)/((2*PI()*G638)/60))</f>
        <v>0.78295240346110295</v>
      </c>
      <c r="U638" s="60">
        <f t="shared" si="189"/>
        <v>1</v>
      </c>
      <c r="V638" s="60">
        <f>INDEX(BSFC!$D$4:$AD$26,MATCH(U638,BSFC!$B$4:$B$26,0),MATCH(G638,BSFC!$D$2:$AD$2,0))</f>
        <v>920.25590927999997</v>
      </c>
      <c r="W638" s="60">
        <f t="shared" si="193"/>
        <v>0.14671284326852277</v>
      </c>
      <c r="X638" s="60">
        <f t="shared" si="190"/>
        <v>0.14671284326852277</v>
      </c>
      <c r="Y638" s="60">
        <f t="shared" si="191"/>
        <v>0.45334268569973535</v>
      </c>
      <c r="Z638" s="79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x14ac:dyDescent="0.3">
      <c r="A639" s="55">
        <v>3</v>
      </c>
      <c r="B639" s="60" t="s">
        <v>111</v>
      </c>
      <c r="C639" s="60">
        <f t="shared" si="200"/>
        <v>636</v>
      </c>
      <c r="D639" s="60">
        <f t="shared" si="184"/>
        <v>29.998170000000002</v>
      </c>
      <c r="E639" s="60">
        <v>13.41</v>
      </c>
      <c r="F639" s="89">
        <f>($C$4/E639)+F638</f>
        <v>80.415806114104356</v>
      </c>
      <c r="G639" s="60">
        <v>7000</v>
      </c>
      <c r="H639" s="60">
        <v>3</v>
      </c>
      <c r="I639" s="89">
        <f>E639-E638</f>
        <v>0</v>
      </c>
      <c r="J639" s="60">
        <f>(0.5*VEHICLE!$C$71*VEHICLE!$C$28*VEHICLE!$C$27*'Drive Cycle'!E639^2)</f>
        <v>159.97581505520998</v>
      </c>
      <c r="K639" s="60">
        <f>IF(A639=1,VEHICLE!$S$5,IF(A639=2,VEHICLE!$Q$5,IF(A639=3,VEHICLE!$R$5,IF(A639=4,VEHICLE!$P$5,1))))</f>
        <v>556.55073000000004</v>
      </c>
      <c r="L639" s="60">
        <v>0</v>
      </c>
      <c r="M639" s="60">
        <f t="shared" si="192"/>
        <v>-0.34999999999999942</v>
      </c>
      <c r="N639" s="60">
        <f t="shared" si="185"/>
        <v>-19.290046219188707</v>
      </c>
      <c r="O639" s="60">
        <f t="shared" si="186"/>
        <v>-142.59245732963953</v>
      </c>
      <c r="P639" s="60">
        <f t="shared" si="187"/>
        <v>573.93408772557052</v>
      </c>
      <c r="Q639" s="60">
        <f>IF(H639=1,I639*VEHICLE!$C$69,IF(H639=2,VEHICLE!$C$70*I639,IF(H639=3,VEHICLE!$C$71*I639,0)))</f>
        <v>0</v>
      </c>
      <c r="R639" s="60">
        <f>(J639+K639+O639+Q639)</f>
        <v>573.93408772557052</v>
      </c>
      <c r="S639" s="60">
        <f t="shared" si="188"/>
        <v>573.93408772557052</v>
      </c>
      <c r="T639" s="60">
        <f>ABS((R639)/((2*PI()*G639)/60))</f>
        <v>0.78295240346110329</v>
      </c>
      <c r="U639" s="60">
        <f t="shared" si="189"/>
        <v>1</v>
      </c>
      <c r="V639" s="60">
        <f>INDEX(BSFC!$D$4:$AD$26,MATCH(U639,BSFC!$B$4:$B$26,0),MATCH(G639,BSFC!$D$2:$AD$2,0))</f>
        <v>920.25590927999997</v>
      </c>
      <c r="W639" s="60">
        <f t="shared" si="193"/>
        <v>0.14671284326852282</v>
      </c>
      <c r="X639" s="60">
        <f t="shared" si="190"/>
        <v>0.14671284326852282</v>
      </c>
      <c r="Y639" s="60">
        <f t="shared" si="191"/>
        <v>0.45334268569973551</v>
      </c>
      <c r="Z639" s="79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x14ac:dyDescent="0.3">
      <c r="A640" s="55">
        <v>3</v>
      </c>
      <c r="B640" s="60" t="s">
        <v>111</v>
      </c>
      <c r="C640" s="60">
        <f t="shared" si="200"/>
        <v>637</v>
      </c>
      <c r="D640" s="60">
        <f t="shared" si="184"/>
        <v>29.998170000000002</v>
      </c>
      <c r="E640" s="60">
        <v>13.41</v>
      </c>
      <c r="F640" s="89">
        <f>($C$4/E640)+F639</f>
        <v>80.490377329615171</v>
      </c>
      <c r="G640" s="60">
        <v>7000</v>
      </c>
      <c r="H640" s="60">
        <v>3</v>
      </c>
      <c r="I640" s="89">
        <f>E640-E639</f>
        <v>0</v>
      </c>
      <c r="J640" s="60">
        <f>(0.5*VEHICLE!$C$71*VEHICLE!$C$28*VEHICLE!$C$27*'Drive Cycle'!E640^2)</f>
        <v>159.97581505520998</v>
      </c>
      <c r="K640" s="60">
        <f>IF(A640=1,VEHICLE!$S$5,IF(A640=2,VEHICLE!$Q$5,IF(A640=3,VEHICLE!$R$5,IF(A640=4,VEHICLE!$P$5,1))))</f>
        <v>556.55073000000004</v>
      </c>
      <c r="L640" s="60">
        <v>0</v>
      </c>
      <c r="M640" s="60">
        <f t="shared" si="192"/>
        <v>0</v>
      </c>
      <c r="N640" s="60">
        <f t="shared" si="185"/>
        <v>0</v>
      </c>
      <c r="O640" s="60">
        <f t="shared" si="186"/>
        <v>0</v>
      </c>
      <c r="P640" s="60">
        <f t="shared" si="187"/>
        <v>716.52654505521002</v>
      </c>
      <c r="Q640" s="60">
        <f>IF(H640=1,I640*VEHICLE!$C$69,IF(H640=2,VEHICLE!$C$70*I640,IF(H640=3,VEHICLE!$C$71*I640,0)))</f>
        <v>0</v>
      </c>
      <c r="R640" s="60">
        <f>(J640+K640+O640+Q640)</f>
        <v>716.52654505521002</v>
      </c>
      <c r="S640" s="60">
        <f t="shared" si="188"/>
        <v>716.52654505521002</v>
      </c>
      <c r="T640" s="60">
        <f>ABS((R640)/((2*PI()*G640)/60))</f>
        <v>0.97747492716080864</v>
      </c>
      <c r="U640" s="60">
        <f t="shared" si="189"/>
        <v>1</v>
      </c>
      <c r="V640" s="60">
        <f>INDEX(BSFC!$D$4:$AD$26,MATCH(U640,BSFC!$B$4:$B$26,0),MATCH(G640,BSFC!$D$2:$AD$2,0))</f>
        <v>920.25590927999997</v>
      </c>
      <c r="W640" s="60">
        <f t="shared" si="193"/>
        <v>0.18316327423417753</v>
      </c>
      <c r="X640" s="60">
        <f t="shared" si="190"/>
        <v>0.18316327423417753</v>
      </c>
      <c r="Y640" s="60">
        <f t="shared" si="191"/>
        <v>0.56597451738360849</v>
      </c>
      <c r="Z640" s="79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x14ac:dyDescent="0.3">
      <c r="A641" s="55">
        <v>3</v>
      </c>
      <c r="B641" s="60" t="s">
        <v>111</v>
      </c>
      <c r="C641" s="60">
        <f t="shared" si="200"/>
        <v>638</v>
      </c>
      <c r="D641" s="60">
        <f t="shared" si="184"/>
        <v>29.998170000000002</v>
      </c>
      <c r="E641" s="60">
        <v>13.41</v>
      </c>
      <c r="F641" s="89">
        <f>($C$4/E641)+F640</f>
        <v>80.564948545125986</v>
      </c>
      <c r="G641" s="60">
        <v>7000</v>
      </c>
      <c r="H641" s="60">
        <v>3</v>
      </c>
      <c r="I641" s="89">
        <f>E641-E640</f>
        <v>0</v>
      </c>
      <c r="J641" s="60">
        <f>(0.5*VEHICLE!$C$71*VEHICLE!$C$28*VEHICLE!$C$27*'Drive Cycle'!E641^2)</f>
        <v>159.97581505520998</v>
      </c>
      <c r="K641" s="60">
        <f>IF(A641=1,VEHICLE!$S$5,IF(A641=2,VEHICLE!$Q$5,IF(A641=3,VEHICLE!$R$5,IF(A641=4,VEHICLE!$P$5,1))))</f>
        <v>556.55073000000004</v>
      </c>
      <c r="L641" s="60">
        <v>0</v>
      </c>
      <c r="M641" s="60">
        <f t="shared" si="192"/>
        <v>0</v>
      </c>
      <c r="N641" s="60">
        <f t="shared" si="185"/>
        <v>0</v>
      </c>
      <c r="O641" s="60">
        <f t="shared" si="186"/>
        <v>0</v>
      </c>
      <c r="P641" s="60">
        <f t="shared" si="187"/>
        <v>716.52654505521002</v>
      </c>
      <c r="Q641" s="60">
        <f>IF(H641=1,I641*VEHICLE!$C$69,IF(H641=2,VEHICLE!$C$70*I641,IF(H641=3,VEHICLE!$C$71*I641,0)))</f>
        <v>0</v>
      </c>
      <c r="R641" s="60">
        <f>(J641+K641+O641+Q641)</f>
        <v>716.52654505521002</v>
      </c>
      <c r="S641" s="60">
        <f t="shared" si="188"/>
        <v>716.52654505521002</v>
      </c>
      <c r="T641" s="60">
        <f>ABS((R641)/((2*PI()*G641)/60))</f>
        <v>0.97747492716080864</v>
      </c>
      <c r="U641" s="60">
        <f t="shared" si="189"/>
        <v>1</v>
      </c>
      <c r="V641" s="60">
        <f>INDEX(BSFC!$D$4:$AD$26,MATCH(U641,BSFC!$B$4:$B$26,0),MATCH(G641,BSFC!$D$2:$AD$2,0))</f>
        <v>920.25590927999997</v>
      </c>
      <c r="W641" s="60">
        <f t="shared" si="193"/>
        <v>0.18316327423417753</v>
      </c>
      <c r="X641" s="60">
        <f t="shared" si="190"/>
        <v>0.18316327423417753</v>
      </c>
      <c r="Y641" s="60">
        <f t="shared" si="191"/>
        <v>0.56597451738360849</v>
      </c>
      <c r="Z641" s="79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x14ac:dyDescent="0.3">
      <c r="A642" s="55">
        <v>3</v>
      </c>
      <c r="B642" s="60" t="s">
        <v>111</v>
      </c>
      <c r="C642" s="60">
        <f t="shared" si="200"/>
        <v>639</v>
      </c>
      <c r="D642" s="60">
        <f t="shared" si="184"/>
        <v>29.998170000000002</v>
      </c>
      <c r="E642" s="60">
        <v>13.41</v>
      </c>
      <c r="F642" s="89">
        <f>($C$4/E642)+F641</f>
        <v>80.639519760636801</v>
      </c>
      <c r="G642" s="60">
        <v>7000</v>
      </c>
      <c r="H642" s="60">
        <v>3</v>
      </c>
      <c r="I642" s="89">
        <f>E642-E641</f>
        <v>0</v>
      </c>
      <c r="J642" s="60">
        <f>(0.5*VEHICLE!$C$71*VEHICLE!$C$28*VEHICLE!$C$27*'Drive Cycle'!E642^2)</f>
        <v>159.97581505520998</v>
      </c>
      <c r="K642" s="60">
        <f>IF(A642=1,VEHICLE!$S$5,IF(A642=2,VEHICLE!$Q$5,IF(A642=3,VEHICLE!$R$5,IF(A642=4,VEHICLE!$P$5,1))))</f>
        <v>556.55073000000004</v>
      </c>
      <c r="L642" s="60">
        <v>0</v>
      </c>
      <c r="M642" s="60">
        <f t="shared" si="192"/>
        <v>0</v>
      </c>
      <c r="N642" s="60">
        <f t="shared" si="185"/>
        <v>0</v>
      </c>
      <c r="O642" s="60">
        <f t="shared" si="186"/>
        <v>0</v>
      </c>
      <c r="P642" s="60">
        <f t="shared" si="187"/>
        <v>716.52654505521002</v>
      </c>
      <c r="Q642" s="60">
        <f>IF(H642=1,I642*VEHICLE!$C$69,IF(H642=2,VEHICLE!$C$70*I642,IF(H642=3,VEHICLE!$C$71*I642,0)))</f>
        <v>0</v>
      </c>
      <c r="R642" s="60">
        <f>(J642+K642+O642+Q642)</f>
        <v>716.52654505521002</v>
      </c>
      <c r="S642" s="60">
        <f t="shared" si="188"/>
        <v>716.52654505521002</v>
      </c>
      <c r="T642" s="60">
        <f>ABS((R642)/((2*PI()*G642)/60))</f>
        <v>0.97747492716080864</v>
      </c>
      <c r="U642" s="60">
        <f t="shared" si="189"/>
        <v>1</v>
      </c>
      <c r="V642" s="60">
        <f>INDEX(BSFC!$D$4:$AD$26,MATCH(U642,BSFC!$B$4:$B$26,0),MATCH(G642,BSFC!$D$2:$AD$2,0))</f>
        <v>920.25590927999997</v>
      </c>
      <c r="W642" s="60">
        <f t="shared" si="193"/>
        <v>0.18316327423417753</v>
      </c>
      <c r="X642" s="60">
        <f t="shared" si="190"/>
        <v>0.18316327423417753</v>
      </c>
      <c r="Y642" s="60">
        <f t="shared" si="191"/>
        <v>0.56597451738360849</v>
      </c>
      <c r="Z642" s="79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x14ac:dyDescent="0.3">
      <c r="A643" s="55">
        <v>3</v>
      </c>
      <c r="B643" s="60" t="s">
        <v>111</v>
      </c>
      <c r="C643" s="60">
        <f t="shared" si="200"/>
        <v>640</v>
      </c>
      <c r="D643" s="60">
        <f t="shared" si="184"/>
        <v>29.998170000000002</v>
      </c>
      <c r="E643" s="60">
        <v>13.41</v>
      </c>
      <c r="F643" s="89">
        <f>($C$4/E643)+F642</f>
        <v>80.714090976147617</v>
      </c>
      <c r="G643" s="60">
        <v>7000</v>
      </c>
      <c r="H643" s="60">
        <v>3</v>
      </c>
      <c r="I643" s="89">
        <f>E643-E642</f>
        <v>0</v>
      </c>
      <c r="J643" s="60">
        <f>(0.5*VEHICLE!$C$71*VEHICLE!$C$28*VEHICLE!$C$27*'Drive Cycle'!E643^2)</f>
        <v>159.97581505520998</v>
      </c>
      <c r="K643" s="60">
        <f>IF(A643=1,VEHICLE!$S$5,IF(A643=2,VEHICLE!$Q$5,IF(A643=3,VEHICLE!$R$5,IF(A643=4,VEHICLE!$P$5,1))))</f>
        <v>556.55073000000004</v>
      </c>
      <c r="L643" s="60">
        <v>0</v>
      </c>
      <c r="M643" s="60">
        <f t="shared" si="192"/>
        <v>0</v>
      </c>
      <c r="N643" s="60">
        <f t="shared" si="185"/>
        <v>0</v>
      </c>
      <c r="O643" s="60">
        <f t="shared" si="186"/>
        <v>0</v>
      </c>
      <c r="P643" s="60">
        <f t="shared" si="187"/>
        <v>716.52654505521002</v>
      </c>
      <c r="Q643" s="60">
        <f>IF(H643=1,I643*VEHICLE!$C$69,IF(H643=2,VEHICLE!$C$70*I643,IF(H643=3,VEHICLE!$C$71*I643,0)))</f>
        <v>0</v>
      </c>
      <c r="R643" s="60">
        <f>(J643+K643+O643+Q643)</f>
        <v>716.52654505521002</v>
      </c>
      <c r="S643" s="60">
        <f t="shared" si="188"/>
        <v>716.52654505521002</v>
      </c>
      <c r="T643" s="60">
        <f>ABS((R643)/((2*PI()*G643)/60))</f>
        <v>0.97747492716080864</v>
      </c>
      <c r="U643" s="60">
        <f t="shared" si="189"/>
        <v>1</v>
      </c>
      <c r="V643" s="60">
        <f>INDEX(BSFC!$D$4:$AD$26,MATCH(U643,BSFC!$B$4:$B$26,0),MATCH(G643,BSFC!$D$2:$AD$2,0))</f>
        <v>920.25590927999997</v>
      </c>
      <c r="W643" s="60">
        <f t="shared" si="193"/>
        <v>0.18316327423417753</v>
      </c>
      <c r="X643" s="60">
        <f t="shared" si="190"/>
        <v>0.18316327423417753</v>
      </c>
      <c r="Y643" s="60">
        <f t="shared" si="191"/>
        <v>0.56597451738360849</v>
      </c>
      <c r="Z643" s="79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x14ac:dyDescent="0.3">
      <c r="A644" s="55">
        <v>3</v>
      </c>
      <c r="B644" s="60" t="s">
        <v>111</v>
      </c>
      <c r="C644" s="60">
        <f t="shared" si="200"/>
        <v>641</v>
      </c>
      <c r="D644" s="60">
        <f t="shared" ref="D644:D707" si="203">E644*2.237</f>
        <v>29.998170000000002</v>
      </c>
      <c r="E644" s="60">
        <v>13.41</v>
      </c>
      <c r="F644" s="89">
        <f>($C$4/E644)+F643</f>
        <v>80.788662191658432</v>
      </c>
      <c r="G644" s="60">
        <v>7000</v>
      </c>
      <c r="H644" s="60">
        <v>3</v>
      </c>
      <c r="I644" s="89">
        <f>E644-E643</f>
        <v>0</v>
      </c>
      <c r="J644" s="60">
        <f>(0.5*VEHICLE!$C$71*VEHICLE!$C$28*VEHICLE!$C$27*'Drive Cycle'!E644^2)</f>
        <v>159.97581505520998</v>
      </c>
      <c r="K644" s="60">
        <f>IF(A644=1,VEHICLE!$S$5,IF(A644=2,VEHICLE!$Q$5,IF(A644=3,VEHICLE!$R$5,IF(A644=4,VEHICLE!$P$5,1))))</f>
        <v>556.55073000000004</v>
      </c>
      <c r="L644" s="60">
        <v>0</v>
      </c>
      <c r="M644" s="60">
        <f t="shared" si="192"/>
        <v>0</v>
      </c>
      <c r="N644" s="60">
        <f t="shared" ref="N644:N707" si="204">DEGREES(ATAN(M644/$C$4))</f>
        <v>0</v>
      </c>
      <c r="O644" s="60">
        <f t="shared" ref="O644:O707" si="205">9.81*SIN(RADIANS(N644))*($C$47)</f>
        <v>0</v>
      </c>
      <c r="P644" s="60">
        <f t="shared" ref="P644:P707" si="206">J644+K644+O644</f>
        <v>716.52654505521002</v>
      </c>
      <c r="Q644" s="60">
        <f>IF(H644=1,I644*VEHICLE!$C$69,IF(H644=2,VEHICLE!$C$70*I644,IF(H644=3,VEHICLE!$C$71*I644,0)))</f>
        <v>0</v>
      </c>
      <c r="R644" s="60">
        <f>(J644+K644+O644+Q644)</f>
        <v>716.52654505521002</v>
      </c>
      <c r="S644" s="60">
        <f t="shared" ref="S644:S707" si="207">ABS(R644)</f>
        <v>716.52654505521002</v>
      </c>
      <c r="T644" s="60">
        <f>ABS((R644)/((2*PI()*G644)/60))</f>
        <v>0.97747492716080864</v>
      </c>
      <c r="U644" s="60">
        <f t="shared" ref="U644:U707" si="208">ROUNDUP(T644,0)</f>
        <v>1</v>
      </c>
      <c r="V644" s="60">
        <f>INDEX(BSFC!$D$4:$AD$26,MATCH(U644,BSFC!$B$4:$B$26,0),MATCH(G644,BSFC!$D$2:$AD$2,0))</f>
        <v>920.25590927999997</v>
      </c>
      <c r="W644" s="60">
        <f t="shared" si="193"/>
        <v>0.18316327423417753</v>
      </c>
      <c r="X644" s="60">
        <f t="shared" ref="X644:X707" si="209">ABS(W644)</f>
        <v>0.18316327423417753</v>
      </c>
      <c r="Y644" s="60">
        <f t="shared" ref="Y644:Y707" si="210">W644*3.09</f>
        <v>0.56597451738360849</v>
      </c>
      <c r="Z644" s="79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x14ac:dyDescent="0.3">
      <c r="A645" s="55">
        <v>3</v>
      </c>
      <c r="B645" s="60" t="s">
        <v>111</v>
      </c>
      <c r="C645" s="60">
        <f t="shared" si="200"/>
        <v>642</v>
      </c>
      <c r="D645" s="60">
        <f t="shared" si="203"/>
        <v>29.998170000000002</v>
      </c>
      <c r="E645" s="60">
        <v>13.41</v>
      </c>
      <c r="F645" s="89">
        <f>($C$4/E645)+F644</f>
        <v>80.863233407169247</v>
      </c>
      <c r="G645" s="60">
        <v>7000</v>
      </c>
      <c r="H645" s="60">
        <v>3</v>
      </c>
      <c r="I645" s="89">
        <f>E645-E644</f>
        <v>0</v>
      </c>
      <c r="J645" s="60">
        <f>(0.5*VEHICLE!$C$71*VEHICLE!$C$28*VEHICLE!$C$27*'Drive Cycle'!E645^2)</f>
        <v>159.97581505520998</v>
      </c>
      <c r="K645" s="60">
        <f>IF(A645=1,VEHICLE!$S$5,IF(A645=2,VEHICLE!$Q$5,IF(A645=3,VEHICLE!$R$5,IF(A645=4,VEHICLE!$P$5,1))))</f>
        <v>556.55073000000004</v>
      </c>
      <c r="L645" s="60">
        <v>0</v>
      </c>
      <c r="M645" s="60">
        <f t="shared" ref="M645:M708" si="211">L645-L644</f>
        <v>0</v>
      </c>
      <c r="N645" s="60">
        <f t="shared" si="204"/>
        <v>0</v>
      </c>
      <c r="O645" s="60">
        <f t="shared" si="205"/>
        <v>0</v>
      </c>
      <c r="P645" s="60">
        <f t="shared" si="206"/>
        <v>716.52654505521002</v>
      </c>
      <c r="Q645" s="60">
        <f>IF(H645=1,I645*VEHICLE!$C$69,IF(H645=2,VEHICLE!$C$70*I645,IF(H645=3,VEHICLE!$C$71*I645,0)))</f>
        <v>0</v>
      </c>
      <c r="R645" s="60">
        <f>(J645+K645+O645+Q645)</f>
        <v>716.52654505521002</v>
      </c>
      <c r="S645" s="60">
        <f t="shared" si="207"/>
        <v>716.52654505521002</v>
      </c>
      <c r="T645" s="60">
        <f>ABS((R645)/((2*PI()*G645)/60))</f>
        <v>0.97747492716080864</v>
      </c>
      <c r="U645" s="60">
        <f t="shared" si="208"/>
        <v>1</v>
      </c>
      <c r="V645" s="60">
        <f>INDEX(BSFC!$D$4:$AD$26,MATCH(U645,BSFC!$B$4:$B$26,0),MATCH(G645,BSFC!$D$2:$AD$2,0))</f>
        <v>920.25590927999997</v>
      </c>
      <c r="W645" s="60">
        <f t="shared" ref="W645:W708" si="212">(R645*V645/3600)/1000</f>
        <v>0.18316327423417753</v>
      </c>
      <c r="X645" s="60">
        <f t="shared" si="209"/>
        <v>0.18316327423417753</v>
      </c>
      <c r="Y645" s="60">
        <f t="shared" si="210"/>
        <v>0.56597451738360849</v>
      </c>
      <c r="Z645" s="79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x14ac:dyDescent="0.3">
      <c r="A646" s="55">
        <v>3</v>
      </c>
      <c r="B646" s="60" t="s">
        <v>111</v>
      </c>
      <c r="C646" s="60">
        <f t="shared" si="200"/>
        <v>643</v>
      </c>
      <c r="D646" s="60">
        <f t="shared" si="203"/>
        <v>29.998170000000002</v>
      </c>
      <c r="E646" s="60">
        <v>13.41</v>
      </c>
      <c r="F646" s="89">
        <f>($C$4/E646)+F645</f>
        <v>80.937804622680062</v>
      </c>
      <c r="G646" s="60">
        <v>7000</v>
      </c>
      <c r="H646" s="60">
        <v>3</v>
      </c>
      <c r="I646" s="89">
        <f>E646-E645</f>
        <v>0</v>
      </c>
      <c r="J646" s="60">
        <f>(0.5*VEHICLE!$C$71*VEHICLE!$C$28*VEHICLE!$C$27*'Drive Cycle'!E646^2)</f>
        <v>159.97581505520998</v>
      </c>
      <c r="K646" s="60">
        <f>IF(A646=1,VEHICLE!$S$5,IF(A646=2,VEHICLE!$Q$5,IF(A646=3,VEHICLE!$R$5,IF(A646=4,VEHICLE!$P$5,1))))</f>
        <v>556.55073000000004</v>
      </c>
      <c r="L646" s="60">
        <v>0</v>
      </c>
      <c r="M646" s="60">
        <f t="shared" si="211"/>
        <v>0</v>
      </c>
      <c r="N646" s="60">
        <f t="shared" si="204"/>
        <v>0</v>
      </c>
      <c r="O646" s="60">
        <f t="shared" si="205"/>
        <v>0</v>
      </c>
      <c r="P646" s="60">
        <f t="shared" si="206"/>
        <v>716.52654505521002</v>
      </c>
      <c r="Q646" s="60">
        <f>IF(H646=1,I646*VEHICLE!$C$69,IF(H646=2,VEHICLE!$C$70*I646,IF(H646=3,VEHICLE!$C$71*I646,0)))</f>
        <v>0</v>
      </c>
      <c r="R646" s="60">
        <f>(J646+K646+O646+Q646)</f>
        <v>716.52654505521002</v>
      </c>
      <c r="S646" s="60">
        <f t="shared" si="207"/>
        <v>716.52654505521002</v>
      </c>
      <c r="T646" s="60">
        <f>ABS((R646)/((2*PI()*G646)/60))</f>
        <v>0.97747492716080864</v>
      </c>
      <c r="U646" s="60">
        <f t="shared" si="208"/>
        <v>1</v>
      </c>
      <c r="V646" s="60">
        <f>INDEX(BSFC!$D$4:$AD$26,MATCH(U646,BSFC!$B$4:$B$26,0),MATCH(G646,BSFC!$D$2:$AD$2,0))</f>
        <v>920.25590927999997</v>
      </c>
      <c r="W646" s="60">
        <f t="shared" si="212"/>
        <v>0.18316327423417753</v>
      </c>
      <c r="X646" s="60">
        <f t="shared" si="209"/>
        <v>0.18316327423417753</v>
      </c>
      <c r="Y646" s="60">
        <f t="shared" si="210"/>
        <v>0.56597451738360849</v>
      </c>
      <c r="Z646" s="79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x14ac:dyDescent="0.3">
      <c r="A647" s="55">
        <v>3</v>
      </c>
      <c r="B647" s="60" t="s">
        <v>111</v>
      </c>
      <c r="C647" s="60">
        <f t="shared" si="200"/>
        <v>644</v>
      </c>
      <c r="D647" s="60">
        <f t="shared" si="203"/>
        <v>29.998170000000002</v>
      </c>
      <c r="E647" s="60">
        <v>13.41</v>
      </c>
      <c r="F647" s="89">
        <f>($C$4/E647)+F646</f>
        <v>81.012375838190877</v>
      </c>
      <c r="G647" s="60">
        <v>7000</v>
      </c>
      <c r="H647" s="60">
        <v>3</v>
      </c>
      <c r="I647" s="89">
        <f>E647-E646</f>
        <v>0</v>
      </c>
      <c r="J647" s="60">
        <f>(0.5*VEHICLE!$C$71*VEHICLE!$C$28*VEHICLE!$C$27*'Drive Cycle'!E647^2)</f>
        <v>159.97581505520998</v>
      </c>
      <c r="K647" s="60">
        <f>IF(A647=1,VEHICLE!$S$5,IF(A647=2,VEHICLE!$Q$5,IF(A647=3,VEHICLE!$R$5,IF(A647=4,VEHICLE!$P$5,1))))</f>
        <v>556.55073000000004</v>
      </c>
      <c r="L647" s="60">
        <v>0</v>
      </c>
      <c r="M647" s="60">
        <f t="shared" si="211"/>
        <v>0</v>
      </c>
      <c r="N647" s="60">
        <f t="shared" si="204"/>
        <v>0</v>
      </c>
      <c r="O647" s="60">
        <f t="shared" si="205"/>
        <v>0</v>
      </c>
      <c r="P647" s="60">
        <f t="shared" si="206"/>
        <v>716.52654505521002</v>
      </c>
      <c r="Q647" s="60">
        <f>IF(H647=1,I647*VEHICLE!$C$69,IF(H647=2,VEHICLE!$C$70*I647,IF(H647=3,VEHICLE!$C$71*I647,0)))</f>
        <v>0</v>
      </c>
      <c r="R647" s="60">
        <f>(J647+K647+O647+Q647)</f>
        <v>716.52654505521002</v>
      </c>
      <c r="S647" s="60">
        <f t="shared" si="207"/>
        <v>716.52654505521002</v>
      </c>
      <c r="T647" s="60">
        <f>ABS((R647)/((2*PI()*G647)/60))</f>
        <v>0.97747492716080864</v>
      </c>
      <c r="U647" s="60">
        <f t="shared" si="208"/>
        <v>1</v>
      </c>
      <c r="V647" s="60">
        <f>INDEX(BSFC!$D$4:$AD$26,MATCH(U647,BSFC!$B$4:$B$26,0),MATCH(G647,BSFC!$D$2:$AD$2,0))</f>
        <v>920.25590927999997</v>
      </c>
      <c r="W647" s="60">
        <f t="shared" si="212"/>
        <v>0.18316327423417753</v>
      </c>
      <c r="X647" s="60">
        <f t="shared" si="209"/>
        <v>0.18316327423417753</v>
      </c>
      <c r="Y647" s="60">
        <f t="shared" si="210"/>
        <v>0.56597451738360849</v>
      </c>
      <c r="Z647" s="79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x14ac:dyDescent="0.3">
      <c r="A648" s="55">
        <v>3</v>
      </c>
      <c r="B648" s="60" t="s">
        <v>111</v>
      </c>
      <c r="C648" s="60">
        <f t="shared" si="200"/>
        <v>645</v>
      </c>
      <c r="D648" s="60">
        <f t="shared" si="203"/>
        <v>29.998170000000002</v>
      </c>
      <c r="E648" s="60">
        <v>13.41</v>
      </c>
      <c r="F648" s="89">
        <f>($C$4/E648)+F647</f>
        <v>81.086947053701692</v>
      </c>
      <c r="G648" s="60">
        <v>7000</v>
      </c>
      <c r="H648" s="60">
        <v>3</v>
      </c>
      <c r="I648" s="89">
        <f>E648-E647</f>
        <v>0</v>
      </c>
      <c r="J648" s="60">
        <f>(0.5*VEHICLE!$C$71*VEHICLE!$C$28*VEHICLE!$C$27*'Drive Cycle'!E648^2)</f>
        <v>159.97581505520998</v>
      </c>
      <c r="K648" s="60">
        <f>IF(A648=1,VEHICLE!$S$5,IF(A648=2,VEHICLE!$Q$5,IF(A648=3,VEHICLE!$R$5,IF(A648=4,VEHICLE!$P$5,1))))</f>
        <v>556.55073000000004</v>
      </c>
      <c r="L648" s="60">
        <v>0</v>
      </c>
      <c r="M648" s="60">
        <f t="shared" si="211"/>
        <v>0</v>
      </c>
      <c r="N648" s="60">
        <f t="shared" si="204"/>
        <v>0</v>
      </c>
      <c r="O648" s="60">
        <f t="shared" si="205"/>
        <v>0</v>
      </c>
      <c r="P648" s="60">
        <f t="shared" si="206"/>
        <v>716.52654505521002</v>
      </c>
      <c r="Q648" s="60">
        <f>IF(H648=1,I648*VEHICLE!$C$69,IF(H648=2,VEHICLE!$C$70*I648,IF(H648=3,VEHICLE!$C$71*I648,0)))</f>
        <v>0</v>
      </c>
      <c r="R648" s="60">
        <f>(J648+K648+O648+Q648)</f>
        <v>716.52654505521002</v>
      </c>
      <c r="S648" s="60">
        <f t="shared" si="207"/>
        <v>716.52654505521002</v>
      </c>
      <c r="T648" s="60">
        <f>ABS((R648)/((2*PI()*G648)/60))</f>
        <v>0.97747492716080864</v>
      </c>
      <c r="U648" s="60">
        <f t="shared" si="208"/>
        <v>1</v>
      </c>
      <c r="V648" s="60">
        <f>INDEX(BSFC!$D$4:$AD$26,MATCH(U648,BSFC!$B$4:$B$26,0),MATCH(G648,BSFC!$D$2:$AD$2,0))</f>
        <v>920.25590927999997</v>
      </c>
      <c r="W648" s="60">
        <f t="shared" si="212"/>
        <v>0.18316327423417753</v>
      </c>
      <c r="X648" s="60">
        <f t="shared" si="209"/>
        <v>0.18316327423417753</v>
      </c>
      <c r="Y648" s="60">
        <f t="shared" si="210"/>
        <v>0.56597451738360849</v>
      </c>
      <c r="Z648" s="79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x14ac:dyDescent="0.3">
      <c r="A649" s="55">
        <v>3</v>
      </c>
      <c r="B649" s="60" t="s">
        <v>111</v>
      </c>
      <c r="C649" s="60">
        <f t="shared" si="200"/>
        <v>646</v>
      </c>
      <c r="D649" s="60">
        <f t="shared" si="203"/>
        <v>29.998170000000002</v>
      </c>
      <c r="E649" s="60">
        <v>13.41</v>
      </c>
      <c r="F649" s="89">
        <f>($C$4/E649)+F648</f>
        <v>81.161518269212507</v>
      </c>
      <c r="G649" s="60">
        <v>7000</v>
      </c>
      <c r="H649" s="60">
        <v>3</v>
      </c>
      <c r="I649" s="89">
        <f>E649-E648</f>
        <v>0</v>
      </c>
      <c r="J649" s="60">
        <f>(0.5*VEHICLE!$C$71*VEHICLE!$C$28*VEHICLE!$C$27*'Drive Cycle'!E649^2)</f>
        <v>159.97581505520998</v>
      </c>
      <c r="K649" s="60">
        <f>IF(A649=1,VEHICLE!$S$5,IF(A649=2,VEHICLE!$Q$5,IF(A649=3,VEHICLE!$R$5,IF(A649=4,VEHICLE!$P$5,1))))</f>
        <v>556.55073000000004</v>
      </c>
      <c r="L649" s="60">
        <v>0</v>
      </c>
      <c r="M649" s="60">
        <f t="shared" si="211"/>
        <v>0</v>
      </c>
      <c r="N649" s="60">
        <f t="shared" si="204"/>
        <v>0</v>
      </c>
      <c r="O649" s="60">
        <f t="shared" si="205"/>
        <v>0</v>
      </c>
      <c r="P649" s="60">
        <f t="shared" si="206"/>
        <v>716.52654505521002</v>
      </c>
      <c r="Q649" s="60">
        <f>IF(H649=1,I649*VEHICLE!$C$69,IF(H649=2,VEHICLE!$C$70*I649,IF(H649=3,VEHICLE!$C$71*I649,0)))</f>
        <v>0</v>
      </c>
      <c r="R649" s="60">
        <f>(J649+K649+O649+Q649)</f>
        <v>716.52654505521002</v>
      </c>
      <c r="S649" s="60">
        <f t="shared" si="207"/>
        <v>716.52654505521002</v>
      </c>
      <c r="T649" s="60">
        <f>ABS((R649)/((2*PI()*G649)/60))</f>
        <v>0.97747492716080864</v>
      </c>
      <c r="U649" s="60">
        <f t="shared" si="208"/>
        <v>1</v>
      </c>
      <c r="V649" s="60">
        <f>INDEX(BSFC!$D$4:$AD$26,MATCH(U649,BSFC!$B$4:$B$26,0),MATCH(G649,BSFC!$D$2:$AD$2,0))</f>
        <v>920.25590927999997</v>
      </c>
      <c r="W649" s="60">
        <f t="shared" si="212"/>
        <v>0.18316327423417753</v>
      </c>
      <c r="X649" s="60">
        <f t="shared" si="209"/>
        <v>0.18316327423417753</v>
      </c>
      <c r="Y649" s="60">
        <f t="shared" si="210"/>
        <v>0.56597451738360849</v>
      </c>
      <c r="Z649" s="79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x14ac:dyDescent="0.3">
      <c r="A650" s="55">
        <v>3</v>
      </c>
      <c r="B650" s="60" t="s">
        <v>111</v>
      </c>
      <c r="C650" s="60">
        <f t="shared" si="200"/>
        <v>647</v>
      </c>
      <c r="D650" s="60">
        <f t="shared" si="203"/>
        <v>29.998170000000002</v>
      </c>
      <c r="E650" s="60">
        <v>13.41</v>
      </c>
      <c r="F650" s="89">
        <f>($C$4/E650)+F649</f>
        <v>81.236089484723323</v>
      </c>
      <c r="G650" s="60">
        <v>7000</v>
      </c>
      <c r="H650" s="60">
        <v>3</v>
      </c>
      <c r="I650" s="89">
        <f>E650-E649</f>
        <v>0</v>
      </c>
      <c r="J650" s="60">
        <f>(0.5*VEHICLE!$C$71*VEHICLE!$C$28*VEHICLE!$C$27*'Drive Cycle'!E650^2)</f>
        <v>159.97581505520998</v>
      </c>
      <c r="K650" s="60">
        <f>IF(A650=1,VEHICLE!$S$5,IF(A650=2,VEHICLE!$Q$5,IF(A650=3,VEHICLE!$R$5,IF(A650=4,VEHICLE!$P$5,1))))</f>
        <v>556.55073000000004</v>
      </c>
      <c r="L650" s="60">
        <v>0</v>
      </c>
      <c r="M650" s="60">
        <f t="shared" si="211"/>
        <v>0</v>
      </c>
      <c r="N650" s="60">
        <f t="shared" si="204"/>
        <v>0</v>
      </c>
      <c r="O650" s="60">
        <f t="shared" si="205"/>
        <v>0</v>
      </c>
      <c r="P650" s="60">
        <f t="shared" si="206"/>
        <v>716.52654505521002</v>
      </c>
      <c r="Q650" s="60">
        <f>IF(H650=1,I650*VEHICLE!$C$69,IF(H650=2,VEHICLE!$C$70*I650,IF(H650=3,VEHICLE!$C$71*I650,0)))</f>
        <v>0</v>
      </c>
      <c r="R650" s="60">
        <f>(J650+K650+O650+Q650)</f>
        <v>716.52654505521002</v>
      </c>
      <c r="S650" s="60">
        <f t="shared" si="207"/>
        <v>716.52654505521002</v>
      </c>
      <c r="T650" s="60">
        <f>ABS((R650)/((2*PI()*G650)/60))</f>
        <v>0.97747492716080864</v>
      </c>
      <c r="U650" s="60">
        <f t="shared" si="208"/>
        <v>1</v>
      </c>
      <c r="V650" s="60">
        <f>INDEX(BSFC!$D$4:$AD$26,MATCH(U650,BSFC!$B$4:$B$26,0),MATCH(G650,BSFC!$D$2:$AD$2,0))</f>
        <v>920.25590927999997</v>
      </c>
      <c r="W650" s="60">
        <f t="shared" si="212"/>
        <v>0.18316327423417753</v>
      </c>
      <c r="X650" s="60">
        <f t="shared" si="209"/>
        <v>0.18316327423417753</v>
      </c>
      <c r="Y650" s="60">
        <f t="shared" si="210"/>
        <v>0.56597451738360849</v>
      </c>
      <c r="Z650" s="79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x14ac:dyDescent="0.3">
      <c r="A651" s="55">
        <v>3</v>
      </c>
      <c r="B651" s="60" t="s">
        <v>111</v>
      </c>
      <c r="C651" s="60">
        <f t="shared" si="200"/>
        <v>648</v>
      </c>
      <c r="D651" s="60">
        <f t="shared" si="203"/>
        <v>29.998170000000002</v>
      </c>
      <c r="E651" s="60">
        <v>13.41</v>
      </c>
      <c r="F651" s="89">
        <f>($C$4/E651)+F650</f>
        <v>81.310660700234138</v>
      </c>
      <c r="G651" s="60">
        <v>7000</v>
      </c>
      <c r="H651" s="60">
        <v>3</v>
      </c>
      <c r="I651" s="89">
        <f>E651-E650</f>
        <v>0</v>
      </c>
      <c r="J651" s="60">
        <f>(0.5*VEHICLE!$C$71*VEHICLE!$C$28*VEHICLE!$C$27*'Drive Cycle'!E651^2)</f>
        <v>159.97581505520998</v>
      </c>
      <c r="K651" s="60">
        <f>IF(A651=1,VEHICLE!$S$5,IF(A651=2,VEHICLE!$Q$5,IF(A651=3,VEHICLE!$R$5,IF(A651=4,VEHICLE!$P$5,1))))</f>
        <v>556.55073000000004</v>
      </c>
      <c r="L651" s="60">
        <v>0</v>
      </c>
      <c r="M651" s="60">
        <f t="shared" si="211"/>
        <v>0</v>
      </c>
      <c r="N651" s="60">
        <f t="shared" si="204"/>
        <v>0</v>
      </c>
      <c r="O651" s="60">
        <f t="shared" si="205"/>
        <v>0</v>
      </c>
      <c r="P651" s="60">
        <f t="shared" si="206"/>
        <v>716.52654505521002</v>
      </c>
      <c r="Q651" s="60">
        <f>IF(H651=1,I651*VEHICLE!$C$69,IF(H651=2,VEHICLE!$C$70*I651,IF(H651=3,VEHICLE!$C$71*I651,0)))</f>
        <v>0</v>
      </c>
      <c r="R651" s="60">
        <f>(J651+K651+O651+Q651)</f>
        <v>716.52654505521002</v>
      </c>
      <c r="S651" s="60">
        <f t="shared" si="207"/>
        <v>716.52654505521002</v>
      </c>
      <c r="T651" s="60">
        <f>ABS((R651)/((2*PI()*G651)/60))</f>
        <v>0.97747492716080864</v>
      </c>
      <c r="U651" s="60">
        <f t="shared" si="208"/>
        <v>1</v>
      </c>
      <c r="V651" s="60">
        <f>INDEX(BSFC!$D$4:$AD$26,MATCH(U651,BSFC!$B$4:$B$26,0),MATCH(G651,BSFC!$D$2:$AD$2,0))</f>
        <v>920.25590927999997</v>
      </c>
      <c r="W651" s="60">
        <f t="shared" si="212"/>
        <v>0.18316327423417753</v>
      </c>
      <c r="X651" s="60">
        <f t="shared" si="209"/>
        <v>0.18316327423417753</v>
      </c>
      <c r="Y651" s="60">
        <f t="shared" si="210"/>
        <v>0.56597451738360849</v>
      </c>
      <c r="Z651" s="79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x14ac:dyDescent="0.3">
      <c r="A652" s="55">
        <v>3</v>
      </c>
      <c r="B652" s="60" t="s">
        <v>111</v>
      </c>
      <c r="C652" s="60">
        <f t="shared" si="200"/>
        <v>649</v>
      </c>
      <c r="D652" s="60">
        <f t="shared" si="203"/>
        <v>29.998170000000002</v>
      </c>
      <c r="E652" s="60">
        <v>13.41</v>
      </c>
      <c r="F652" s="89">
        <f>($C$4/E652)+F651</f>
        <v>81.385231915744953</v>
      </c>
      <c r="G652" s="60">
        <v>7000</v>
      </c>
      <c r="H652" s="60">
        <v>3</v>
      </c>
      <c r="I652" s="89">
        <f>E652-E651</f>
        <v>0</v>
      </c>
      <c r="J652" s="60">
        <f>(0.5*VEHICLE!$C$71*VEHICLE!$C$28*VEHICLE!$C$27*'Drive Cycle'!E652^2)</f>
        <v>159.97581505520998</v>
      </c>
      <c r="K652" s="60">
        <f>IF(A652=1,VEHICLE!$S$5,IF(A652=2,VEHICLE!$Q$5,IF(A652=3,VEHICLE!$R$5,IF(A652=4,VEHICLE!$P$5,1))))</f>
        <v>556.55073000000004</v>
      </c>
      <c r="L652" s="60">
        <v>0</v>
      </c>
      <c r="M652" s="60">
        <f t="shared" si="211"/>
        <v>0</v>
      </c>
      <c r="N652" s="60">
        <f t="shared" si="204"/>
        <v>0</v>
      </c>
      <c r="O652" s="60">
        <f t="shared" si="205"/>
        <v>0</v>
      </c>
      <c r="P652" s="60">
        <f t="shared" si="206"/>
        <v>716.52654505521002</v>
      </c>
      <c r="Q652" s="60">
        <f>IF(H652=1,I652*VEHICLE!$C$69,IF(H652=2,VEHICLE!$C$70*I652,IF(H652=3,VEHICLE!$C$71*I652,0)))</f>
        <v>0</v>
      </c>
      <c r="R652" s="60">
        <f>(J652+K652+O652+Q652)</f>
        <v>716.52654505521002</v>
      </c>
      <c r="S652" s="60">
        <f t="shared" si="207"/>
        <v>716.52654505521002</v>
      </c>
      <c r="T652" s="60">
        <f>ABS((R652)/((2*PI()*G652)/60))</f>
        <v>0.97747492716080864</v>
      </c>
      <c r="U652" s="60">
        <f t="shared" si="208"/>
        <v>1</v>
      </c>
      <c r="V652" s="60">
        <f>INDEX(BSFC!$D$4:$AD$26,MATCH(U652,BSFC!$B$4:$B$26,0),MATCH(G652,BSFC!$D$2:$AD$2,0))</f>
        <v>920.25590927999997</v>
      </c>
      <c r="W652" s="60">
        <f t="shared" si="212"/>
        <v>0.18316327423417753</v>
      </c>
      <c r="X652" s="60">
        <f t="shared" si="209"/>
        <v>0.18316327423417753</v>
      </c>
      <c r="Y652" s="60">
        <f t="shared" si="210"/>
        <v>0.56597451738360849</v>
      </c>
      <c r="Z652" s="79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x14ac:dyDescent="0.3">
      <c r="A653" s="55">
        <v>3</v>
      </c>
      <c r="B653" s="60" t="s">
        <v>111</v>
      </c>
      <c r="C653" s="60">
        <f t="shared" si="200"/>
        <v>650</v>
      </c>
      <c r="D653" s="60">
        <f t="shared" si="203"/>
        <v>29.998170000000002</v>
      </c>
      <c r="E653" s="60">
        <v>13.41</v>
      </c>
      <c r="F653" s="89">
        <f>($C$4/E653)+F652</f>
        <v>81.459803131255768</v>
      </c>
      <c r="G653" s="60">
        <v>7000</v>
      </c>
      <c r="H653" s="60">
        <v>3</v>
      </c>
      <c r="I653" s="89">
        <f>E653-E652</f>
        <v>0</v>
      </c>
      <c r="J653" s="60">
        <f>(0.5*VEHICLE!$C$71*VEHICLE!$C$28*VEHICLE!$C$27*'Drive Cycle'!E653^2)</f>
        <v>159.97581505520998</v>
      </c>
      <c r="K653" s="60">
        <f>IF(A653=1,VEHICLE!$S$5,IF(A653=2,VEHICLE!$Q$5,IF(A653=3,VEHICLE!$R$5,IF(A653=4,VEHICLE!$P$5,1))))</f>
        <v>556.55073000000004</v>
      </c>
      <c r="L653" s="60">
        <v>0</v>
      </c>
      <c r="M653" s="60">
        <f t="shared" si="211"/>
        <v>0</v>
      </c>
      <c r="N653" s="60">
        <f t="shared" si="204"/>
        <v>0</v>
      </c>
      <c r="O653" s="60">
        <f t="shared" si="205"/>
        <v>0</v>
      </c>
      <c r="P653" s="60">
        <f t="shared" si="206"/>
        <v>716.52654505521002</v>
      </c>
      <c r="Q653" s="60">
        <f>IF(H653=1,I653*VEHICLE!$C$69,IF(H653=2,VEHICLE!$C$70*I653,IF(H653=3,VEHICLE!$C$71*I653,0)))</f>
        <v>0</v>
      </c>
      <c r="R653" s="60">
        <f>(J653+K653+O653+Q653)</f>
        <v>716.52654505521002</v>
      </c>
      <c r="S653" s="60">
        <f t="shared" si="207"/>
        <v>716.52654505521002</v>
      </c>
      <c r="T653" s="60">
        <f>ABS((R653)/((2*PI()*G653)/60))</f>
        <v>0.97747492716080864</v>
      </c>
      <c r="U653" s="60">
        <f t="shared" si="208"/>
        <v>1</v>
      </c>
      <c r="V653" s="60">
        <f>INDEX(BSFC!$D$4:$AD$26,MATCH(U653,BSFC!$B$4:$B$26,0),MATCH(G653,BSFC!$D$2:$AD$2,0))</f>
        <v>920.25590927999997</v>
      </c>
      <c r="W653" s="60">
        <f t="shared" si="212"/>
        <v>0.18316327423417753</v>
      </c>
      <c r="X653" s="60">
        <f t="shared" si="209"/>
        <v>0.18316327423417753</v>
      </c>
      <c r="Y653" s="60">
        <f t="shared" si="210"/>
        <v>0.56597451738360849</v>
      </c>
      <c r="Z653" s="79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x14ac:dyDescent="0.3">
      <c r="A654" s="55">
        <v>3</v>
      </c>
      <c r="B654" s="60" t="s">
        <v>111</v>
      </c>
      <c r="C654" s="60">
        <f t="shared" si="200"/>
        <v>651</v>
      </c>
      <c r="D654" s="60">
        <f t="shared" si="203"/>
        <v>29.998170000000002</v>
      </c>
      <c r="E654" s="60">
        <v>13.41</v>
      </c>
      <c r="F654" s="89">
        <f>($C$4/E654)+F653</f>
        <v>81.534374346766583</v>
      </c>
      <c r="G654" s="60">
        <v>7000</v>
      </c>
      <c r="H654" s="60">
        <v>3</v>
      </c>
      <c r="I654" s="89">
        <f>E654-E653</f>
        <v>0</v>
      </c>
      <c r="J654" s="60">
        <f>(0.5*VEHICLE!$C$71*VEHICLE!$C$28*VEHICLE!$C$27*'Drive Cycle'!E654^2)</f>
        <v>159.97581505520998</v>
      </c>
      <c r="K654" s="60">
        <f>IF(A654=1,VEHICLE!$S$5,IF(A654=2,VEHICLE!$Q$5,IF(A654=3,VEHICLE!$R$5,IF(A654=4,VEHICLE!$P$5,1))))</f>
        <v>556.55073000000004</v>
      </c>
      <c r="L654" s="60">
        <v>0</v>
      </c>
      <c r="M654" s="60">
        <f t="shared" si="211"/>
        <v>0</v>
      </c>
      <c r="N654" s="60">
        <f t="shared" si="204"/>
        <v>0</v>
      </c>
      <c r="O654" s="60">
        <f t="shared" si="205"/>
        <v>0</v>
      </c>
      <c r="P654" s="60">
        <f t="shared" si="206"/>
        <v>716.52654505521002</v>
      </c>
      <c r="Q654" s="60">
        <f>IF(H654=1,I654*VEHICLE!$C$69,IF(H654=2,VEHICLE!$C$70*I654,IF(H654=3,VEHICLE!$C$71*I654,0)))</f>
        <v>0</v>
      </c>
      <c r="R654" s="60">
        <f>(J654+K654+O654+Q654)</f>
        <v>716.52654505521002</v>
      </c>
      <c r="S654" s="60">
        <f t="shared" si="207"/>
        <v>716.52654505521002</v>
      </c>
      <c r="T654" s="60">
        <f>ABS((R654)/((2*PI()*G654)/60))</f>
        <v>0.97747492716080864</v>
      </c>
      <c r="U654" s="60">
        <f t="shared" si="208"/>
        <v>1</v>
      </c>
      <c r="V654" s="60">
        <f>INDEX(BSFC!$D$4:$AD$26,MATCH(U654,BSFC!$B$4:$B$26,0),MATCH(G654,BSFC!$D$2:$AD$2,0))</f>
        <v>920.25590927999997</v>
      </c>
      <c r="W654" s="60">
        <f t="shared" si="212"/>
        <v>0.18316327423417753</v>
      </c>
      <c r="X654" s="60">
        <f t="shared" si="209"/>
        <v>0.18316327423417753</v>
      </c>
      <c r="Y654" s="60">
        <f t="shared" si="210"/>
        <v>0.56597451738360849</v>
      </c>
      <c r="Z654" s="79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x14ac:dyDescent="0.3">
      <c r="A655" s="55">
        <v>3</v>
      </c>
      <c r="B655" s="60" t="s">
        <v>111</v>
      </c>
      <c r="C655" s="60">
        <f t="shared" si="200"/>
        <v>652</v>
      </c>
      <c r="D655" s="60">
        <f t="shared" si="203"/>
        <v>29.998170000000002</v>
      </c>
      <c r="E655" s="60">
        <v>13.41</v>
      </c>
      <c r="F655" s="89">
        <f>($C$4/E655)+F654</f>
        <v>81.608945562277398</v>
      </c>
      <c r="G655" s="60">
        <v>7000</v>
      </c>
      <c r="H655" s="60">
        <v>3</v>
      </c>
      <c r="I655" s="89">
        <f>E655-E654</f>
        <v>0</v>
      </c>
      <c r="J655" s="60">
        <f>(0.5*VEHICLE!$C$71*VEHICLE!$C$28*VEHICLE!$C$27*'Drive Cycle'!E655^2)</f>
        <v>159.97581505520998</v>
      </c>
      <c r="K655" s="60">
        <f>IF(A655=1,VEHICLE!$S$5,IF(A655=2,VEHICLE!$Q$5,IF(A655=3,VEHICLE!$R$5,IF(A655=4,VEHICLE!$P$5,1))))</f>
        <v>556.55073000000004</v>
      </c>
      <c r="L655" s="60">
        <v>0</v>
      </c>
      <c r="M655" s="60">
        <f t="shared" si="211"/>
        <v>0</v>
      </c>
      <c r="N655" s="60">
        <f t="shared" si="204"/>
        <v>0</v>
      </c>
      <c r="O655" s="60">
        <f t="shared" si="205"/>
        <v>0</v>
      </c>
      <c r="P655" s="60">
        <f t="shared" si="206"/>
        <v>716.52654505521002</v>
      </c>
      <c r="Q655" s="60">
        <f>IF(H655=1,I655*VEHICLE!$C$69,IF(H655=2,VEHICLE!$C$70*I655,IF(H655=3,VEHICLE!$C$71*I655,0)))</f>
        <v>0</v>
      </c>
      <c r="R655" s="60">
        <f>(J655+K655+O655+Q655)</f>
        <v>716.52654505521002</v>
      </c>
      <c r="S655" s="60">
        <f t="shared" si="207"/>
        <v>716.52654505521002</v>
      </c>
      <c r="T655" s="60">
        <f>ABS((R655)/((2*PI()*G655)/60))</f>
        <v>0.97747492716080864</v>
      </c>
      <c r="U655" s="60">
        <f t="shared" si="208"/>
        <v>1</v>
      </c>
      <c r="V655" s="60">
        <f>INDEX(BSFC!$D$4:$AD$26,MATCH(U655,BSFC!$B$4:$B$26,0),MATCH(G655,BSFC!$D$2:$AD$2,0))</f>
        <v>920.25590927999997</v>
      </c>
      <c r="W655" s="60">
        <f t="shared" si="212"/>
        <v>0.18316327423417753</v>
      </c>
      <c r="X655" s="60">
        <f t="shared" si="209"/>
        <v>0.18316327423417753</v>
      </c>
      <c r="Y655" s="60">
        <f t="shared" si="210"/>
        <v>0.56597451738360849</v>
      </c>
      <c r="Z655" s="79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x14ac:dyDescent="0.3">
      <c r="A656" s="55">
        <v>3</v>
      </c>
      <c r="B656" s="60" t="s">
        <v>111</v>
      </c>
      <c r="C656" s="60">
        <f t="shared" si="200"/>
        <v>653</v>
      </c>
      <c r="D656" s="60">
        <f t="shared" si="203"/>
        <v>29.998170000000002</v>
      </c>
      <c r="E656" s="60">
        <v>13.41</v>
      </c>
      <c r="F656" s="89">
        <f>($C$4/E656)+F655</f>
        <v>81.683516777788213</v>
      </c>
      <c r="G656" s="60">
        <v>7000</v>
      </c>
      <c r="H656" s="60">
        <v>3</v>
      </c>
      <c r="I656" s="89">
        <f>E656-E655</f>
        <v>0</v>
      </c>
      <c r="J656" s="60">
        <f>(0.5*VEHICLE!$C$71*VEHICLE!$C$28*VEHICLE!$C$27*'Drive Cycle'!E656^2)</f>
        <v>159.97581505520998</v>
      </c>
      <c r="K656" s="60">
        <f>IF(A656=1,VEHICLE!$S$5,IF(A656=2,VEHICLE!$Q$5,IF(A656=3,VEHICLE!$R$5,IF(A656=4,VEHICLE!$P$5,1))))</f>
        <v>556.55073000000004</v>
      </c>
      <c r="L656" s="60">
        <v>0</v>
      </c>
      <c r="M656" s="60">
        <f t="shared" si="211"/>
        <v>0</v>
      </c>
      <c r="N656" s="60">
        <f t="shared" si="204"/>
        <v>0</v>
      </c>
      <c r="O656" s="60">
        <f t="shared" si="205"/>
        <v>0</v>
      </c>
      <c r="P656" s="60">
        <f t="shared" si="206"/>
        <v>716.52654505521002</v>
      </c>
      <c r="Q656" s="60">
        <f>IF(H656=1,I656*VEHICLE!$C$69,IF(H656=2,VEHICLE!$C$70*I656,IF(H656=3,VEHICLE!$C$71*I656,0)))</f>
        <v>0</v>
      </c>
      <c r="R656" s="60">
        <f>(J656+K656+O656+Q656)</f>
        <v>716.52654505521002</v>
      </c>
      <c r="S656" s="60">
        <f t="shared" si="207"/>
        <v>716.52654505521002</v>
      </c>
      <c r="T656" s="60">
        <f>ABS((R656)/((2*PI()*G656)/60))</f>
        <v>0.97747492716080864</v>
      </c>
      <c r="U656" s="60">
        <f t="shared" si="208"/>
        <v>1</v>
      </c>
      <c r="V656" s="60">
        <f>INDEX(BSFC!$D$4:$AD$26,MATCH(U656,BSFC!$B$4:$B$26,0),MATCH(G656,BSFC!$D$2:$AD$2,0))</f>
        <v>920.25590927999997</v>
      </c>
      <c r="W656" s="60">
        <f t="shared" si="212"/>
        <v>0.18316327423417753</v>
      </c>
      <c r="X656" s="60">
        <f t="shared" si="209"/>
        <v>0.18316327423417753</v>
      </c>
      <c r="Y656" s="60">
        <f t="shared" si="210"/>
        <v>0.56597451738360849</v>
      </c>
      <c r="Z656" s="79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x14ac:dyDescent="0.3">
      <c r="A657" s="55">
        <v>3</v>
      </c>
      <c r="B657" s="60" t="s">
        <v>111</v>
      </c>
      <c r="C657" s="60">
        <f t="shared" si="200"/>
        <v>654</v>
      </c>
      <c r="D657" s="60">
        <f t="shared" si="203"/>
        <v>29.998170000000002</v>
      </c>
      <c r="E657" s="60">
        <v>13.41</v>
      </c>
      <c r="F657" s="89">
        <f>($C$4/E657)+F656</f>
        <v>81.758087993299029</v>
      </c>
      <c r="G657" s="60">
        <v>7000</v>
      </c>
      <c r="H657" s="60">
        <v>3</v>
      </c>
      <c r="I657" s="89">
        <f>E657-E656</f>
        <v>0</v>
      </c>
      <c r="J657" s="60">
        <f>(0.5*VEHICLE!$C$71*VEHICLE!$C$28*VEHICLE!$C$27*'Drive Cycle'!E657^2)</f>
        <v>159.97581505520998</v>
      </c>
      <c r="K657" s="60">
        <f>IF(A657=1,VEHICLE!$S$5,IF(A657=2,VEHICLE!$Q$5,IF(A657=3,VEHICLE!$R$5,IF(A657=4,VEHICLE!$P$5,1))))</f>
        <v>556.55073000000004</v>
      </c>
      <c r="L657" s="60">
        <v>0</v>
      </c>
      <c r="M657" s="60">
        <f t="shared" si="211"/>
        <v>0</v>
      </c>
      <c r="N657" s="60">
        <f t="shared" si="204"/>
        <v>0</v>
      </c>
      <c r="O657" s="60">
        <f t="shared" si="205"/>
        <v>0</v>
      </c>
      <c r="P657" s="60">
        <f t="shared" si="206"/>
        <v>716.52654505521002</v>
      </c>
      <c r="Q657" s="60">
        <f>IF(H657=1,I657*VEHICLE!$C$69,IF(H657=2,VEHICLE!$C$70*I657,IF(H657=3,VEHICLE!$C$71*I657,0)))</f>
        <v>0</v>
      </c>
      <c r="R657" s="60">
        <f>(J657+K657+O657+Q657)</f>
        <v>716.52654505521002</v>
      </c>
      <c r="S657" s="60">
        <f t="shared" si="207"/>
        <v>716.52654505521002</v>
      </c>
      <c r="T657" s="60">
        <f>ABS((R657)/((2*PI()*G657)/60))</f>
        <v>0.97747492716080864</v>
      </c>
      <c r="U657" s="60">
        <f t="shared" si="208"/>
        <v>1</v>
      </c>
      <c r="V657" s="60">
        <f>INDEX(BSFC!$D$4:$AD$26,MATCH(U657,BSFC!$B$4:$B$26,0),MATCH(G657,BSFC!$D$2:$AD$2,0))</f>
        <v>920.25590927999997</v>
      </c>
      <c r="W657" s="60">
        <f t="shared" si="212"/>
        <v>0.18316327423417753</v>
      </c>
      <c r="X657" s="60">
        <f t="shared" si="209"/>
        <v>0.18316327423417753</v>
      </c>
      <c r="Y657" s="60">
        <f t="shared" si="210"/>
        <v>0.56597451738360849</v>
      </c>
      <c r="Z657" s="79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x14ac:dyDescent="0.3">
      <c r="A658" s="55">
        <v>3</v>
      </c>
      <c r="B658" s="60" t="s">
        <v>111</v>
      </c>
      <c r="C658" s="60">
        <f t="shared" si="200"/>
        <v>655</v>
      </c>
      <c r="D658" s="60">
        <f t="shared" si="203"/>
        <v>29.998170000000002</v>
      </c>
      <c r="E658" s="60">
        <v>13.41</v>
      </c>
      <c r="F658" s="89">
        <f>($C$4/E658)+F657</f>
        <v>81.832659208809844</v>
      </c>
      <c r="G658" s="60">
        <v>7000</v>
      </c>
      <c r="H658" s="60">
        <v>3</v>
      </c>
      <c r="I658" s="89">
        <f>E658-E657</f>
        <v>0</v>
      </c>
      <c r="J658" s="60">
        <f>(0.5*VEHICLE!$C$71*VEHICLE!$C$28*VEHICLE!$C$27*'Drive Cycle'!E658^2)</f>
        <v>159.97581505520998</v>
      </c>
      <c r="K658" s="60">
        <f>IF(A658=1,VEHICLE!$S$5,IF(A658=2,VEHICLE!$Q$5,IF(A658=3,VEHICLE!$R$5,IF(A658=4,VEHICLE!$P$5,1))))</f>
        <v>556.55073000000004</v>
      </c>
      <c r="L658" s="60">
        <v>0</v>
      </c>
      <c r="M658" s="60">
        <f t="shared" si="211"/>
        <v>0</v>
      </c>
      <c r="N658" s="60">
        <f t="shared" si="204"/>
        <v>0</v>
      </c>
      <c r="O658" s="60">
        <f t="shared" si="205"/>
        <v>0</v>
      </c>
      <c r="P658" s="60">
        <f t="shared" si="206"/>
        <v>716.52654505521002</v>
      </c>
      <c r="Q658" s="60">
        <f>IF(H658=1,I658*VEHICLE!$C$69,IF(H658=2,VEHICLE!$C$70*I658,IF(H658=3,VEHICLE!$C$71*I658,0)))</f>
        <v>0</v>
      </c>
      <c r="R658" s="60">
        <f>(J658+K658+O658+Q658)</f>
        <v>716.52654505521002</v>
      </c>
      <c r="S658" s="60">
        <f t="shared" si="207"/>
        <v>716.52654505521002</v>
      </c>
      <c r="T658" s="60">
        <f>ABS((R658)/((2*PI()*G658)/60))</f>
        <v>0.97747492716080864</v>
      </c>
      <c r="U658" s="60">
        <f t="shared" si="208"/>
        <v>1</v>
      </c>
      <c r="V658" s="60">
        <f>INDEX(BSFC!$D$4:$AD$26,MATCH(U658,BSFC!$B$4:$B$26,0),MATCH(G658,BSFC!$D$2:$AD$2,0))</f>
        <v>920.25590927999997</v>
      </c>
      <c r="W658" s="60">
        <f t="shared" si="212"/>
        <v>0.18316327423417753</v>
      </c>
      <c r="X658" s="60">
        <f t="shared" si="209"/>
        <v>0.18316327423417753</v>
      </c>
      <c r="Y658" s="60">
        <f t="shared" si="210"/>
        <v>0.56597451738360849</v>
      </c>
      <c r="Z658" s="79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x14ac:dyDescent="0.3">
      <c r="A659" s="55">
        <v>3</v>
      </c>
      <c r="B659" s="60" t="s">
        <v>111</v>
      </c>
      <c r="C659" s="60">
        <f t="shared" si="200"/>
        <v>656</v>
      </c>
      <c r="D659" s="60">
        <f t="shared" si="203"/>
        <v>29.998170000000002</v>
      </c>
      <c r="E659" s="60">
        <v>13.41</v>
      </c>
      <c r="F659" s="89">
        <f>($C$4/E659)+F658</f>
        <v>81.907230424320659</v>
      </c>
      <c r="G659" s="60">
        <v>7000</v>
      </c>
      <c r="H659" s="60">
        <v>3</v>
      </c>
      <c r="I659" s="89">
        <f>E659-E658</f>
        <v>0</v>
      </c>
      <c r="J659" s="60">
        <f>(0.5*VEHICLE!$C$71*VEHICLE!$C$28*VEHICLE!$C$27*'Drive Cycle'!E659^2)</f>
        <v>159.97581505520998</v>
      </c>
      <c r="K659" s="60">
        <f>IF(A659=1,VEHICLE!$S$5,IF(A659=2,VEHICLE!$Q$5,IF(A659=3,VEHICLE!$R$5,IF(A659=4,VEHICLE!$P$5,1))))</f>
        <v>556.55073000000004</v>
      </c>
      <c r="L659" s="60">
        <v>0</v>
      </c>
      <c r="M659" s="60">
        <f t="shared" si="211"/>
        <v>0</v>
      </c>
      <c r="N659" s="60">
        <f t="shared" si="204"/>
        <v>0</v>
      </c>
      <c r="O659" s="60">
        <f t="shared" si="205"/>
        <v>0</v>
      </c>
      <c r="P659" s="60">
        <f t="shared" si="206"/>
        <v>716.52654505521002</v>
      </c>
      <c r="Q659" s="60">
        <f>IF(H659=1,I659*VEHICLE!$C$69,IF(H659=2,VEHICLE!$C$70*I659,IF(H659=3,VEHICLE!$C$71*I659,0)))</f>
        <v>0</v>
      </c>
      <c r="R659" s="60">
        <f>(J659+K659+O659+Q659)</f>
        <v>716.52654505521002</v>
      </c>
      <c r="S659" s="60">
        <f t="shared" si="207"/>
        <v>716.52654505521002</v>
      </c>
      <c r="T659" s="60">
        <f>ABS((R659)/((2*PI()*G659)/60))</f>
        <v>0.97747492716080864</v>
      </c>
      <c r="U659" s="60">
        <f t="shared" si="208"/>
        <v>1</v>
      </c>
      <c r="V659" s="60">
        <f>INDEX(BSFC!$D$4:$AD$26,MATCH(U659,BSFC!$B$4:$B$26,0),MATCH(G659,BSFC!$D$2:$AD$2,0))</f>
        <v>920.25590927999997</v>
      </c>
      <c r="W659" s="60">
        <f t="shared" si="212"/>
        <v>0.18316327423417753</v>
      </c>
      <c r="X659" s="60">
        <f t="shared" si="209"/>
        <v>0.18316327423417753</v>
      </c>
      <c r="Y659" s="60">
        <f t="shared" si="210"/>
        <v>0.56597451738360849</v>
      </c>
      <c r="Z659" s="79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x14ac:dyDescent="0.3">
      <c r="A660" s="55">
        <v>3</v>
      </c>
      <c r="B660" s="60" t="s">
        <v>111</v>
      </c>
      <c r="C660" s="60">
        <f t="shared" si="200"/>
        <v>657</v>
      </c>
      <c r="D660" s="60">
        <f t="shared" si="203"/>
        <v>29.998170000000002</v>
      </c>
      <c r="E660" s="60">
        <v>13.41</v>
      </c>
      <c r="F660" s="89">
        <f>($C$4/E660)+F659</f>
        <v>81.981801639831474</v>
      </c>
      <c r="G660" s="60">
        <v>7000</v>
      </c>
      <c r="H660" s="60">
        <v>3</v>
      </c>
      <c r="I660" s="89">
        <f>E660-E659</f>
        <v>0</v>
      </c>
      <c r="J660" s="60">
        <f>(0.5*VEHICLE!$C$71*VEHICLE!$C$28*VEHICLE!$C$27*'Drive Cycle'!E660^2)</f>
        <v>159.97581505520998</v>
      </c>
      <c r="K660" s="60">
        <f>IF(A660=1,VEHICLE!$S$5,IF(A660=2,VEHICLE!$Q$5,IF(A660=3,VEHICLE!$R$5,IF(A660=4,VEHICLE!$P$5,1))))</f>
        <v>556.55073000000004</v>
      </c>
      <c r="L660" s="60">
        <v>0</v>
      </c>
      <c r="M660" s="60">
        <f t="shared" si="211"/>
        <v>0</v>
      </c>
      <c r="N660" s="60">
        <f t="shared" si="204"/>
        <v>0</v>
      </c>
      <c r="O660" s="60">
        <f t="shared" si="205"/>
        <v>0</v>
      </c>
      <c r="P660" s="60">
        <f t="shared" si="206"/>
        <v>716.52654505521002</v>
      </c>
      <c r="Q660" s="60">
        <f>IF(H660=1,I660*VEHICLE!$C$69,IF(H660=2,VEHICLE!$C$70*I660,IF(H660=3,VEHICLE!$C$71*I660,0)))</f>
        <v>0</v>
      </c>
      <c r="R660" s="60">
        <f>(J660+K660+O660+Q660)</f>
        <v>716.52654505521002</v>
      </c>
      <c r="S660" s="60">
        <f t="shared" si="207"/>
        <v>716.52654505521002</v>
      </c>
      <c r="T660" s="60">
        <f>ABS((R660)/((2*PI()*G660)/60))</f>
        <v>0.97747492716080864</v>
      </c>
      <c r="U660" s="60">
        <f t="shared" si="208"/>
        <v>1</v>
      </c>
      <c r="V660" s="60">
        <f>INDEX(BSFC!$D$4:$AD$26,MATCH(U660,BSFC!$B$4:$B$26,0),MATCH(G660,BSFC!$D$2:$AD$2,0))</f>
        <v>920.25590927999997</v>
      </c>
      <c r="W660" s="60">
        <f t="shared" si="212"/>
        <v>0.18316327423417753</v>
      </c>
      <c r="X660" s="60">
        <f t="shared" si="209"/>
        <v>0.18316327423417753</v>
      </c>
      <c r="Y660" s="60">
        <f t="shared" si="210"/>
        <v>0.56597451738360849</v>
      </c>
      <c r="Z660" s="79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x14ac:dyDescent="0.3">
      <c r="A661" s="55">
        <v>3</v>
      </c>
      <c r="B661" s="60" t="s">
        <v>111</v>
      </c>
      <c r="C661" s="60">
        <f t="shared" si="200"/>
        <v>658</v>
      </c>
      <c r="D661" s="60">
        <f t="shared" si="203"/>
        <v>29.998170000000002</v>
      </c>
      <c r="E661" s="60">
        <v>13.41</v>
      </c>
      <c r="F661" s="89">
        <f>($C$4/E661)+F660</f>
        <v>82.056372855342289</v>
      </c>
      <c r="G661" s="60">
        <v>7000</v>
      </c>
      <c r="H661" s="60">
        <v>3</v>
      </c>
      <c r="I661" s="89">
        <f>E661-E660</f>
        <v>0</v>
      </c>
      <c r="J661" s="60">
        <f>(0.5*VEHICLE!$C$71*VEHICLE!$C$28*VEHICLE!$C$27*'Drive Cycle'!E661^2)</f>
        <v>159.97581505520998</v>
      </c>
      <c r="K661" s="60">
        <f>IF(A661=1,VEHICLE!$S$5,IF(A661=2,VEHICLE!$Q$5,IF(A661=3,VEHICLE!$R$5,IF(A661=4,VEHICLE!$P$5,1))))</f>
        <v>556.55073000000004</v>
      </c>
      <c r="L661" s="60">
        <v>0</v>
      </c>
      <c r="M661" s="60">
        <f t="shared" si="211"/>
        <v>0</v>
      </c>
      <c r="N661" s="60">
        <f t="shared" si="204"/>
        <v>0</v>
      </c>
      <c r="O661" s="60">
        <f t="shared" si="205"/>
        <v>0</v>
      </c>
      <c r="P661" s="60">
        <f t="shared" si="206"/>
        <v>716.52654505521002</v>
      </c>
      <c r="Q661" s="60">
        <f>IF(H661=1,I661*VEHICLE!$C$69,IF(H661=2,VEHICLE!$C$70*I661,IF(H661=3,VEHICLE!$C$71*I661,0)))</f>
        <v>0</v>
      </c>
      <c r="R661" s="60">
        <f>(J661+K661+O661+Q661)</f>
        <v>716.52654505521002</v>
      </c>
      <c r="S661" s="60">
        <f t="shared" si="207"/>
        <v>716.52654505521002</v>
      </c>
      <c r="T661" s="60">
        <f>ABS((R661)/((2*PI()*G661)/60))</f>
        <v>0.97747492716080864</v>
      </c>
      <c r="U661" s="60">
        <f t="shared" si="208"/>
        <v>1</v>
      </c>
      <c r="V661" s="60">
        <f>INDEX(BSFC!$D$4:$AD$26,MATCH(U661,BSFC!$B$4:$B$26,0),MATCH(G661,BSFC!$D$2:$AD$2,0))</f>
        <v>920.25590927999997</v>
      </c>
      <c r="W661" s="60">
        <f t="shared" si="212"/>
        <v>0.18316327423417753</v>
      </c>
      <c r="X661" s="60">
        <f t="shared" si="209"/>
        <v>0.18316327423417753</v>
      </c>
      <c r="Y661" s="60">
        <f t="shared" si="210"/>
        <v>0.56597451738360849</v>
      </c>
      <c r="Z661" s="79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x14ac:dyDescent="0.3">
      <c r="A662" s="55">
        <v>3</v>
      </c>
      <c r="B662" s="60" t="s">
        <v>111</v>
      </c>
      <c r="C662" s="60">
        <f t="shared" si="200"/>
        <v>659</v>
      </c>
      <c r="D662" s="60">
        <f t="shared" si="203"/>
        <v>29.998170000000002</v>
      </c>
      <c r="E662" s="60">
        <v>13.41</v>
      </c>
      <c r="F662" s="89">
        <f>($C$4/E662)+F661</f>
        <v>82.130944070853104</v>
      </c>
      <c r="G662" s="60">
        <v>7000</v>
      </c>
      <c r="H662" s="60">
        <v>3</v>
      </c>
      <c r="I662" s="89">
        <f>E662-E661</f>
        <v>0</v>
      </c>
      <c r="J662" s="60">
        <f>(0.5*VEHICLE!$C$71*VEHICLE!$C$28*VEHICLE!$C$27*'Drive Cycle'!E662^2)</f>
        <v>159.97581505520998</v>
      </c>
      <c r="K662" s="60">
        <f>IF(A662=1,VEHICLE!$S$5,IF(A662=2,VEHICLE!$Q$5,IF(A662=3,VEHICLE!$R$5,IF(A662=4,VEHICLE!$P$5,1))))</f>
        <v>556.55073000000004</v>
      </c>
      <c r="L662" s="60">
        <v>0</v>
      </c>
      <c r="M662" s="60">
        <f t="shared" si="211"/>
        <v>0</v>
      </c>
      <c r="N662" s="60">
        <f t="shared" si="204"/>
        <v>0</v>
      </c>
      <c r="O662" s="60">
        <f t="shared" si="205"/>
        <v>0</v>
      </c>
      <c r="P662" s="60">
        <f t="shared" si="206"/>
        <v>716.52654505521002</v>
      </c>
      <c r="Q662" s="60">
        <f>IF(H662=1,I662*VEHICLE!$C$69,IF(H662=2,VEHICLE!$C$70*I662,IF(H662=3,VEHICLE!$C$71*I662,0)))</f>
        <v>0</v>
      </c>
      <c r="R662" s="60">
        <f>(J662+K662+O662+Q662)</f>
        <v>716.52654505521002</v>
      </c>
      <c r="S662" s="60">
        <f t="shared" si="207"/>
        <v>716.52654505521002</v>
      </c>
      <c r="T662" s="60">
        <f>ABS((R662)/((2*PI()*G662)/60))</f>
        <v>0.97747492716080864</v>
      </c>
      <c r="U662" s="60">
        <f t="shared" si="208"/>
        <v>1</v>
      </c>
      <c r="V662" s="60">
        <f>INDEX(BSFC!$D$4:$AD$26,MATCH(U662,BSFC!$B$4:$B$26,0),MATCH(G662,BSFC!$D$2:$AD$2,0))</f>
        <v>920.25590927999997</v>
      </c>
      <c r="W662" s="60">
        <f t="shared" si="212"/>
        <v>0.18316327423417753</v>
      </c>
      <c r="X662" s="60">
        <f t="shared" si="209"/>
        <v>0.18316327423417753</v>
      </c>
      <c r="Y662" s="60">
        <f t="shared" si="210"/>
        <v>0.56597451738360849</v>
      </c>
      <c r="Z662" s="79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x14ac:dyDescent="0.3">
      <c r="A663" s="55">
        <v>3</v>
      </c>
      <c r="B663" s="60" t="s">
        <v>111</v>
      </c>
      <c r="C663" s="60">
        <f t="shared" si="200"/>
        <v>660</v>
      </c>
      <c r="D663" s="60">
        <f t="shared" si="203"/>
        <v>29.998170000000002</v>
      </c>
      <c r="E663" s="60">
        <v>13.41</v>
      </c>
      <c r="F663" s="89">
        <f>($C$4/E663)+F662</f>
        <v>82.205515286363919</v>
      </c>
      <c r="G663" s="60">
        <v>7000</v>
      </c>
      <c r="H663" s="60">
        <v>3</v>
      </c>
      <c r="I663" s="89">
        <f>E663-E662</f>
        <v>0</v>
      </c>
      <c r="J663" s="60">
        <f>(0.5*VEHICLE!$C$71*VEHICLE!$C$28*VEHICLE!$C$27*'Drive Cycle'!E663^2)</f>
        <v>159.97581505520998</v>
      </c>
      <c r="K663" s="60">
        <f>IF(A663=1,VEHICLE!$S$5,IF(A663=2,VEHICLE!$Q$5,IF(A663=3,VEHICLE!$R$5,IF(A663=4,VEHICLE!$P$5,1))))</f>
        <v>556.55073000000004</v>
      </c>
      <c r="L663" s="60">
        <v>0</v>
      </c>
      <c r="M663" s="60">
        <f t="shared" si="211"/>
        <v>0</v>
      </c>
      <c r="N663" s="60">
        <f t="shared" si="204"/>
        <v>0</v>
      </c>
      <c r="O663" s="60">
        <f t="shared" si="205"/>
        <v>0</v>
      </c>
      <c r="P663" s="60">
        <f t="shared" si="206"/>
        <v>716.52654505521002</v>
      </c>
      <c r="Q663" s="60">
        <f>IF(H663=1,I663*VEHICLE!$C$69,IF(H663=2,VEHICLE!$C$70*I663,IF(H663=3,VEHICLE!$C$71*I663,0)))</f>
        <v>0</v>
      </c>
      <c r="R663" s="60">
        <f>(J663+K663+O663+Q663)</f>
        <v>716.52654505521002</v>
      </c>
      <c r="S663" s="60">
        <f t="shared" si="207"/>
        <v>716.52654505521002</v>
      </c>
      <c r="T663" s="60">
        <f>ABS((R663)/((2*PI()*G663)/60))</f>
        <v>0.97747492716080864</v>
      </c>
      <c r="U663" s="60">
        <f t="shared" si="208"/>
        <v>1</v>
      </c>
      <c r="V663" s="60">
        <f>INDEX(BSFC!$D$4:$AD$26,MATCH(U663,BSFC!$B$4:$B$26,0),MATCH(G663,BSFC!$D$2:$AD$2,0))</f>
        <v>920.25590927999997</v>
      </c>
      <c r="W663" s="60">
        <f t="shared" si="212"/>
        <v>0.18316327423417753</v>
      </c>
      <c r="X663" s="60">
        <f t="shared" si="209"/>
        <v>0.18316327423417753</v>
      </c>
      <c r="Y663" s="60">
        <f t="shared" si="210"/>
        <v>0.56597451738360849</v>
      </c>
      <c r="Z663" s="79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x14ac:dyDescent="0.3">
      <c r="A664" s="55">
        <v>3</v>
      </c>
      <c r="B664" s="60" t="s">
        <v>111</v>
      </c>
      <c r="C664" s="60">
        <f t="shared" si="200"/>
        <v>661</v>
      </c>
      <c r="D664" s="60">
        <f t="shared" si="203"/>
        <v>29.998170000000002</v>
      </c>
      <c r="E664" s="60">
        <v>13.41</v>
      </c>
      <c r="F664" s="89">
        <f>($C$4/E664)+F663</f>
        <v>82.280086501874734</v>
      </c>
      <c r="G664" s="60">
        <v>7000</v>
      </c>
      <c r="H664" s="60">
        <v>3</v>
      </c>
      <c r="I664" s="89">
        <f>E664-E663</f>
        <v>0</v>
      </c>
      <c r="J664" s="60">
        <f>(0.5*VEHICLE!$C$71*VEHICLE!$C$28*VEHICLE!$C$27*'Drive Cycle'!E664^2)</f>
        <v>159.97581505520998</v>
      </c>
      <c r="K664" s="60">
        <f>IF(A664=1,VEHICLE!$S$5,IF(A664=2,VEHICLE!$Q$5,IF(A664=3,VEHICLE!$R$5,IF(A664=4,VEHICLE!$P$5,1))))</f>
        <v>556.55073000000004</v>
      </c>
      <c r="L664" s="60">
        <v>0</v>
      </c>
      <c r="M664" s="60">
        <f t="shared" si="211"/>
        <v>0</v>
      </c>
      <c r="N664" s="60">
        <f t="shared" si="204"/>
        <v>0</v>
      </c>
      <c r="O664" s="60">
        <f t="shared" si="205"/>
        <v>0</v>
      </c>
      <c r="P664" s="60">
        <f t="shared" si="206"/>
        <v>716.52654505521002</v>
      </c>
      <c r="Q664" s="60">
        <f>IF(H664=1,I664*VEHICLE!$C$69,IF(H664=2,VEHICLE!$C$70*I664,IF(H664=3,VEHICLE!$C$71*I664,0)))</f>
        <v>0</v>
      </c>
      <c r="R664" s="60">
        <f>(J664+K664+O664+Q664)</f>
        <v>716.52654505521002</v>
      </c>
      <c r="S664" s="60">
        <f t="shared" si="207"/>
        <v>716.52654505521002</v>
      </c>
      <c r="T664" s="60">
        <f>ABS((R664)/((2*PI()*G664)/60))</f>
        <v>0.97747492716080864</v>
      </c>
      <c r="U664" s="60">
        <f t="shared" si="208"/>
        <v>1</v>
      </c>
      <c r="V664" s="60">
        <f>INDEX(BSFC!$D$4:$AD$26,MATCH(U664,BSFC!$B$4:$B$26,0),MATCH(G664,BSFC!$D$2:$AD$2,0))</f>
        <v>920.25590927999997</v>
      </c>
      <c r="W664" s="60">
        <f t="shared" si="212"/>
        <v>0.18316327423417753</v>
      </c>
      <c r="X664" s="60">
        <f t="shared" si="209"/>
        <v>0.18316327423417753</v>
      </c>
      <c r="Y664" s="60">
        <f t="shared" si="210"/>
        <v>0.56597451738360849</v>
      </c>
      <c r="Z664" s="79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x14ac:dyDescent="0.3">
      <c r="A665" s="55">
        <v>3</v>
      </c>
      <c r="B665" s="60" t="s">
        <v>111</v>
      </c>
      <c r="C665" s="60">
        <f t="shared" si="200"/>
        <v>662</v>
      </c>
      <c r="D665" s="60">
        <f t="shared" si="203"/>
        <v>29.998170000000002</v>
      </c>
      <c r="E665" s="60">
        <v>13.41</v>
      </c>
      <c r="F665" s="89">
        <f>($C$4/E665)+F664</f>
        <v>82.35465771738555</v>
      </c>
      <c r="G665" s="60">
        <v>7000</v>
      </c>
      <c r="H665" s="60">
        <v>3</v>
      </c>
      <c r="I665" s="89">
        <f>E665-E664</f>
        <v>0</v>
      </c>
      <c r="J665" s="60">
        <f>(0.5*VEHICLE!$C$71*VEHICLE!$C$28*VEHICLE!$C$27*'Drive Cycle'!E665^2)</f>
        <v>159.97581505520998</v>
      </c>
      <c r="K665" s="60">
        <f>IF(A665=1,VEHICLE!$S$5,IF(A665=2,VEHICLE!$Q$5,IF(A665=3,VEHICLE!$R$5,IF(A665=4,VEHICLE!$P$5,1))))</f>
        <v>556.55073000000004</v>
      </c>
      <c r="L665" s="60">
        <v>0</v>
      </c>
      <c r="M665" s="60">
        <f t="shared" si="211"/>
        <v>0</v>
      </c>
      <c r="N665" s="60">
        <f t="shared" si="204"/>
        <v>0</v>
      </c>
      <c r="O665" s="60">
        <f t="shared" si="205"/>
        <v>0</v>
      </c>
      <c r="P665" s="60">
        <f t="shared" si="206"/>
        <v>716.52654505521002</v>
      </c>
      <c r="Q665" s="60">
        <f>IF(H665=1,I665*VEHICLE!$C$69,IF(H665=2,VEHICLE!$C$70*I665,IF(H665=3,VEHICLE!$C$71*I665,0)))</f>
        <v>0</v>
      </c>
      <c r="R665" s="60">
        <f>(J665+K665+O665+Q665)</f>
        <v>716.52654505521002</v>
      </c>
      <c r="S665" s="60">
        <f t="shared" si="207"/>
        <v>716.52654505521002</v>
      </c>
      <c r="T665" s="60">
        <f>ABS((R665)/((2*PI()*G665)/60))</f>
        <v>0.97747492716080864</v>
      </c>
      <c r="U665" s="60">
        <f t="shared" si="208"/>
        <v>1</v>
      </c>
      <c r="V665" s="60">
        <f>INDEX(BSFC!$D$4:$AD$26,MATCH(U665,BSFC!$B$4:$B$26,0),MATCH(G665,BSFC!$D$2:$AD$2,0))</f>
        <v>920.25590927999997</v>
      </c>
      <c r="W665" s="60">
        <f t="shared" si="212"/>
        <v>0.18316327423417753</v>
      </c>
      <c r="X665" s="60">
        <f t="shared" si="209"/>
        <v>0.18316327423417753</v>
      </c>
      <c r="Y665" s="60">
        <f t="shared" si="210"/>
        <v>0.56597451738360849</v>
      </c>
      <c r="Z665" s="79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x14ac:dyDescent="0.3">
      <c r="A666" s="55">
        <v>3</v>
      </c>
      <c r="B666" s="60" t="s">
        <v>111</v>
      </c>
      <c r="C666" s="60">
        <f t="shared" si="200"/>
        <v>663</v>
      </c>
      <c r="D666" s="60">
        <f t="shared" si="203"/>
        <v>29.998170000000002</v>
      </c>
      <c r="E666" s="60">
        <v>13.41</v>
      </c>
      <c r="F666" s="89">
        <f>($C$4/E666)+F665</f>
        <v>82.429228932896365</v>
      </c>
      <c r="G666" s="60">
        <v>7000</v>
      </c>
      <c r="H666" s="60">
        <v>3</v>
      </c>
      <c r="I666" s="89">
        <f>E666-E665</f>
        <v>0</v>
      </c>
      <c r="J666" s="60">
        <f>(0.5*VEHICLE!$C$71*VEHICLE!$C$28*VEHICLE!$C$27*'Drive Cycle'!E666^2)</f>
        <v>159.97581505520998</v>
      </c>
      <c r="K666" s="60">
        <f>IF(A666=1,VEHICLE!$S$5,IF(A666=2,VEHICLE!$Q$5,IF(A666=3,VEHICLE!$R$5,IF(A666=4,VEHICLE!$P$5,1))))</f>
        <v>556.55073000000004</v>
      </c>
      <c r="L666" s="60">
        <v>0</v>
      </c>
      <c r="M666" s="60">
        <f t="shared" si="211"/>
        <v>0</v>
      </c>
      <c r="N666" s="60">
        <f t="shared" si="204"/>
        <v>0</v>
      </c>
      <c r="O666" s="60">
        <f t="shared" si="205"/>
        <v>0</v>
      </c>
      <c r="P666" s="60">
        <f t="shared" si="206"/>
        <v>716.52654505521002</v>
      </c>
      <c r="Q666" s="60">
        <f>IF(H666=1,I666*VEHICLE!$C$69,IF(H666=2,VEHICLE!$C$70*I666,IF(H666=3,VEHICLE!$C$71*I666,0)))</f>
        <v>0</v>
      </c>
      <c r="R666" s="60">
        <f>(J666+K666+O666+Q666)</f>
        <v>716.52654505521002</v>
      </c>
      <c r="S666" s="60">
        <f t="shared" si="207"/>
        <v>716.52654505521002</v>
      </c>
      <c r="T666" s="60">
        <f>ABS((R666)/((2*PI()*G666)/60))</f>
        <v>0.97747492716080864</v>
      </c>
      <c r="U666" s="60">
        <f t="shared" si="208"/>
        <v>1</v>
      </c>
      <c r="V666" s="60">
        <f>INDEX(BSFC!$D$4:$AD$26,MATCH(U666,BSFC!$B$4:$B$26,0),MATCH(G666,BSFC!$D$2:$AD$2,0))</f>
        <v>920.25590927999997</v>
      </c>
      <c r="W666" s="60">
        <f t="shared" si="212"/>
        <v>0.18316327423417753</v>
      </c>
      <c r="X666" s="60">
        <f t="shared" si="209"/>
        <v>0.18316327423417753</v>
      </c>
      <c r="Y666" s="60">
        <f t="shared" si="210"/>
        <v>0.56597451738360849</v>
      </c>
      <c r="Z666" s="79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x14ac:dyDescent="0.3">
      <c r="A667" s="55">
        <v>3</v>
      </c>
      <c r="B667" s="60" t="s">
        <v>111</v>
      </c>
      <c r="C667" s="60">
        <f t="shared" si="200"/>
        <v>664</v>
      </c>
      <c r="D667" s="60">
        <f t="shared" si="203"/>
        <v>29.998170000000002</v>
      </c>
      <c r="E667" s="60">
        <v>13.41</v>
      </c>
      <c r="F667" s="89">
        <f>($C$4/E667)+F666</f>
        <v>82.50380014840718</v>
      </c>
      <c r="G667" s="60">
        <v>7000</v>
      </c>
      <c r="H667" s="60">
        <v>3</v>
      </c>
      <c r="I667" s="89">
        <f>E667-E666</f>
        <v>0</v>
      </c>
      <c r="J667" s="60">
        <f>(0.5*VEHICLE!$C$71*VEHICLE!$C$28*VEHICLE!$C$27*'Drive Cycle'!E667^2)</f>
        <v>159.97581505520998</v>
      </c>
      <c r="K667" s="60">
        <f>IF(A667=1,VEHICLE!$S$5,IF(A667=2,VEHICLE!$Q$5,IF(A667=3,VEHICLE!$R$5,IF(A667=4,VEHICLE!$P$5,1))))</f>
        <v>556.55073000000004</v>
      </c>
      <c r="L667" s="60">
        <v>0</v>
      </c>
      <c r="M667" s="60">
        <f t="shared" si="211"/>
        <v>0</v>
      </c>
      <c r="N667" s="60">
        <f t="shared" si="204"/>
        <v>0</v>
      </c>
      <c r="O667" s="60">
        <f t="shared" si="205"/>
        <v>0</v>
      </c>
      <c r="P667" s="60">
        <f t="shared" si="206"/>
        <v>716.52654505521002</v>
      </c>
      <c r="Q667" s="60">
        <f>IF(H667=1,I667*VEHICLE!$C$69,IF(H667=2,VEHICLE!$C$70*I667,IF(H667=3,VEHICLE!$C$71*I667,0)))</f>
        <v>0</v>
      </c>
      <c r="R667" s="60">
        <f>(J667+K667+O667+Q667)</f>
        <v>716.52654505521002</v>
      </c>
      <c r="S667" s="60">
        <f t="shared" si="207"/>
        <v>716.52654505521002</v>
      </c>
      <c r="T667" s="60">
        <f>ABS((R667)/((2*PI()*G667)/60))</f>
        <v>0.97747492716080864</v>
      </c>
      <c r="U667" s="60">
        <f t="shared" si="208"/>
        <v>1</v>
      </c>
      <c r="V667" s="60">
        <f>INDEX(BSFC!$D$4:$AD$26,MATCH(U667,BSFC!$B$4:$B$26,0),MATCH(G667,BSFC!$D$2:$AD$2,0))</f>
        <v>920.25590927999997</v>
      </c>
      <c r="W667" s="60">
        <f t="shared" si="212"/>
        <v>0.18316327423417753</v>
      </c>
      <c r="X667" s="60">
        <f t="shared" si="209"/>
        <v>0.18316327423417753</v>
      </c>
      <c r="Y667" s="60">
        <f t="shared" si="210"/>
        <v>0.56597451738360849</v>
      </c>
      <c r="Z667" s="79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x14ac:dyDescent="0.3">
      <c r="A668" s="55">
        <v>3</v>
      </c>
      <c r="B668" s="60" t="s">
        <v>111</v>
      </c>
      <c r="C668" s="60">
        <f t="shared" si="200"/>
        <v>665</v>
      </c>
      <c r="D668" s="60">
        <f t="shared" si="203"/>
        <v>29.998170000000002</v>
      </c>
      <c r="E668" s="60">
        <v>13.41</v>
      </c>
      <c r="F668" s="89">
        <f>($C$4/E668)+F667</f>
        <v>82.578371363917995</v>
      </c>
      <c r="G668" s="60">
        <v>7000</v>
      </c>
      <c r="H668" s="60">
        <v>3</v>
      </c>
      <c r="I668" s="89">
        <f>E668-E667</f>
        <v>0</v>
      </c>
      <c r="J668" s="60">
        <f>(0.5*VEHICLE!$C$71*VEHICLE!$C$28*VEHICLE!$C$27*'Drive Cycle'!E668^2)</f>
        <v>159.97581505520998</v>
      </c>
      <c r="K668" s="60">
        <f>IF(A668=1,VEHICLE!$S$5,IF(A668=2,VEHICLE!$Q$5,IF(A668=3,VEHICLE!$R$5,IF(A668=4,VEHICLE!$P$5,1))))</f>
        <v>556.55073000000004</v>
      </c>
      <c r="L668" s="60">
        <v>0</v>
      </c>
      <c r="M668" s="60">
        <f t="shared" si="211"/>
        <v>0</v>
      </c>
      <c r="N668" s="60">
        <f t="shared" si="204"/>
        <v>0</v>
      </c>
      <c r="O668" s="60">
        <f t="shared" si="205"/>
        <v>0</v>
      </c>
      <c r="P668" s="60">
        <f t="shared" si="206"/>
        <v>716.52654505521002</v>
      </c>
      <c r="Q668" s="60">
        <f>IF(H668=1,I668*VEHICLE!$C$69,IF(H668=2,VEHICLE!$C$70*I668,IF(H668=3,VEHICLE!$C$71*I668,0)))</f>
        <v>0</v>
      </c>
      <c r="R668" s="60">
        <f>(J668+K668+O668+Q668)</f>
        <v>716.52654505521002</v>
      </c>
      <c r="S668" s="60">
        <f t="shared" si="207"/>
        <v>716.52654505521002</v>
      </c>
      <c r="T668" s="60">
        <f>ABS((R668)/((2*PI()*G668)/60))</f>
        <v>0.97747492716080864</v>
      </c>
      <c r="U668" s="60">
        <f t="shared" si="208"/>
        <v>1</v>
      </c>
      <c r="V668" s="60">
        <f>INDEX(BSFC!$D$4:$AD$26,MATCH(U668,BSFC!$B$4:$B$26,0),MATCH(G668,BSFC!$D$2:$AD$2,0))</f>
        <v>920.25590927999997</v>
      </c>
      <c r="W668" s="60">
        <f t="shared" si="212"/>
        <v>0.18316327423417753</v>
      </c>
      <c r="X668" s="60">
        <f t="shared" si="209"/>
        <v>0.18316327423417753</v>
      </c>
      <c r="Y668" s="60">
        <f t="shared" si="210"/>
        <v>0.56597451738360849</v>
      </c>
      <c r="Z668" s="79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x14ac:dyDescent="0.3">
      <c r="A669" s="55">
        <v>3</v>
      </c>
      <c r="B669" s="60" t="s">
        <v>111</v>
      </c>
      <c r="C669" s="60">
        <f t="shared" si="200"/>
        <v>666</v>
      </c>
      <c r="D669" s="60">
        <f t="shared" si="203"/>
        <v>29.998170000000002</v>
      </c>
      <c r="E669" s="60">
        <v>13.41</v>
      </c>
      <c r="F669" s="89">
        <f>($C$4/E669)+F668</f>
        <v>82.65294257942881</v>
      </c>
      <c r="G669" s="60">
        <v>7000</v>
      </c>
      <c r="H669" s="60">
        <v>3</v>
      </c>
      <c r="I669" s="89">
        <f>E669-E668</f>
        <v>0</v>
      </c>
      <c r="J669" s="60">
        <f>(0.5*VEHICLE!$C$71*VEHICLE!$C$28*VEHICLE!$C$27*'Drive Cycle'!E669^2)</f>
        <v>159.97581505520998</v>
      </c>
      <c r="K669" s="60">
        <f>IF(A669=1,VEHICLE!$S$5,IF(A669=2,VEHICLE!$Q$5,IF(A669=3,VEHICLE!$R$5,IF(A669=4,VEHICLE!$P$5,1))))</f>
        <v>556.55073000000004</v>
      </c>
      <c r="L669" s="60">
        <v>0</v>
      </c>
      <c r="M669" s="60">
        <f t="shared" si="211"/>
        <v>0</v>
      </c>
      <c r="N669" s="60">
        <f t="shared" si="204"/>
        <v>0</v>
      </c>
      <c r="O669" s="60">
        <f t="shared" si="205"/>
        <v>0</v>
      </c>
      <c r="P669" s="60">
        <f t="shared" si="206"/>
        <v>716.52654505521002</v>
      </c>
      <c r="Q669" s="60">
        <f>IF(H669=1,I669*VEHICLE!$C$69,IF(H669=2,VEHICLE!$C$70*I669,IF(H669=3,VEHICLE!$C$71*I669,0)))</f>
        <v>0</v>
      </c>
      <c r="R669" s="60">
        <f>(J669+K669+O669+Q669)</f>
        <v>716.52654505521002</v>
      </c>
      <c r="S669" s="60">
        <f t="shared" si="207"/>
        <v>716.52654505521002</v>
      </c>
      <c r="T669" s="60">
        <f>ABS((R669)/((2*PI()*G669)/60))</f>
        <v>0.97747492716080864</v>
      </c>
      <c r="U669" s="60">
        <f t="shared" si="208"/>
        <v>1</v>
      </c>
      <c r="V669" s="60">
        <f>INDEX(BSFC!$D$4:$AD$26,MATCH(U669,BSFC!$B$4:$B$26,0),MATCH(G669,BSFC!$D$2:$AD$2,0))</f>
        <v>920.25590927999997</v>
      </c>
      <c r="W669" s="60">
        <f t="shared" si="212"/>
        <v>0.18316327423417753</v>
      </c>
      <c r="X669" s="60">
        <f t="shared" si="209"/>
        <v>0.18316327423417753</v>
      </c>
      <c r="Y669" s="60">
        <f t="shared" si="210"/>
        <v>0.56597451738360849</v>
      </c>
      <c r="Z669" s="79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x14ac:dyDescent="0.3">
      <c r="A670" s="55">
        <v>3</v>
      </c>
      <c r="B670" s="60" t="s">
        <v>111</v>
      </c>
      <c r="C670" s="60">
        <f t="shared" si="200"/>
        <v>667</v>
      </c>
      <c r="D670" s="60">
        <f t="shared" si="203"/>
        <v>29.998170000000002</v>
      </c>
      <c r="E670" s="60">
        <v>13.41</v>
      </c>
      <c r="F670" s="89">
        <f>($C$4/E670)+F669</f>
        <v>82.727513794939625</v>
      </c>
      <c r="G670" s="60">
        <v>7000</v>
      </c>
      <c r="H670" s="60">
        <v>3</v>
      </c>
      <c r="I670" s="89">
        <f>E670-E669</f>
        <v>0</v>
      </c>
      <c r="J670" s="60">
        <f>(0.5*VEHICLE!$C$71*VEHICLE!$C$28*VEHICLE!$C$27*'Drive Cycle'!E670^2)</f>
        <v>159.97581505520998</v>
      </c>
      <c r="K670" s="60">
        <f>IF(A670=1,VEHICLE!$S$5,IF(A670=2,VEHICLE!$Q$5,IF(A670=3,VEHICLE!$R$5,IF(A670=4,VEHICLE!$P$5,1))))</f>
        <v>556.55073000000004</v>
      </c>
      <c r="L670" s="60">
        <v>0</v>
      </c>
      <c r="M670" s="60">
        <f t="shared" si="211"/>
        <v>0</v>
      </c>
      <c r="N670" s="60">
        <f t="shared" si="204"/>
        <v>0</v>
      </c>
      <c r="O670" s="60">
        <f t="shared" si="205"/>
        <v>0</v>
      </c>
      <c r="P670" s="60">
        <f t="shared" si="206"/>
        <v>716.52654505521002</v>
      </c>
      <c r="Q670" s="60">
        <f>IF(H670=1,I670*VEHICLE!$C$69,IF(H670=2,VEHICLE!$C$70*I670,IF(H670=3,VEHICLE!$C$71*I670,0)))</f>
        <v>0</v>
      </c>
      <c r="R670" s="60">
        <f>(J670+K670+O670+Q670)</f>
        <v>716.52654505521002</v>
      </c>
      <c r="S670" s="60">
        <f t="shared" si="207"/>
        <v>716.52654505521002</v>
      </c>
      <c r="T670" s="60">
        <f>ABS((R670)/((2*PI()*G670)/60))</f>
        <v>0.97747492716080864</v>
      </c>
      <c r="U670" s="60">
        <f t="shared" si="208"/>
        <v>1</v>
      </c>
      <c r="V670" s="60">
        <f>INDEX(BSFC!$D$4:$AD$26,MATCH(U670,BSFC!$B$4:$B$26,0),MATCH(G670,BSFC!$D$2:$AD$2,0))</f>
        <v>920.25590927999997</v>
      </c>
      <c r="W670" s="60">
        <f t="shared" si="212"/>
        <v>0.18316327423417753</v>
      </c>
      <c r="X670" s="60">
        <f t="shared" si="209"/>
        <v>0.18316327423417753</v>
      </c>
      <c r="Y670" s="60">
        <f t="shared" si="210"/>
        <v>0.56597451738360849</v>
      </c>
      <c r="Z670" s="79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x14ac:dyDescent="0.3">
      <c r="A671" s="55">
        <v>3</v>
      </c>
      <c r="B671" s="60" t="s">
        <v>111</v>
      </c>
      <c r="C671" s="60">
        <f t="shared" si="200"/>
        <v>668</v>
      </c>
      <c r="D671" s="60">
        <f t="shared" si="203"/>
        <v>29.998170000000002</v>
      </c>
      <c r="E671" s="60">
        <v>13.41</v>
      </c>
      <c r="F671" s="89">
        <f>($C$4/E671)+F670</f>
        <v>82.80208501045044</v>
      </c>
      <c r="G671" s="60">
        <v>7000</v>
      </c>
      <c r="H671" s="60">
        <v>3</v>
      </c>
      <c r="I671" s="89">
        <f>E671-E670</f>
        <v>0</v>
      </c>
      <c r="J671" s="60">
        <f>(0.5*VEHICLE!$C$71*VEHICLE!$C$28*VEHICLE!$C$27*'Drive Cycle'!E671^2)</f>
        <v>159.97581505520998</v>
      </c>
      <c r="K671" s="60">
        <f>IF(A671=1,VEHICLE!$S$5,IF(A671=2,VEHICLE!$Q$5,IF(A671=3,VEHICLE!$R$5,IF(A671=4,VEHICLE!$P$5,1))))</f>
        <v>556.55073000000004</v>
      </c>
      <c r="L671" s="60">
        <v>0</v>
      </c>
      <c r="M671" s="60">
        <f t="shared" si="211"/>
        <v>0</v>
      </c>
      <c r="N671" s="60">
        <f t="shared" si="204"/>
        <v>0</v>
      </c>
      <c r="O671" s="60">
        <f t="shared" si="205"/>
        <v>0</v>
      </c>
      <c r="P671" s="60">
        <f t="shared" si="206"/>
        <v>716.52654505521002</v>
      </c>
      <c r="Q671" s="60">
        <f>IF(H671=1,I671*VEHICLE!$C$69,IF(H671=2,VEHICLE!$C$70*I671,IF(H671=3,VEHICLE!$C$71*I671,0)))</f>
        <v>0</v>
      </c>
      <c r="R671" s="60">
        <f>(J671+K671+O671+Q671)</f>
        <v>716.52654505521002</v>
      </c>
      <c r="S671" s="60">
        <f t="shared" si="207"/>
        <v>716.52654505521002</v>
      </c>
      <c r="T671" s="60">
        <f>ABS((R671)/((2*PI()*G671)/60))</f>
        <v>0.97747492716080864</v>
      </c>
      <c r="U671" s="60">
        <f t="shared" si="208"/>
        <v>1</v>
      </c>
      <c r="V671" s="60">
        <f>INDEX(BSFC!$D$4:$AD$26,MATCH(U671,BSFC!$B$4:$B$26,0),MATCH(G671,BSFC!$D$2:$AD$2,0))</f>
        <v>920.25590927999997</v>
      </c>
      <c r="W671" s="60">
        <f t="shared" si="212"/>
        <v>0.18316327423417753</v>
      </c>
      <c r="X671" s="60">
        <f t="shared" si="209"/>
        <v>0.18316327423417753</v>
      </c>
      <c r="Y671" s="60">
        <f t="shared" si="210"/>
        <v>0.56597451738360849</v>
      </c>
      <c r="Z671" s="79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x14ac:dyDescent="0.3">
      <c r="A672" s="55">
        <v>3</v>
      </c>
      <c r="B672" s="60" t="s">
        <v>111</v>
      </c>
      <c r="C672" s="60">
        <f t="shared" si="200"/>
        <v>669</v>
      </c>
      <c r="D672" s="60">
        <f t="shared" si="203"/>
        <v>29.998170000000002</v>
      </c>
      <c r="E672" s="60">
        <v>13.41</v>
      </c>
      <c r="F672" s="89">
        <f>($C$4/E672)+F671</f>
        <v>82.876656225961256</v>
      </c>
      <c r="G672" s="60">
        <v>7000</v>
      </c>
      <c r="H672" s="60">
        <v>3</v>
      </c>
      <c r="I672" s="89">
        <f>E672-E671</f>
        <v>0</v>
      </c>
      <c r="J672" s="60">
        <f>(0.5*VEHICLE!$C$71*VEHICLE!$C$28*VEHICLE!$C$27*'Drive Cycle'!E672^2)</f>
        <v>159.97581505520998</v>
      </c>
      <c r="K672" s="60">
        <f>IF(A672=1,VEHICLE!$S$5,IF(A672=2,VEHICLE!$Q$5,IF(A672=3,VEHICLE!$R$5,IF(A672=4,VEHICLE!$P$5,1))))</f>
        <v>556.55073000000004</v>
      </c>
      <c r="L672" s="60">
        <v>0</v>
      </c>
      <c r="M672" s="60">
        <f t="shared" si="211"/>
        <v>0</v>
      </c>
      <c r="N672" s="60">
        <f t="shared" si="204"/>
        <v>0</v>
      </c>
      <c r="O672" s="60">
        <f t="shared" si="205"/>
        <v>0</v>
      </c>
      <c r="P672" s="60">
        <f t="shared" si="206"/>
        <v>716.52654505521002</v>
      </c>
      <c r="Q672" s="60">
        <f>IF(H672=1,I672*VEHICLE!$C$69,IF(H672=2,VEHICLE!$C$70*I672,IF(H672=3,VEHICLE!$C$71*I672,0)))</f>
        <v>0</v>
      </c>
      <c r="R672" s="60">
        <f>(J672+K672+O672+Q672)</f>
        <v>716.52654505521002</v>
      </c>
      <c r="S672" s="60">
        <f t="shared" si="207"/>
        <v>716.52654505521002</v>
      </c>
      <c r="T672" s="60">
        <f>ABS((R672)/((2*PI()*G672)/60))</f>
        <v>0.97747492716080864</v>
      </c>
      <c r="U672" s="60">
        <f t="shared" si="208"/>
        <v>1</v>
      </c>
      <c r="V672" s="60">
        <f>INDEX(BSFC!$D$4:$AD$26,MATCH(U672,BSFC!$B$4:$B$26,0),MATCH(G672,BSFC!$D$2:$AD$2,0))</f>
        <v>920.25590927999997</v>
      </c>
      <c r="W672" s="60">
        <f t="shared" si="212"/>
        <v>0.18316327423417753</v>
      </c>
      <c r="X672" s="60">
        <f t="shared" si="209"/>
        <v>0.18316327423417753</v>
      </c>
      <c r="Y672" s="60">
        <f t="shared" si="210"/>
        <v>0.56597451738360849</v>
      </c>
      <c r="Z672" s="79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x14ac:dyDescent="0.3">
      <c r="A673" s="55">
        <v>3</v>
      </c>
      <c r="B673" s="60" t="s">
        <v>111</v>
      </c>
      <c r="C673" s="60">
        <f t="shared" si="200"/>
        <v>670</v>
      </c>
      <c r="D673" s="60">
        <f t="shared" si="203"/>
        <v>29.998170000000002</v>
      </c>
      <c r="E673" s="60">
        <v>13.41</v>
      </c>
      <c r="F673" s="89">
        <f>($C$4/E673)+F672</f>
        <v>82.951227441472071</v>
      </c>
      <c r="G673" s="60">
        <v>7000</v>
      </c>
      <c r="H673" s="60">
        <v>3</v>
      </c>
      <c r="I673" s="89">
        <f>E673-E672</f>
        <v>0</v>
      </c>
      <c r="J673" s="60">
        <f>(0.5*VEHICLE!$C$71*VEHICLE!$C$28*VEHICLE!$C$27*'Drive Cycle'!E673^2)</f>
        <v>159.97581505520998</v>
      </c>
      <c r="K673" s="60">
        <f>IF(A673=1,VEHICLE!$S$5,IF(A673=2,VEHICLE!$Q$5,IF(A673=3,VEHICLE!$R$5,IF(A673=4,VEHICLE!$P$5,1))))</f>
        <v>556.55073000000004</v>
      </c>
      <c r="L673" s="60">
        <v>0</v>
      </c>
      <c r="M673" s="60">
        <f t="shared" si="211"/>
        <v>0</v>
      </c>
      <c r="N673" s="60">
        <f t="shared" si="204"/>
        <v>0</v>
      </c>
      <c r="O673" s="60">
        <f t="shared" si="205"/>
        <v>0</v>
      </c>
      <c r="P673" s="60">
        <f t="shared" si="206"/>
        <v>716.52654505521002</v>
      </c>
      <c r="Q673" s="60">
        <f>IF(H673=1,I673*VEHICLE!$C$69,IF(H673=2,VEHICLE!$C$70*I673,IF(H673=3,VEHICLE!$C$71*I673,0)))</f>
        <v>0</v>
      </c>
      <c r="R673" s="60">
        <f>(J673+K673+O673+Q673)</f>
        <v>716.52654505521002</v>
      </c>
      <c r="S673" s="60">
        <f t="shared" si="207"/>
        <v>716.52654505521002</v>
      </c>
      <c r="T673" s="60">
        <f>ABS((R673)/((2*PI()*G673)/60))</f>
        <v>0.97747492716080864</v>
      </c>
      <c r="U673" s="60">
        <f t="shared" si="208"/>
        <v>1</v>
      </c>
      <c r="V673" s="60">
        <f>INDEX(BSFC!$D$4:$AD$26,MATCH(U673,BSFC!$B$4:$B$26,0),MATCH(G673,BSFC!$D$2:$AD$2,0))</f>
        <v>920.25590927999997</v>
      </c>
      <c r="W673" s="60">
        <f t="shared" si="212"/>
        <v>0.18316327423417753</v>
      </c>
      <c r="X673" s="60">
        <f t="shared" si="209"/>
        <v>0.18316327423417753</v>
      </c>
      <c r="Y673" s="60">
        <f t="shared" si="210"/>
        <v>0.56597451738360849</v>
      </c>
      <c r="Z673" s="79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x14ac:dyDescent="0.3">
      <c r="A674" s="55">
        <v>3</v>
      </c>
      <c r="B674" s="60" t="s">
        <v>111</v>
      </c>
      <c r="C674" s="60">
        <f t="shared" si="200"/>
        <v>671</v>
      </c>
      <c r="D674" s="60">
        <f t="shared" si="203"/>
        <v>29.998170000000002</v>
      </c>
      <c r="E674" s="60">
        <v>13.41</v>
      </c>
      <c r="F674" s="89">
        <f>($C$4/E674)+F673</f>
        <v>83.025798656982886</v>
      </c>
      <c r="G674" s="60">
        <v>7000</v>
      </c>
      <c r="H674" s="60">
        <v>3</v>
      </c>
      <c r="I674" s="89">
        <f>E674-E673</f>
        <v>0</v>
      </c>
      <c r="J674" s="60">
        <f>(0.5*VEHICLE!$C$71*VEHICLE!$C$28*VEHICLE!$C$27*'Drive Cycle'!E674^2)</f>
        <v>159.97581505520998</v>
      </c>
      <c r="K674" s="60">
        <f>IF(A674=1,VEHICLE!$S$5,IF(A674=2,VEHICLE!$Q$5,IF(A674=3,VEHICLE!$R$5,IF(A674=4,VEHICLE!$P$5,1))))</f>
        <v>556.55073000000004</v>
      </c>
      <c r="L674" s="60">
        <v>0</v>
      </c>
      <c r="M674" s="60">
        <f t="shared" si="211"/>
        <v>0</v>
      </c>
      <c r="N674" s="60">
        <f t="shared" si="204"/>
        <v>0</v>
      </c>
      <c r="O674" s="60">
        <f t="shared" si="205"/>
        <v>0</v>
      </c>
      <c r="P674" s="60">
        <f t="shared" si="206"/>
        <v>716.52654505521002</v>
      </c>
      <c r="Q674" s="60">
        <f>IF(H674=1,I674*VEHICLE!$C$69,IF(H674=2,VEHICLE!$C$70*I674,IF(H674=3,VEHICLE!$C$71*I674,0)))</f>
        <v>0</v>
      </c>
      <c r="R674" s="60">
        <f>(J674+K674+O674+Q674)</f>
        <v>716.52654505521002</v>
      </c>
      <c r="S674" s="60">
        <f t="shared" si="207"/>
        <v>716.52654505521002</v>
      </c>
      <c r="T674" s="60">
        <f>ABS((R674)/((2*PI()*G674)/60))</f>
        <v>0.97747492716080864</v>
      </c>
      <c r="U674" s="60">
        <f t="shared" si="208"/>
        <v>1</v>
      </c>
      <c r="V674" s="60">
        <f>INDEX(BSFC!$D$4:$AD$26,MATCH(U674,BSFC!$B$4:$B$26,0),MATCH(G674,BSFC!$D$2:$AD$2,0))</f>
        <v>920.25590927999997</v>
      </c>
      <c r="W674" s="60">
        <f t="shared" si="212"/>
        <v>0.18316327423417753</v>
      </c>
      <c r="X674" s="60">
        <f t="shared" si="209"/>
        <v>0.18316327423417753</v>
      </c>
      <c r="Y674" s="60">
        <f t="shared" si="210"/>
        <v>0.56597451738360849</v>
      </c>
      <c r="Z674" s="79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x14ac:dyDescent="0.3">
      <c r="A675" s="55">
        <v>3</v>
      </c>
      <c r="B675" s="60" t="s">
        <v>111</v>
      </c>
      <c r="C675" s="60">
        <f t="shared" si="200"/>
        <v>672</v>
      </c>
      <c r="D675" s="60">
        <f t="shared" si="203"/>
        <v>29.998170000000002</v>
      </c>
      <c r="E675" s="60">
        <v>13.41</v>
      </c>
      <c r="F675" s="89">
        <f>($C$4/E675)+F674</f>
        <v>83.100369872493701</v>
      </c>
      <c r="G675" s="60">
        <v>7000</v>
      </c>
      <c r="H675" s="60">
        <v>3</v>
      </c>
      <c r="I675" s="89">
        <f>E675-E674</f>
        <v>0</v>
      </c>
      <c r="J675" s="60">
        <f>(0.5*VEHICLE!$C$71*VEHICLE!$C$28*VEHICLE!$C$27*'Drive Cycle'!E675^2)</f>
        <v>159.97581505520998</v>
      </c>
      <c r="K675" s="60">
        <f>IF(A675=1,VEHICLE!$S$5,IF(A675=2,VEHICLE!$Q$5,IF(A675=3,VEHICLE!$R$5,IF(A675=4,VEHICLE!$P$5,1))))</f>
        <v>556.55073000000004</v>
      </c>
      <c r="L675" s="60">
        <v>0</v>
      </c>
      <c r="M675" s="60">
        <f t="shared" si="211"/>
        <v>0</v>
      </c>
      <c r="N675" s="60">
        <f t="shared" si="204"/>
        <v>0</v>
      </c>
      <c r="O675" s="60">
        <f t="shared" si="205"/>
        <v>0</v>
      </c>
      <c r="P675" s="60">
        <f t="shared" si="206"/>
        <v>716.52654505521002</v>
      </c>
      <c r="Q675" s="60">
        <f>IF(H675=1,I675*VEHICLE!$C$69,IF(H675=2,VEHICLE!$C$70*I675,IF(H675=3,VEHICLE!$C$71*I675,0)))</f>
        <v>0</v>
      </c>
      <c r="R675" s="60">
        <f>(J675+K675+O675+Q675)</f>
        <v>716.52654505521002</v>
      </c>
      <c r="S675" s="60">
        <f t="shared" si="207"/>
        <v>716.52654505521002</v>
      </c>
      <c r="T675" s="60">
        <f>ABS((R675)/((2*PI()*G675)/60))</f>
        <v>0.97747492716080864</v>
      </c>
      <c r="U675" s="60">
        <f t="shared" si="208"/>
        <v>1</v>
      </c>
      <c r="V675" s="60">
        <f>INDEX(BSFC!$D$4:$AD$26,MATCH(U675,BSFC!$B$4:$B$26,0),MATCH(G675,BSFC!$D$2:$AD$2,0))</f>
        <v>920.25590927999997</v>
      </c>
      <c r="W675" s="60">
        <f t="shared" si="212"/>
        <v>0.18316327423417753</v>
      </c>
      <c r="X675" s="60">
        <f t="shared" si="209"/>
        <v>0.18316327423417753</v>
      </c>
      <c r="Y675" s="60">
        <f t="shared" si="210"/>
        <v>0.56597451738360849</v>
      </c>
      <c r="Z675" s="79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x14ac:dyDescent="0.3">
      <c r="A676" s="55">
        <v>3</v>
      </c>
      <c r="B676" s="60" t="s">
        <v>111</v>
      </c>
      <c r="C676" s="60">
        <f t="shared" si="200"/>
        <v>673</v>
      </c>
      <c r="D676" s="60">
        <f t="shared" si="203"/>
        <v>29.998170000000002</v>
      </c>
      <c r="E676" s="60">
        <v>13.41</v>
      </c>
      <c r="F676" s="89">
        <f>($C$4/E676)+F675</f>
        <v>83.174941088004516</v>
      </c>
      <c r="G676" s="60">
        <v>7000</v>
      </c>
      <c r="H676" s="60">
        <v>3</v>
      </c>
      <c r="I676" s="89">
        <f>E676-E675</f>
        <v>0</v>
      </c>
      <c r="J676" s="60">
        <f>(0.5*VEHICLE!$C$71*VEHICLE!$C$28*VEHICLE!$C$27*'Drive Cycle'!E676^2)</f>
        <v>159.97581505520998</v>
      </c>
      <c r="K676" s="60">
        <f>IF(A676=1,VEHICLE!$S$5,IF(A676=2,VEHICLE!$Q$5,IF(A676=3,VEHICLE!$R$5,IF(A676=4,VEHICLE!$P$5,1))))</f>
        <v>556.55073000000004</v>
      </c>
      <c r="L676" s="60">
        <v>0</v>
      </c>
      <c r="M676" s="60">
        <f t="shared" si="211"/>
        <v>0</v>
      </c>
      <c r="N676" s="60">
        <f t="shared" si="204"/>
        <v>0</v>
      </c>
      <c r="O676" s="60">
        <f t="shared" si="205"/>
        <v>0</v>
      </c>
      <c r="P676" s="60">
        <f t="shared" si="206"/>
        <v>716.52654505521002</v>
      </c>
      <c r="Q676" s="60">
        <f>IF(H676=1,I676*VEHICLE!$C$69,IF(H676=2,VEHICLE!$C$70*I676,IF(H676=3,VEHICLE!$C$71*I676,0)))</f>
        <v>0</v>
      </c>
      <c r="R676" s="60">
        <f>(J676+K676+O676+Q676)</f>
        <v>716.52654505521002</v>
      </c>
      <c r="S676" s="60">
        <f t="shared" si="207"/>
        <v>716.52654505521002</v>
      </c>
      <c r="T676" s="60">
        <f>ABS((R676)/((2*PI()*G676)/60))</f>
        <v>0.97747492716080864</v>
      </c>
      <c r="U676" s="60">
        <f t="shared" si="208"/>
        <v>1</v>
      </c>
      <c r="V676" s="60">
        <f>INDEX(BSFC!$D$4:$AD$26,MATCH(U676,BSFC!$B$4:$B$26,0),MATCH(G676,BSFC!$D$2:$AD$2,0))</f>
        <v>920.25590927999997</v>
      </c>
      <c r="W676" s="60">
        <f t="shared" si="212"/>
        <v>0.18316327423417753</v>
      </c>
      <c r="X676" s="60">
        <f t="shared" si="209"/>
        <v>0.18316327423417753</v>
      </c>
      <c r="Y676" s="60">
        <f t="shared" si="210"/>
        <v>0.56597451738360849</v>
      </c>
      <c r="Z676" s="79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x14ac:dyDescent="0.3">
      <c r="A677" s="55">
        <v>3</v>
      </c>
      <c r="B677" s="60" t="s">
        <v>111</v>
      </c>
      <c r="C677" s="60">
        <f t="shared" si="200"/>
        <v>674</v>
      </c>
      <c r="D677" s="60">
        <f t="shared" si="203"/>
        <v>29.998170000000002</v>
      </c>
      <c r="E677" s="60">
        <v>13.41</v>
      </c>
      <c r="F677" s="89">
        <f>($C$4/E677)+F676</f>
        <v>83.249512303515331</v>
      </c>
      <c r="G677" s="60">
        <v>7000</v>
      </c>
      <c r="H677" s="60">
        <v>3</v>
      </c>
      <c r="I677" s="89">
        <f>E677-E676</f>
        <v>0</v>
      </c>
      <c r="J677" s="60">
        <f>(0.5*VEHICLE!$C$71*VEHICLE!$C$28*VEHICLE!$C$27*'Drive Cycle'!E677^2)</f>
        <v>159.97581505520998</v>
      </c>
      <c r="K677" s="60">
        <f>IF(A677=1,VEHICLE!$S$5,IF(A677=2,VEHICLE!$Q$5,IF(A677=3,VEHICLE!$R$5,IF(A677=4,VEHICLE!$P$5,1))))</f>
        <v>556.55073000000004</v>
      </c>
      <c r="L677" s="60">
        <v>0</v>
      </c>
      <c r="M677" s="60">
        <f t="shared" si="211"/>
        <v>0</v>
      </c>
      <c r="N677" s="60">
        <f t="shared" si="204"/>
        <v>0</v>
      </c>
      <c r="O677" s="60">
        <f t="shared" si="205"/>
        <v>0</v>
      </c>
      <c r="P677" s="60">
        <f t="shared" si="206"/>
        <v>716.52654505521002</v>
      </c>
      <c r="Q677" s="60">
        <f>IF(H677=1,I677*VEHICLE!$C$69,IF(H677=2,VEHICLE!$C$70*I677,IF(H677=3,VEHICLE!$C$71*I677,0)))</f>
        <v>0</v>
      </c>
      <c r="R677" s="60">
        <f>(J677+K677+O677+Q677)</f>
        <v>716.52654505521002</v>
      </c>
      <c r="S677" s="60">
        <f t="shared" si="207"/>
        <v>716.52654505521002</v>
      </c>
      <c r="T677" s="60">
        <f>ABS((R677)/((2*PI()*G677)/60))</f>
        <v>0.97747492716080864</v>
      </c>
      <c r="U677" s="60">
        <f t="shared" si="208"/>
        <v>1</v>
      </c>
      <c r="V677" s="60">
        <f>INDEX(BSFC!$D$4:$AD$26,MATCH(U677,BSFC!$B$4:$B$26,0),MATCH(G677,BSFC!$D$2:$AD$2,0))</f>
        <v>920.25590927999997</v>
      </c>
      <c r="W677" s="60">
        <f t="shared" si="212"/>
        <v>0.18316327423417753</v>
      </c>
      <c r="X677" s="60">
        <f t="shared" si="209"/>
        <v>0.18316327423417753</v>
      </c>
      <c r="Y677" s="60">
        <f t="shared" si="210"/>
        <v>0.56597451738360849</v>
      </c>
      <c r="Z677" s="79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x14ac:dyDescent="0.3">
      <c r="A678" s="55">
        <v>3</v>
      </c>
      <c r="B678" s="60" t="s">
        <v>111</v>
      </c>
      <c r="C678" s="60">
        <f t="shared" si="200"/>
        <v>675</v>
      </c>
      <c r="D678" s="60">
        <f t="shared" si="203"/>
        <v>29.998170000000002</v>
      </c>
      <c r="E678" s="60">
        <v>13.41</v>
      </c>
      <c r="F678" s="89">
        <f>($C$4/E678)+F677</f>
        <v>83.324083519026146</v>
      </c>
      <c r="G678" s="60">
        <v>7000</v>
      </c>
      <c r="H678" s="60">
        <v>3</v>
      </c>
      <c r="I678" s="89">
        <f>E678-E677</f>
        <v>0</v>
      </c>
      <c r="J678" s="60">
        <f>(0.5*VEHICLE!$C$71*VEHICLE!$C$28*VEHICLE!$C$27*'Drive Cycle'!E678^2)</f>
        <v>159.97581505520998</v>
      </c>
      <c r="K678" s="60">
        <f>IF(A678=1,VEHICLE!$S$5,IF(A678=2,VEHICLE!$Q$5,IF(A678=3,VEHICLE!$R$5,IF(A678=4,VEHICLE!$P$5,1))))</f>
        <v>556.55073000000004</v>
      </c>
      <c r="L678" s="60">
        <v>0</v>
      </c>
      <c r="M678" s="60">
        <f t="shared" si="211"/>
        <v>0</v>
      </c>
      <c r="N678" s="60">
        <f t="shared" si="204"/>
        <v>0</v>
      </c>
      <c r="O678" s="60">
        <f t="shared" si="205"/>
        <v>0</v>
      </c>
      <c r="P678" s="60">
        <f t="shared" si="206"/>
        <v>716.52654505521002</v>
      </c>
      <c r="Q678" s="60">
        <f>IF(H678=1,I678*VEHICLE!$C$69,IF(H678=2,VEHICLE!$C$70*I678,IF(H678=3,VEHICLE!$C$71*I678,0)))</f>
        <v>0</v>
      </c>
      <c r="R678" s="60">
        <f>(J678+K678+O678+Q678)</f>
        <v>716.52654505521002</v>
      </c>
      <c r="S678" s="60">
        <f t="shared" si="207"/>
        <v>716.52654505521002</v>
      </c>
      <c r="T678" s="60">
        <f>ABS((R678)/((2*PI()*G678)/60))</f>
        <v>0.97747492716080864</v>
      </c>
      <c r="U678" s="60">
        <f t="shared" si="208"/>
        <v>1</v>
      </c>
      <c r="V678" s="60">
        <f>INDEX(BSFC!$D$4:$AD$26,MATCH(U678,BSFC!$B$4:$B$26,0),MATCH(G678,BSFC!$D$2:$AD$2,0))</f>
        <v>920.25590927999997</v>
      </c>
      <c r="W678" s="60">
        <f t="shared" si="212"/>
        <v>0.18316327423417753</v>
      </c>
      <c r="X678" s="60">
        <f t="shared" si="209"/>
        <v>0.18316327423417753</v>
      </c>
      <c r="Y678" s="60">
        <f t="shared" si="210"/>
        <v>0.56597451738360849</v>
      </c>
      <c r="Z678" s="79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x14ac:dyDescent="0.3">
      <c r="A679" s="55">
        <v>3</v>
      </c>
      <c r="B679" s="60" t="s">
        <v>111</v>
      </c>
      <c r="C679" s="60">
        <f t="shared" si="200"/>
        <v>676</v>
      </c>
      <c r="D679" s="60">
        <f t="shared" si="203"/>
        <v>29.998170000000002</v>
      </c>
      <c r="E679" s="60">
        <v>13.41</v>
      </c>
      <c r="F679" s="89">
        <f>($C$4/E679)+F678</f>
        <v>83.398654734536962</v>
      </c>
      <c r="G679" s="60">
        <v>7000</v>
      </c>
      <c r="H679" s="60">
        <v>3</v>
      </c>
      <c r="I679" s="89">
        <f>E679-E678</f>
        <v>0</v>
      </c>
      <c r="J679" s="60">
        <f>(0.5*VEHICLE!$C$71*VEHICLE!$C$28*VEHICLE!$C$27*'Drive Cycle'!E679^2)</f>
        <v>159.97581505520998</v>
      </c>
      <c r="K679" s="60">
        <f>IF(A679=1,VEHICLE!$S$5,IF(A679=2,VEHICLE!$Q$5,IF(A679=3,VEHICLE!$R$5,IF(A679=4,VEHICLE!$P$5,1))))</f>
        <v>556.55073000000004</v>
      </c>
      <c r="L679" s="60">
        <v>0</v>
      </c>
      <c r="M679" s="60">
        <f t="shared" si="211"/>
        <v>0</v>
      </c>
      <c r="N679" s="60">
        <f t="shared" si="204"/>
        <v>0</v>
      </c>
      <c r="O679" s="60">
        <f t="shared" si="205"/>
        <v>0</v>
      </c>
      <c r="P679" s="60">
        <f t="shared" si="206"/>
        <v>716.52654505521002</v>
      </c>
      <c r="Q679" s="60">
        <f>IF(H679=1,I679*VEHICLE!$C$69,IF(H679=2,VEHICLE!$C$70*I679,IF(H679=3,VEHICLE!$C$71*I679,0)))</f>
        <v>0</v>
      </c>
      <c r="R679" s="60">
        <f>(J679+K679+O679+Q679)</f>
        <v>716.52654505521002</v>
      </c>
      <c r="S679" s="60">
        <f t="shared" si="207"/>
        <v>716.52654505521002</v>
      </c>
      <c r="T679" s="60">
        <f>ABS((R679)/((2*PI()*G679)/60))</f>
        <v>0.97747492716080864</v>
      </c>
      <c r="U679" s="60">
        <f t="shared" si="208"/>
        <v>1</v>
      </c>
      <c r="V679" s="60">
        <f>INDEX(BSFC!$D$4:$AD$26,MATCH(U679,BSFC!$B$4:$B$26,0),MATCH(G679,BSFC!$D$2:$AD$2,0))</f>
        <v>920.25590927999997</v>
      </c>
      <c r="W679" s="60">
        <f t="shared" si="212"/>
        <v>0.18316327423417753</v>
      </c>
      <c r="X679" s="60">
        <f t="shared" si="209"/>
        <v>0.18316327423417753</v>
      </c>
      <c r="Y679" s="60">
        <f t="shared" si="210"/>
        <v>0.56597451738360849</v>
      </c>
      <c r="Z679" s="79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x14ac:dyDescent="0.3">
      <c r="A680" s="55">
        <v>3</v>
      </c>
      <c r="B680" s="60" t="s">
        <v>111</v>
      </c>
      <c r="C680" s="60">
        <f t="shared" ref="C680:C743" si="213">C679+1</f>
        <v>677</v>
      </c>
      <c r="D680" s="60">
        <f t="shared" si="203"/>
        <v>29.998170000000002</v>
      </c>
      <c r="E680" s="60">
        <v>13.41</v>
      </c>
      <c r="F680" s="89">
        <f>($C$4/E680)+F679</f>
        <v>83.473225950047777</v>
      </c>
      <c r="G680" s="60">
        <v>7000</v>
      </c>
      <c r="H680" s="60">
        <v>3</v>
      </c>
      <c r="I680" s="89">
        <f>E680-E679</f>
        <v>0</v>
      </c>
      <c r="J680" s="60">
        <f>(0.5*VEHICLE!$C$71*VEHICLE!$C$28*VEHICLE!$C$27*'Drive Cycle'!E680^2)</f>
        <v>159.97581505520998</v>
      </c>
      <c r="K680" s="60">
        <f>IF(A680=1,VEHICLE!$S$5,IF(A680=2,VEHICLE!$Q$5,IF(A680=3,VEHICLE!$R$5,IF(A680=4,VEHICLE!$P$5,1))))</f>
        <v>556.55073000000004</v>
      </c>
      <c r="L680" s="60">
        <v>0</v>
      </c>
      <c r="M680" s="60">
        <f t="shared" si="211"/>
        <v>0</v>
      </c>
      <c r="N680" s="60">
        <f t="shared" si="204"/>
        <v>0</v>
      </c>
      <c r="O680" s="60">
        <f t="shared" si="205"/>
        <v>0</v>
      </c>
      <c r="P680" s="60">
        <f t="shared" si="206"/>
        <v>716.52654505521002</v>
      </c>
      <c r="Q680" s="60">
        <f>IF(H680=1,I680*VEHICLE!$C$69,IF(H680=2,VEHICLE!$C$70*I680,IF(H680=3,VEHICLE!$C$71*I680,0)))</f>
        <v>0</v>
      </c>
      <c r="R680" s="60">
        <f>(J680+K680+O680+Q680)</f>
        <v>716.52654505521002</v>
      </c>
      <c r="S680" s="60">
        <f t="shared" si="207"/>
        <v>716.52654505521002</v>
      </c>
      <c r="T680" s="60">
        <f>ABS((R680)/((2*PI()*G680)/60))</f>
        <v>0.97747492716080864</v>
      </c>
      <c r="U680" s="60">
        <f t="shared" si="208"/>
        <v>1</v>
      </c>
      <c r="V680" s="60">
        <f>INDEX(BSFC!$D$4:$AD$26,MATCH(U680,BSFC!$B$4:$B$26,0),MATCH(G680,BSFC!$D$2:$AD$2,0))</f>
        <v>920.25590927999997</v>
      </c>
      <c r="W680" s="60">
        <f t="shared" si="212"/>
        <v>0.18316327423417753</v>
      </c>
      <c r="X680" s="60">
        <f t="shared" si="209"/>
        <v>0.18316327423417753</v>
      </c>
      <c r="Y680" s="60">
        <f t="shared" si="210"/>
        <v>0.56597451738360849</v>
      </c>
      <c r="Z680" s="79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x14ac:dyDescent="0.3">
      <c r="A681" s="55">
        <v>3</v>
      </c>
      <c r="B681" s="60" t="s">
        <v>111</v>
      </c>
      <c r="C681" s="60">
        <f t="shared" si="213"/>
        <v>678</v>
      </c>
      <c r="D681" s="60">
        <f t="shared" si="203"/>
        <v>29.998170000000002</v>
      </c>
      <c r="E681" s="60">
        <v>13.41</v>
      </c>
      <c r="F681" s="89">
        <f>($C$4/E681)+F680</f>
        <v>83.547797165558592</v>
      </c>
      <c r="G681" s="60">
        <v>7000</v>
      </c>
      <c r="H681" s="60">
        <v>3</v>
      </c>
      <c r="I681" s="89">
        <f>E681-E680</f>
        <v>0</v>
      </c>
      <c r="J681" s="60">
        <f>(0.5*VEHICLE!$C$71*VEHICLE!$C$28*VEHICLE!$C$27*'Drive Cycle'!E681^2)</f>
        <v>159.97581505520998</v>
      </c>
      <c r="K681" s="60">
        <f>IF(A681=1,VEHICLE!$S$5,IF(A681=2,VEHICLE!$Q$5,IF(A681=3,VEHICLE!$R$5,IF(A681=4,VEHICLE!$P$5,1))))</f>
        <v>556.55073000000004</v>
      </c>
      <c r="L681" s="60">
        <v>0</v>
      </c>
      <c r="M681" s="60">
        <f t="shared" si="211"/>
        <v>0</v>
      </c>
      <c r="N681" s="60">
        <f t="shared" si="204"/>
        <v>0</v>
      </c>
      <c r="O681" s="60">
        <f t="shared" si="205"/>
        <v>0</v>
      </c>
      <c r="P681" s="60">
        <f t="shared" si="206"/>
        <v>716.52654505521002</v>
      </c>
      <c r="Q681" s="60">
        <f>IF(H681=1,I681*VEHICLE!$C$69,IF(H681=2,VEHICLE!$C$70*I681,IF(H681=3,VEHICLE!$C$71*I681,0)))</f>
        <v>0</v>
      </c>
      <c r="R681" s="60">
        <f>(J681+K681+O681+Q681)</f>
        <v>716.52654505521002</v>
      </c>
      <c r="S681" s="60">
        <f t="shared" si="207"/>
        <v>716.52654505521002</v>
      </c>
      <c r="T681" s="60">
        <f>ABS((R681)/((2*PI()*G681)/60))</f>
        <v>0.97747492716080864</v>
      </c>
      <c r="U681" s="60">
        <f t="shared" si="208"/>
        <v>1</v>
      </c>
      <c r="V681" s="60">
        <f>INDEX(BSFC!$D$4:$AD$26,MATCH(U681,BSFC!$B$4:$B$26,0),MATCH(G681,BSFC!$D$2:$AD$2,0))</f>
        <v>920.25590927999997</v>
      </c>
      <c r="W681" s="60">
        <f t="shared" si="212"/>
        <v>0.18316327423417753</v>
      </c>
      <c r="X681" s="60">
        <f t="shared" si="209"/>
        <v>0.18316327423417753</v>
      </c>
      <c r="Y681" s="60">
        <f t="shared" si="210"/>
        <v>0.56597451738360849</v>
      </c>
      <c r="Z681" s="79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x14ac:dyDescent="0.3">
      <c r="A682" s="55">
        <v>3</v>
      </c>
      <c r="B682" s="60" t="s">
        <v>111</v>
      </c>
      <c r="C682" s="60">
        <f t="shared" si="213"/>
        <v>679</v>
      </c>
      <c r="D682" s="60">
        <f t="shared" si="203"/>
        <v>29.998170000000002</v>
      </c>
      <c r="E682" s="60">
        <v>13.41</v>
      </c>
      <c r="F682" s="89">
        <f>($C$4/E682)+F681</f>
        <v>83.622368381069407</v>
      </c>
      <c r="G682" s="60">
        <v>7000</v>
      </c>
      <c r="H682" s="60">
        <v>3</v>
      </c>
      <c r="I682" s="89">
        <f>E682-E681</f>
        <v>0</v>
      </c>
      <c r="J682" s="60">
        <f>(0.5*VEHICLE!$C$71*VEHICLE!$C$28*VEHICLE!$C$27*'Drive Cycle'!E682^2)</f>
        <v>159.97581505520998</v>
      </c>
      <c r="K682" s="60">
        <f>IF(A682=1,VEHICLE!$S$5,IF(A682=2,VEHICLE!$Q$5,IF(A682=3,VEHICLE!$R$5,IF(A682=4,VEHICLE!$P$5,1))))</f>
        <v>556.55073000000004</v>
      </c>
      <c r="L682" s="60">
        <v>0</v>
      </c>
      <c r="M682" s="60">
        <f t="shared" si="211"/>
        <v>0</v>
      </c>
      <c r="N682" s="60">
        <f t="shared" si="204"/>
        <v>0</v>
      </c>
      <c r="O682" s="60">
        <f t="shared" si="205"/>
        <v>0</v>
      </c>
      <c r="P682" s="60">
        <f t="shared" si="206"/>
        <v>716.52654505521002</v>
      </c>
      <c r="Q682" s="60">
        <f>IF(H682=1,I682*VEHICLE!$C$69,IF(H682=2,VEHICLE!$C$70*I682,IF(H682=3,VEHICLE!$C$71*I682,0)))</f>
        <v>0</v>
      </c>
      <c r="R682" s="60">
        <f>(J682+K682+O682+Q682)</f>
        <v>716.52654505521002</v>
      </c>
      <c r="S682" s="60">
        <f t="shared" si="207"/>
        <v>716.52654505521002</v>
      </c>
      <c r="T682" s="60">
        <f>ABS((R682)/((2*PI()*G682)/60))</f>
        <v>0.97747492716080864</v>
      </c>
      <c r="U682" s="60">
        <f t="shared" si="208"/>
        <v>1</v>
      </c>
      <c r="V682" s="60">
        <f>INDEX(BSFC!$D$4:$AD$26,MATCH(U682,BSFC!$B$4:$B$26,0),MATCH(G682,BSFC!$D$2:$AD$2,0))</f>
        <v>920.25590927999997</v>
      </c>
      <c r="W682" s="60">
        <f t="shared" si="212"/>
        <v>0.18316327423417753</v>
      </c>
      <c r="X682" s="60">
        <f t="shared" si="209"/>
        <v>0.18316327423417753</v>
      </c>
      <c r="Y682" s="60">
        <f t="shared" si="210"/>
        <v>0.56597451738360849</v>
      </c>
      <c r="Z682" s="79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x14ac:dyDescent="0.3">
      <c r="A683" s="55">
        <v>3</v>
      </c>
      <c r="B683" s="60" t="s">
        <v>111</v>
      </c>
      <c r="C683" s="60">
        <f t="shared" si="213"/>
        <v>680</v>
      </c>
      <c r="D683" s="60">
        <f t="shared" si="203"/>
        <v>29.998170000000002</v>
      </c>
      <c r="E683" s="60">
        <v>13.41</v>
      </c>
      <c r="F683" s="89">
        <f>($C$4/E683)+F682</f>
        <v>83.696939596580222</v>
      </c>
      <c r="G683" s="60">
        <v>7000</v>
      </c>
      <c r="H683" s="60">
        <v>3</v>
      </c>
      <c r="I683" s="89">
        <f>E683-E682</f>
        <v>0</v>
      </c>
      <c r="J683" s="60">
        <f>(0.5*VEHICLE!$C$71*VEHICLE!$C$28*VEHICLE!$C$27*'Drive Cycle'!E683^2)</f>
        <v>159.97581505520998</v>
      </c>
      <c r="K683" s="60">
        <f>IF(A683=1,VEHICLE!$S$5,IF(A683=2,VEHICLE!$Q$5,IF(A683=3,VEHICLE!$R$5,IF(A683=4,VEHICLE!$P$5,1))))</f>
        <v>556.55073000000004</v>
      </c>
      <c r="L683" s="60">
        <v>0</v>
      </c>
      <c r="M683" s="60">
        <f t="shared" si="211"/>
        <v>0</v>
      </c>
      <c r="N683" s="60">
        <f t="shared" si="204"/>
        <v>0</v>
      </c>
      <c r="O683" s="60">
        <f t="shared" si="205"/>
        <v>0</v>
      </c>
      <c r="P683" s="60">
        <f t="shared" si="206"/>
        <v>716.52654505521002</v>
      </c>
      <c r="Q683" s="60">
        <f>IF(H683=1,I683*VEHICLE!$C$69,IF(H683=2,VEHICLE!$C$70*I683,IF(H683=3,VEHICLE!$C$71*I683,0)))</f>
        <v>0</v>
      </c>
      <c r="R683" s="60">
        <f>(J683+K683+O683+Q683)</f>
        <v>716.52654505521002</v>
      </c>
      <c r="S683" s="60">
        <f t="shared" si="207"/>
        <v>716.52654505521002</v>
      </c>
      <c r="T683" s="60">
        <f>ABS((R683)/((2*PI()*G683)/60))</f>
        <v>0.97747492716080864</v>
      </c>
      <c r="U683" s="60">
        <f t="shared" si="208"/>
        <v>1</v>
      </c>
      <c r="V683" s="60">
        <f>INDEX(BSFC!$D$4:$AD$26,MATCH(U683,BSFC!$B$4:$B$26,0),MATCH(G683,BSFC!$D$2:$AD$2,0))</f>
        <v>920.25590927999997</v>
      </c>
      <c r="W683" s="60">
        <f t="shared" si="212"/>
        <v>0.18316327423417753</v>
      </c>
      <c r="X683" s="60">
        <f t="shared" si="209"/>
        <v>0.18316327423417753</v>
      </c>
      <c r="Y683" s="60">
        <f t="shared" si="210"/>
        <v>0.56597451738360849</v>
      </c>
      <c r="Z683" s="79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x14ac:dyDescent="0.3">
      <c r="A684" s="55">
        <v>3</v>
      </c>
      <c r="B684" s="60" t="s">
        <v>111</v>
      </c>
      <c r="C684" s="60">
        <f t="shared" si="213"/>
        <v>681</v>
      </c>
      <c r="D684" s="60">
        <f t="shared" si="203"/>
        <v>29.998170000000002</v>
      </c>
      <c r="E684" s="60">
        <v>13.41</v>
      </c>
      <c r="F684" s="89">
        <f>($C$4/E684)+F683</f>
        <v>83.771510812091037</v>
      </c>
      <c r="G684" s="60">
        <v>7000</v>
      </c>
      <c r="H684" s="60">
        <v>3</v>
      </c>
      <c r="I684" s="89">
        <f>E684-E683</f>
        <v>0</v>
      </c>
      <c r="J684" s="60">
        <f>(0.5*VEHICLE!$C$71*VEHICLE!$C$28*VEHICLE!$C$27*'Drive Cycle'!E684^2)</f>
        <v>159.97581505520998</v>
      </c>
      <c r="K684" s="60">
        <f>IF(A684=1,VEHICLE!$S$5,IF(A684=2,VEHICLE!$Q$5,IF(A684=3,VEHICLE!$R$5,IF(A684=4,VEHICLE!$P$5,1))))</f>
        <v>556.55073000000004</v>
      </c>
      <c r="L684" s="60">
        <v>0</v>
      </c>
      <c r="M684" s="60">
        <f t="shared" si="211"/>
        <v>0</v>
      </c>
      <c r="N684" s="60">
        <f t="shared" si="204"/>
        <v>0</v>
      </c>
      <c r="O684" s="60">
        <f t="shared" si="205"/>
        <v>0</v>
      </c>
      <c r="P684" s="60">
        <f t="shared" si="206"/>
        <v>716.52654505521002</v>
      </c>
      <c r="Q684" s="60">
        <f>IF(H684=1,I684*VEHICLE!$C$69,IF(H684=2,VEHICLE!$C$70*I684,IF(H684=3,VEHICLE!$C$71*I684,0)))</f>
        <v>0</v>
      </c>
      <c r="R684" s="60">
        <f>(J684+K684+O684+Q684)</f>
        <v>716.52654505521002</v>
      </c>
      <c r="S684" s="60">
        <f t="shared" si="207"/>
        <v>716.52654505521002</v>
      </c>
      <c r="T684" s="60">
        <f>ABS((R684)/((2*PI()*G684)/60))</f>
        <v>0.97747492716080864</v>
      </c>
      <c r="U684" s="60">
        <f t="shared" si="208"/>
        <v>1</v>
      </c>
      <c r="V684" s="60">
        <f>INDEX(BSFC!$D$4:$AD$26,MATCH(U684,BSFC!$B$4:$B$26,0),MATCH(G684,BSFC!$D$2:$AD$2,0))</f>
        <v>920.25590927999997</v>
      </c>
      <c r="W684" s="60">
        <f t="shared" si="212"/>
        <v>0.18316327423417753</v>
      </c>
      <c r="X684" s="60">
        <f t="shared" si="209"/>
        <v>0.18316327423417753</v>
      </c>
      <c r="Y684" s="60">
        <f t="shared" si="210"/>
        <v>0.56597451738360849</v>
      </c>
      <c r="Z684" s="79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x14ac:dyDescent="0.3">
      <c r="A685" s="55">
        <v>3</v>
      </c>
      <c r="B685" s="60" t="s">
        <v>111</v>
      </c>
      <c r="C685" s="60">
        <f t="shared" si="213"/>
        <v>682</v>
      </c>
      <c r="D685" s="60">
        <f t="shared" si="203"/>
        <v>29.998170000000002</v>
      </c>
      <c r="E685" s="60">
        <v>13.41</v>
      </c>
      <c r="F685" s="89">
        <f>($C$4/E685)+F684</f>
        <v>83.846082027601852</v>
      </c>
      <c r="G685" s="60">
        <v>7000</v>
      </c>
      <c r="H685" s="60">
        <v>3</v>
      </c>
      <c r="I685" s="89">
        <f>E685-E684</f>
        <v>0</v>
      </c>
      <c r="J685" s="60">
        <f>(0.5*VEHICLE!$C$71*VEHICLE!$C$28*VEHICLE!$C$27*'Drive Cycle'!E685^2)</f>
        <v>159.97581505520998</v>
      </c>
      <c r="K685" s="60">
        <f>IF(A685=1,VEHICLE!$S$5,IF(A685=2,VEHICLE!$Q$5,IF(A685=3,VEHICLE!$R$5,IF(A685=4,VEHICLE!$P$5,1))))</f>
        <v>556.55073000000004</v>
      </c>
      <c r="L685" s="60">
        <v>0</v>
      </c>
      <c r="M685" s="60">
        <f t="shared" si="211"/>
        <v>0</v>
      </c>
      <c r="N685" s="60">
        <f t="shared" si="204"/>
        <v>0</v>
      </c>
      <c r="O685" s="60">
        <f t="shared" si="205"/>
        <v>0</v>
      </c>
      <c r="P685" s="60">
        <f t="shared" si="206"/>
        <v>716.52654505521002</v>
      </c>
      <c r="Q685" s="60">
        <f>IF(H685=1,I685*VEHICLE!$C$69,IF(H685=2,VEHICLE!$C$70*I685,IF(H685=3,VEHICLE!$C$71*I685,0)))</f>
        <v>0</v>
      </c>
      <c r="R685" s="60">
        <f>(J685+K685+O685+Q685)</f>
        <v>716.52654505521002</v>
      </c>
      <c r="S685" s="60">
        <f t="shared" si="207"/>
        <v>716.52654505521002</v>
      </c>
      <c r="T685" s="60">
        <f>ABS((R685)/((2*PI()*G685)/60))</f>
        <v>0.97747492716080864</v>
      </c>
      <c r="U685" s="60">
        <f t="shared" si="208"/>
        <v>1</v>
      </c>
      <c r="V685" s="60">
        <f>INDEX(BSFC!$D$4:$AD$26,MATCH(U685,BSFC!$B$4:$B$26,0),MATCH(G685,BSFC!$D$2:$AD$2,0))</f>
        <v>920.25590927999997</v>
      </c>
      <c r="W685" s="60">
        <f t="shared" si="212"/>
        <v>0.18316327423417753</v>
      </c>
      <c r="X685" s="60">
        <f t="shared" si="209"/>
        <v>0.18316327423417753</v>
      </c>
      <c r="Y685" s="60">
        <f t="shared" si="210"/>
        <v>0.56597451738360849</v>
      </c>
      <c r="Z685" s="79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x14ac:dyDescent="0.3">
      <c r="A686" s="55">
        <v>3</v>
      </c>
      <c r="B686" s="60" t="s">
        <v>111</v>
      </c>
      <c r="C686" s="60">
        <f t="shared" si="213"/>
        <v>683</v>
      </c>
      <c r="D686" s="60">
        <f t="shared" si="203"/>
        <v>29.998170000000002</v>
      </c>
      <c r="E686" s="60">
        <v>13.41</v>
      </c>
      <c r="F686" s="89">
        <f>($C$4/E686)+F685</f>
        <v>83.920653243112667</v>
      </c>
      <c r="G686" s="60">
        <v>7000</v>
      </c>
      <c r="H686" s="60">
        <v>3</v>
      </c>
      <c r="I686" s="89">
        <f>E686-E685</f>
        <v>0</v>
      </c>
      <c r="J686" s="60">
        <f>(0.5*VEHICLE!$C$71*VEHICLE!$C$28*VEHICLE!$C$27*'Drive Cycle'!E686^2)</f>
        <v>159.97581505520998</v>
      </c>
      <c r="K686" s="60">
        <f>IF(A686=1,VEHICLE!$S$5,IF(A686=2,VEHICLE!$Q$5,IF(A686=3,VEHICLE!$R$5,IF(A686=4,VEHICLE!$P$5,1))))</f>
        <v>556.55073000000004</v>
      </c>
      <c r="L686" s="60">
        <v>0</v>
      </c>
      <c r="M686" s="60">
        <f t="shared" si="211"/>
        <v>0</v>
      </c>
      <c r="N686" s="60">
        <f t="shared" si="204"/>
        <v>0</v>
      </c>
      <c r="O686" s="60">
        <f t="shared" si="205"/>
        <v>0</v>
      </c>
      <c r="P686" s="60">
        <f t="shared" si="206"/>
        <v>716.52654505521002</v>
      </c>
      <c r="Q686" s="60">
        <f>IF(H686=1,I686*VEHICLE!$C$69,IF(H686=2,VEHICLE!$C$70*I686,IF(H686=3,VEHICLE!$C$71*I686,0)))</f>
        <v>0</v>
      </c>
      <c r="R686" s="60">
        <f>(J686+K686+O686+Q686)</f>
        <v>716.52654505521002</v>
      </c>
      <c r="S686" s="60">
        <f t="shared" si="207"/>
        <v>716.52654505521002</v>
      </c>
      <c r="T686" s="60">
        <f>ABS((R686)/((2*PI()*G686)/60))</f>
        <v>0.97747492716080864</v>
      </c>
      <c r="U686" s="60">
        <f t="shared" si="208"/>
        <v>1</v>
      </c>
      <c r="V686" s="60">
        <f>INDEX(BSFC!$D$4:$AD$26,MATCH(U686,BSFC!$B$4:$B$26,0),MATCH(G686,BSFC!$D$2:$AD$2,0))</f>
        <v>920.25590927999997</v>
      </c>
      <c r="W686" s="60">
        <f t="shared" si="212"/>
        <v>0.18316327423417753</v>
      </c>
      <c r="X686" s="60">
        <f t="shared" si="209"/>
        <v>0.18316327423417753</v>
      </c>
      <c r="Y686" s="60">
        <f t="shared" si="210"/>
        <v>0.56597451738360849</v>
      </c>
      <c r="Z686" s="79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x14ac:dyDescent="0.3">
      <c r="A687" s="55">
        <v>3</v>
      </c>
      <c r="B687" s="60" t="s">
        <v>111</v>
      </c>
      <c r="C687" s="60">
        <f t="shared" si="213"/>
        <v>684</v>
      </c>
      <c r="D687" s="60">
        <f t="shared" si="203"/>
        <v>29.998170000000002</v>
      </c>
      <c r="E687" s="60">
        <v>13.41</v>
      </c>
      <c r="F687" s="89">
        <f>($C$4/E687)+F686</f>
        <v>83.995224458623483</v>
      </c>
      <c r="G687" s="60">
        <v>7000</v>
      </c>
      <c r="H687" s="60">
        <v>3</v>
      </c>
      <c r="I687" s="89">
        <f>E687-E686</f>
        <v>0</v>
      </c>
      <c r="J687" s="60">
        <f>(0.5*VEHICLE!$C$71*VEHICLE!$C$28*VEHICLE!$C$27*'Drive Cycle'!E687^2)</f>
        <v>159.97581505520998</v>
      </c>
      <c r="K687" s="60">
        <f>IF(A687=1,VEHICLE!$S$5,IF(A687=2,VEHICLE!$Q$5,IF(A687=3,VEHICLE!$R$5,IF(A687=4,VEHICLE!$P$5,1))))</f>
        <v>556.55073000000004</v>
      </c>
      <c r="L687" s="60">
        <v>0</v>
      </c>
      <c r="M687" s="60">
        <f t="shared" si="211"/>
        <v>0</v>
      </c>
      <c r="N687" s="60">
        <f t="shared" si="204"/>
        <v>0</v>
      </c>
      <c r="O687" s="60">
        <f t="shared" si="205"/>
        <v>0</v>
      </c>
      <c r="P687" s="60">
        <f t="shared" si="206"/>
        <v>716.52654505521002</v>
      </c>
      <c r="Q687" s="60">
        <f>IF(H687=1,I687*VEHICLE!$C$69,IF(H687=2,VEHICLE!$C$70*I687,IF(H687=3,VEHICLE!$C$71*I687,0)))</f>
        <v>0</v>
      </c>
      <c r="R687" s="60">
        <f>(J687+K687+O687+Q687)</f>
        <v>716.52654505521002</v>
      </c>
      <c r="S687" s="60">
        <f t="shared" si="207"/>
        <v>716.52654505521002</v>
      </c>
      <c r="T687" s="60">
        <f>ABS((R687)/((2*PI()*G687)/60))</f>
        <v>0.97747492716080864</v>
      </c>
      <c r="U687" s="60">
        <f t="shared" si="208"/>
        <v>1</v>
      </c>
      <c r="V687" s="60">
        <f>INDEX(BSFC!$D$4:$AD$26,MATCH(U687,BSFC!$B$4:$B$26,0),MATCH(G687,BSFC!$D$2:$AD$2,0))</f>
        <v>920.25590927999997</v>
      </c>
      <c r="W687" s="60">
        <f t="shared" si="212"/>
        <v>0.18316327423417753</v>
      </c>
      <c r="X687" s="60">
        <f t="shared" si="209"/>
        <v>0.18316327423417753</v>
      </c>
      <c r="Y687" s="60">
        <f t="shared" si="210"/>
        <v>0.56597451738360849</v>
      </c>
      <c r="Z687" s="79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x14ac:dyDescent="0.3">
      <c r="A688" s="55">
        <v>3</v>
      </c>
      <c r="B688" s="60" t="s">
        <v>111</v>
      </c>
      <c r="C688" s="60">
        <f t="shared" si="213"/>
        <v>685</v>
      </c>
      <c r="D688" s="60">
        <f t="shared" si="203"/>
        <v>29.998170000000002</v>
      </c>
      <c r="E688" s="60">
        <v>13.41</v>
      </c>
      <c r="F688" s="89">
        <f>($C$4/E688)+F687</f>
        <v>84.069795674134298</v>
      </c>
      <c r="G688" s="60">
        <v>7000</v>
      </c>
      <c r="H688" s="60">
        <v>3</v>
      </c>
      <c r="I688" s="89">
        <f>E688-E687</f>
        <v>0</v>
      </c>
      <c r="J688" s="60">
        <f>(0.5*VEHICLE!$C$71*VEHICLE!$C$28*VEHICLE!$C$27*'Drive Cycle'!E688^2)</f>
        <v>159.97581505520998</v>
      </c>
      <c r="K688" s="60">
        <f>IF(A688=1,VEHICLE!$S$5,IF(A688=2,VEHICLE!$Q$5,IF(A688=3,VEHICLE!$R$5,IF(A688=4,VEHICLE!$P$5,1))))</f>
        <v>556.55073000000004</v>
      </c>
      <c r="L688" s="60">
        <v>0</v>
      </c>
      <c r="M688" s="60">
        <f t="shared" si="211"/>
        <v>0</v>
      </c>
      <c r="N688" s="60">
        <f t="shared" si="204"/>
        <v>0</v>
      </c>
      <c r="O688" s="60">
        <f t="shared" si="205"/>
        <v>0</v>
      </c>
      <c r="P688" s="60">
        <f t="shared" si="206"/>
        <v>716.52654505521002</v>
      </c>
      <c r="Q688" s="60">
        <f>IF(H688=1,I688*VEHICLE!$C$69,IF(H688=2,VEHICLE!$C$70*I688,IF(H688=3,VEHICLE!$C$71*I688,0)))</f>
        <v>0</v>
      </c>
      <c r="R688" s="60">
        <f>(J688+K688+O688+Q688)</f>
        <v>716.52654505521002</v>
      </c>
      <c r="S688" s="60">
        <f t="shared" si="207"/>
        <v>716.52654505521002</v>
      </c>
      <c r="T688" s="60">
        <f>ABS((R688)/((2*PI()*G688)/60))</f>
        <v>0.97747492716080864</v>
      </c>
      <c r="U688" s="60">
        <f t="shared" si="208"/>
        <v>1</v>
      </c>
      <c r="V688" s="60">
        <f>INDEX(BSFC!$D$4:$AD$26,MATCH(U688,BSFC!$B$4:$B$26,0),MATCH(G688,BSFC!$D$2:$AD$2,0))</f>
        <v>920.25590927999997</v>
      </c>
      <c r="W688" s="60">
        <f t="shared" si="212"/>
        <v>0.18316327423417753</v>
      </c>
      <c r="X688" s="60">
        <f t="shared" si="209"/>
        <v>0.18316327423417753</v>
      </c>
      <c r="Y688" s="60">
        <f t="shared" si="210"/>
        <v>0.56597451738360849</v>
      </c>
      <c r="Z688" s="79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x14ac:dyDescent="0.3">
      <c r="A689" s="55">
        <v>3</v>
      </c>
      <c r="B689" s="60" t="s">
        <v>111</v>
      </c>
      <c r="C689" s="60">
        <f t="shared" si="213"/>
        <v>686</v>
      </c>
      <c r="D689" s="60">
        <f t="shared" si="203"/>
        <v>29.998170000000002</v>
      </c>
      <c r="E689" s="60">
        <v>13.41</v>
      </c>
      <c r="F689" s="89">
        <f>($C$4/E689)+F688</f>
        <v>84.144366889645113</v>
      </c>
      <c r="G689" s="60">
        <v>7000</v>
      </c>
      <c r="H689" s="60">
        <v>3</v>
      </c>
      <c r="I689" s="89">
        <f>E689-E688</f>
        <v>0</v>
      </c>
      <c r="J689" s="60">
        <f>(0.5*VEHICLE!$C$71*VEHICLE!$C$28*VEHICLE!$C$27*'Drive Cycle'!E689^2)</f>
        <v>159.97581505520998</v>
      </c>
      <c r="K689" s="60">
        <f>IF(A689=1,VEHICLE!$S$5,IF(A689=2,VEHICLE!$Q$5,IF(A689=3,VEHICLE!$R$5,IF(A689=4,VEHICLE!$P$5,1))))</f>
        <v>556.55073000000004</v>
      </c>
      <c r="L689" s="60">
        <v>0</v>
      </c>
      <c r="M689" s="60">
        <f t="shared" si="211"/>
        <v>0</v>
      </c>
      <c r="N689" s="60">
        <f t="shared" si="204"/>
        <v>0</v>
      </c>
      <c r="O689" s="60">
        <f t="shared" si="205"/>
        <v>0</v>
      </c>
      <c r="P689" s="60">
        <f t="shared" si="206"/>
        <v>716.52654505521002</v>
      </c>
      <c r="Q689" s="60">
        <f>IF(H689=1,I689*VEHICLE!$C$69,IF(H689=2,VEHICLE!$C$70*I689,IF(H689=3,VEHICLE!$C$71*I689,0)))</f>
        <v>0</v>
      </c>
      <c r="R689" s="60">
        <f>(J689+K689+O689+Q689)</f>
        <v>716.52654505521002</v>
      </c>
      <c r="S689" s="60">
        <f t="shared" si="207"/>
        <v>716.52654505521002</v>
      </c>
      <c r="T689" s="60">
        <f>ABS((R689)/((2*PI()*G689)/60))</f>
        <v>0.97747492716080864</v>
      </c>
      <c r="U689" s="60">
        <f t="shared" si="208"/>
        <v>1</v>
      </c>
      <c r="V689" s="60">
        <f>INDEX(BSFC!$D$4:$AD$26,MATCH(U689,BSFC!$B$4:$B$26,0),MATCH(G689,BSFC!$D$2:$AD$2,0))</f>
        <v>920.25590927999997</v>
      </c>
      <c r="W689" s="60">
        <f t="shared" si="212"/>
        <v>0.18316327423417753</v>
      </c>
      <c r="X689" s="60">
        <f t="shared" si="209"/>
        <v>0.18316327423417753</v>
      </c>
      <c r="Y689" s="60">
        <f t="shared" si="210"/>
        <v>0.56597451738360849</v>
      </c>
      <c r="Z689" s="79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x14ac:dyDescent="0.3">
      <c r="A690" s="55">
        <v>3</v>
      </c>
      <c r="B690" s="60" t="s">
        <v>111</v>
      </c>
      <c r="C690" s="60">
        <f t="shared" si="213"/>
        <v>687</v>
      </c>
      <c r="D690" s="60">
        <f t="shared" si="203"/>
        <v>29.998170000000002</v>
      </c>
      <c r="E690" s="60">
        <v>13.41</v>
      </c>
      <c r="F690" s="89">
        <f>($C$4/E690)+F689</f>
        <v>84.218938105155928</v>
      </c>
      <c r="G690" s="60">
        <v>7000</v>
      </c>
      <c r="H690" s="60">
        <v>3</v>
      </c>
      <c r="I690" s="89">
        <f>E690-E689</f>
        <v>0</v>
      </c>
      <c r="J690" s="60">
        <f>(0.5*VEHICLE!$C$71*VEHICLE!$C$28*VEHICLE!$C$27*'Drive Cycle'!E690^2)</f>
        <v>159.97581505520998</v>
      </c>
      <c r="K690" s="60">
        <f>IF(A690=1,VEHICLE!$S$5,IF(A690=2,VEHICLE!$Q$5,IF(A690=3,VEHICLE!$R$5,IF(A690=4,VEHICLE!$P$5,1))))</f>
        <v>556.55073000000004</v>
      </c>
      <c r="L690" s="60">
        <v>0</v>
      </c>
      <c r="M690" s="60">
        <f t="shared" si="211"/>
        <v>0</v>
      </c>
      <c r="N690" s="60">
        <f t="shared" si="204"/>
        <v>0</v>
      </c>
      <c r="O690" s="60">
        <f t="shared" si="205"/>
        <v>0</v>
      </c>
      <c r="P690" s="60">
        <f t="shared" si="206"/>
        <v>716.52654505521002</v>
      </c>
      <c r="Q690" s="60">
        <f>IF(H690=1,I690*VEHICLE!$C$69,IF(H690=2,VEHICLE!$C$70*I690,IF(H690=3,VEHICLE!$C$71*I690,0)))</f>
        <v>0</v>
      </c>
      <c r="R690" s="60">
        <f>(J690+K690+O690+Q690)</f>
        <v>716.52654505521002</v>
      </c>
      <c r="S690" s="60">
        <f t="shared" si="207"/>
        <v>716.52654505521002</v>
      </c>
      <c r="T690" s="60">
        <f>ABS((R690)/((2*PI()*G690)/60))</f>
        <v>0.97747492716080864</v>
      </c>
      <c r="U690" s="60">
        <f t="shared" si="208"/>
        <v>1</v>
      </c>
      <c r="V690" s="60">
        <f>INDEX(BSFC!$D$4:$AD$26,MATCH(U690,BSFC!$B$4:$B$26,0),MATCH(G690,BSFC!$D$2:$AD$2,0))</f>
        <v>920.25590927999997</v>
      </c>
      <c r="W690" s="60">
        <f t="shared" si="212"/>
        <v>0.18316327423417753</v>
      </c>
      <c r="X690" s="60">
        <f t="shared" si="209"/>
        <v>0.18316327423417753</v>
      </c>
      <c r="Y690" s="60">
        <f t="shared" si="210"/>
        <v>0.56597451738360849</v>
      </c>
      <c r="Z690" s="79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x14ac:dyDescent="0.3">
      <c r="A691" s="55">
        <v>3</v>
      </c>
      <c r="B691" s="60" t="s">
        <v>111</v>
      </c>
      <c r="C691" s="60">
        <f t="shared" si="213"/>
        <v>688</v>
      </c>
      <c r="D691" s="60">
        <f t="shared" si="203"/>
        <v>29.998170000000002</v>
      </c>
      <c r="E691" s="60">
        <v>13.41</v>
      </c>
      <c r="F691" s="89">
        <f>($C$4/E691)+F690</f>
        <v>84.293509320666743</v>
      </c>
      <c r="G691" s="60">
        <v>7000</v>
      </c>
      <c r="H691" s="60">
        <v>3</v>
      </c>
      <c r="I691" s="89">
        <f>E691-E690</f>
        <v>0</v>
      </c>
      <c r="J691" s="60">
        <f>(0.5*VEHICLE!$C$71*VEHICLE!$C$28*VEHICLE!$C$27*'Drive Cycle'!E691^2)</f>
        <v>159.97581505520998</v>
      </c>
      <c r="K691" s="60">
        <f>IF(A691=1,VEHICLE!$S$5,IF(A691=2,VEHICLE!$Q$5,IF(A691=3,VEHICLE!$R$5,IF(A691=4,VEHICLE!$P$5,1))))</f>
        <v>556.55073000000004</v>
      </c>
      <c r="L691" s="60">
        <v>0</v>
      </c>
      <c r="M691" s="60">
        <f t="shared" si="211"/>
        <v>0</v>
      </c>
      <c r="N691" s="60">
        <f t="shared" si="204"/>
        <v>0</v>
      </c>
      <c r="O691" s="60">
        <f t="shared" si="205"/>
        <v>0</v>
      </c>
      <c r="P691" s="60">
        <f t="shared" si="206"/>
        <v>716.52654505521002</v>
      </c>
      <c r="Q691" s="60">
        <f>IF(H691=1,I691*VEHICLE!$C$69,IF(H691=2,VEHICLE!$C$70*I691,IF(H691=3,VEHICLE!$C$71*I691,0)))</f>
        <v>0</v>
      </c>
      <c r="R691" s="60">
        <f>(J691+K691+O691+Q691)</f>
        <v>716.52654505521002</v>
      </c>
      <c r="S691" s="60">
        <f t="shared" si="207"/>
        <v>716.52654505521002</v>
      </c>
      <c r="T691" s="60">
        <f>ABS((R691)/((2*PI()*G691)/60))</f>
        <v>0.97747492716080864</v>
      </c>
      <c r="U691" s="60">
        <f t="shared" si="208"/>
        <v>1</v>
      </c>
      <c r="V691" s="60">
        <f>INDEX(BSFC!$D$4:$AD$26,MATCH(U691,BSFC!$B$4:$B$26,0),MATCH(G691,BSFC!$D$2:$AD$2,0))</f>
        <v>920.25590927999997</v>
      </c>
      <c r="W691" s="60">
        <f t="shared" si="212"/>
        <v>0.18316327423417753</v>
      </c>
      <c r="X691" s="60">
        <f t="shared" si="209"/>
        <v>0.18316327423417753</v>
      </c>
      <c r="Y691" s="60">
        <f t="shared" si="210"/>
        <v>0.56597451738360849</v>
      </c>
      <c r="Z691" s="79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x14ac:dyDescent="0.3">
      <c r="A692" s="55">
        <v>3</v>
      </c>
      <c r="B692" s="60" t="s">
        <v>111</v>
      </c>
      <c r="C692" s="60">
        <f t="shared" si="213"/>
        <v>689</v>
      </c>
      <c r="D692" s="60">
        <f t="shared" si="203"/>
        <v>29.998170000000002</v>
      </c>
      <c r="E692" s="60">
        <v>13.41</v>
      </c>
      <c r="F692" s="89">
        <f>($C$4/E692)+F691</f>
        <v>84.368080536177558</v>
      </c>
      <c r="G692" s="60">
        <v>7000</v>
      </c>
      <c r="H692" s="60">
        <v>3</v>
      </c>
      <c r="I692" s="89">
        <f>E692-E691</f>
        <v>0</v>
      </c>
      <c r="J692" s="60">
        <f>(0.5*VEHICLE!$C$71*VEHICLE!$C$28*VEHICLE!$C$27*'Drive Cycle'!E692^2)</f>
        <v>159.97581505520998</v>
      </c>
      <c r="K692" s="60">
        <f>IF(A692=1,VEHICLE!$S$5,IF(A692=2,VEHICLE!$Q$5,IF(A692=3,VEHICLE!$R$5,IF(A692=4,VEHICLE!$P$5,1))))</f>
        <v>556.55073000000004</v>
      </c>
      <c r="L692" s="60">
        <v>0</v>
      </c>
      <c r="M692" s="60">
        <f t="shared" si="211"/>
        <v>0</v>
      </c>
      <c r="N692" s="60">
        <f t="shared" si="204"/>
        <v>0</v>
      </c>
      <c r="O692" s="60">
        <f t="shared" si="205"/>
        <v>0</v>
      </c>
      <c r="P692" s="60">
        <f t="shared" si="206"/>
        <v>716.52654505521002</v>
      </c>
      <c r="Q692" s="60">
        <f>IF(H692=1,I692*VEHICLE!$C$69,IF(H692=2,VEHICLE!$C$70*I692,IF(H692=3,VEHICLE!$C$71*I692,0)))</f>
        <v>0</v>
      </c>
      <c r="R692" s="60">
        <f>(J692+K692+O692+Q692)</f>
        <v>716.52654505521002</v>
      </c>
      <c r="S692" s="60">
        <f t="shared" si="207"/>
        <v>716.52654505521002</v>
      </c>
      <c r="T692" s="60">
        <f>ABS((R692)/((2*PI()*G692)/60))</f>
        <v>0.97747492716080864</v>
      </c>
      <c r="U692" s="60">
        <f t="shared" si="208"/>
        <v>1</v>
      </c>
      <c r="V692" s="60">
        <f>INDEX(BSFC!$D$4:$AD$26,MATCH(U692,BSFC!$B$4:$B$26,0),MATCH(G692,BSFC!$D$2:$AD$2,0))</f>
        <v>920.25590927999997</v>
      </c>
      <c r="W692" s="60">
        <f t="shared" si="212"/>
        <v>0.18316327423417753</v>
      </c>
      <c r="X692" s="60">
        <f t="shared" si="209"/>
        <v>0.18316327423417753</v>
      </c>
      <c r="Y692" s="60">
        <f t="shared" si="210"/>
        <v>0.56597451738360849</v>
      </c>
      <c r="Z692" s="79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x14ac:dyDescent="0.3">
      <c r="A693" s="55">
        <v>3</v>
      </c>
      <c r="B693" s="60" t="s">
        <v>111</v>
      </c>
      <c r="C693" s="60">
        <f t="shared" si="213"/>
        <v>690</v>
      </c>
      <c r="D693" s="60">
        <f t="shared" si="203"/>
        <v>28.879670000000001</v>
      </c>
      <c r="E693" s="60">
        <f t="shared" ref="E693:E695" si="214">E692-0.5</f>
        <v>12.91</v>
      </c>
      <c r="F693" s="89">
        <f>($C$4/E693)+F692</f>
        <v>84.445539870027289</v>
      </c>
      <c r="G693" s="60">
        <f>G692-250</f>
        <v>6750</v>
      </c>
      <c r="H693" s="60">
        <v>3</v>
      </c>
      <c r="I693" s="89">
        <f>E693-E692</f>
        <v>-0.5</v>
      </c>
      <c r="J693" s="60">
        <f>(0.5*VEHICLE!$C$71*VEHICLE!$C$28*VEHICLE!$C$27*'Drive Cycle'!E693^2)</f>
        <v>148.26862509921</v>
      </c>
      <c r="K693" s="60">
        <f>IF(A693=1,VEHICLE!$S$5,IF(A693=2,VEHICLE!$Q$5,IF(A693=3,VEHICLE!$R$5,IF(A693=4,VEHICLE!$P$5,1))))</f>
        <v>556.55073000000004</v>
      </c>
      <c r="L693" s="60">
        <v>0</v>
      </c>
      <c r="M693" s="60">
        <f t="shared" si="211"/>
        <v>0</v>
      </c>
      <c r="N693" s="60">
        <f t="shared" si="204"/>
        <v>0</v>
      </c>
      <c r="O693" s="60">
        <f t="shared" si="205"/>
        <v>0</v>
      </c>
      <c r="P693" s="60">
        <f t="shared" si="206"/>
        <v>704.81935509921004</v>
      </c>
      <c r="Q693" s="60">
        <f>IF(H693=1,I693*VEHICLE!$C$69,IF(H693=2,VEHICLE!$C$70*I693,IF(H693=3,VEHICLE!$C$71*I693,0)))</f>
        <v>-0.58350000000000002</v>
      </c>
      <c r="R693" s="60">
        <f>(J693+K693+O693+Q693)</f>
        <v>704.23585509921008</v>
      </c>
      <c r="S693" s="60">
        <f t="shared" si="207"/>
        <v>704.23585509921008</v>
      </c>
      <c r="T693" s="60">
        <f>ABS((R693)/((2*PI()*G693)/60))</f>
        <v>0.99628993281410705</v>
      </c>
      <c r="U693" s="60">
        <f t="shared" si="208"/>
        <v>1</v>
      </c>
      <c r="V693" s="60">
        <f>INDEX(BSFC!$D$4:$AD$26,MATCH(U693,BSFC!$B$4:$B$26,0),MATCH(G693,BSFC!$D$2:$AD$2,0))</f>
        <v>945.22735288000013</v>
      </c>
      <c r="W693" s="60">
        <f t="shared" si="212"/>
        <v>0.18490638697739159</v>
      </c>
      <c r="X693" s="60">
        <f t="shared" si="209"/>
        <v>0.18490638697739159</v>
      </c>
      <c r="Y693" s="60">
        <f t="shared" si="210"/>
        <v>0.57136073576014001</v>
      </c>
      <c r="Z693" s="79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x14ac:dyDescent="0.3">
      <c r="A694" s="55">
        <v>3</v>
      </c>
      <c r="B694" s="60" t="s">
        <v>111</v>
      </c>
      <c r="C694" s="60">
        <f t="shared" si="213"/>
        <v>691</v>
      </c>
      <c r="D694" s="60">
        <f t="shared" si="203"/>
        <v>27.76117</v>
      </c>
      <c r="E694" s="60">
        <f t="shared" si="214"/>
        <v>12.41</v>
      </c>
      <c r="F694" s="89">
        <f>($C$4/E694)+F693</f>
        <v>84.526120047303678</v>
      </c>
      <c r="G694" s="60">
        <f t="shared" ref="G694:G713" si="215">G693-250</f>
        <v>6500</v>
      </c>
      <c r="H694" s="60">
        <v>3</v>
      </c>
      <c r="I694" s="89">
        <f>E694-E693</f>
        <v>-0.5</v>
      </c>
      <c r="J694" s="60">
        <f>(0.5*VEHICLE!$C$71*VEHICLE!$C$28*VEHICLE!$C$27*'Drive Cycle'!E694^2)</f>
        <v>137.00623719320998</v>
      </c>
      <c r="K694" s="60">
        <f>IF(A694=1,VEHICLE!$S$5,IF(A694=2,VEHICLE!$Q$5,IF(A694=3,VEHICLE!$R$5,IF(A694=4,VEHICLE!$P$5,1))))</f>
        <v>556.55073000000004</v>
      </c>
      <c r="L694" s="60">
        <v>0</v>
      </c>
      <c r="M694" s="60">
        <f t="shared" si="211"/>
        <v>0</v>
      </c>
      <c r="N694" s="60">
        <f t="shared" si="204"/>
        <v>0</v>
      </c>
      <c r="O694" s="60">
        <f t="shared" si="205"/>
        <v>0</v>
      </c>
      <c r="P694" s="60">
        <f t="shared" si="206"/>
        <v>693.55696719321008</v>
      </c>
      <c r="Q694" s="60">
        <f>IF(H694=1,I694*VEHICLE!$C$69,IF(H694=2,VEHICLE!$C$70*I694,IF(H694=3,VEHICLE!$C$71*I694,0)))</f>
        <v>-0.58350000000000002</v>
      </c>
      <c r="R694" s="60">
        <f>(J694+K694+O694+Q694)</f>
        <v>692.97346719321013</v>
      </c>
      <c r="S694" s="60">
        <f t="shared" si="207"/>
        <v>692.97346719321013</v>
      </c>
      <c r="T694" s="60">
        <f>ABS((R694)/((2*PI()*G694)/60))</f>
        <v>1.0180629483261117</v>
      </c>
      <c r="U694" s="60">
        <f t="shared" si="208"/>
        <v>2</v>
      </c>
      <c r="V694" s="60">
        <f>INDEX(BSFC!$D$4:$AD$26,MATCH(U694,BSFC!$B$4:$B$26,0),MATCH(G694,BSFC!$D$2:$AD$2,0))</f>
        <v>894.55972883999993</v>
      </c>
      <c r="W694" s="60">
        <f t="shared" si="212"/>
        <v>0.17219615469602018</v>
      </c>
      <c r="X694" s="60">
        <f t="shared" si="209"/>
        <v>0.17219615469602018</v>
      </c>
      <c r="Y694" s="60">
        <f t="shared" si="210"/>
        <v>0.53208611801070227</v>
      </c>
      <c r="Z694" s="79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x14ac:dyDescent="0.3">
      <c r="A695" s="55">
        <v>3</v>
      </c>
      <c r="B695" s="60" t="s">
        <v>111</v>
      </c>
      <c r="C695" s="60">
        <f t="shared" si="213"/>
        <v>692</v>
      </c>
      <c r="D695" s="60">
        <f t="shared" si="203"/>
        <v>26.642670000000003</v>
      </c>
      <c r="E695" s="60">
        <f t="shared" si="214"/>
        <v>11.91</v>
      </c>
      <c r="F695" s="89">
        <f>($C$4/E695)+F694</f>
        <v>84.610083103558921</v>
      </c>
      <c r="G695" s="60">
        <f t="shared" si="215"/>
        <v>6250</v>
      </c>
      <c r="H695" s="60">
        <v>3</v>
      </c>
      <c r="I695" s="89">
        <f>E695-E694</f>
        <v>-0.5</v>
      </c>
      <c r="J695" s="60">
        <f>(0.5*VEHICLE!$C$71*VEHICLE!$C$28*VEHICLE!$C$27*'Drive Cycle'!E695^2)</f>
        <v>126.18865133721</v>
      </c>
      <c r="K695" s="60">
        <f>IF(A695=1,VEHICLE!$S$5,IF(A695=2,VEHICLE!$Q$5,IF(A695=3,VEHICLE!$R$5,IF(A695=4,VEHICLE!$P$5,1))))</f>
        <v>556.55073000000004</v>
      </c>
      <c r="L695" s="60">
        <v>0</v>
      </c>
      <c r="M695" s="60">
        <f t="shared" si="211"/>
        <v>0</v>
      </c>
      <c r="N695" s="60">
        <f t="shared" si="204"/>
        <v>0</v>
      </c>
      <c r="O695" s="60">
        <f t="shared" si="205"/>
        <v>0</v>
      </c>
      <c r="P695" s="60">
        <f t="shared" si="206"/>
        <v>682.73938133721003</v>
      </c>
      <c r="Q695" s="60">
        <f>IF(H695=1,I695*VEHICLE!$C$69,IF(H695=2,VEHICLE!$C$70*I695,IF(H695=3,VEHICLE!$C$71*I695,0)))</f>
        <v>-0.58350000000000002</v>
      </c>
      <c r="R695" s="60">
        <f>(J695+K695+O695+Q695)</f>
        <v>682.15588133721008</v>
      </c>
      <c r="S695" s="60">
        <f t="shared" si="207"/>
        <v>682.15588133721008</v>
      </c>
      <c r="T695" s="60">
        <f>ABS((R695)/((2*PI()*G695)/60))</f>
        <v>1.0422574125506436</v>
      </c>
      <c r="U695" s="60">
        <f t="shared" si="208"/>
        <v>2</v>
      </c>
      <c r="V695" s="60">
        <f>INDEX(BSFC!$D$4:$AD$26,MATCH(U695,BSFC!$B$4:$B$26,0),MATCH(G695,BSFC!$D$2:$AD$2,0))</f>
        <v>911.91411232000019</v>
      </c>
      <c r="W695" s="60">
        <f t="shared" si="212"/>
        <v>0.1727965486093026</v>
      </c>
      <c r="X695" s="60">
        <f t="shared" si="209"/>
        <v>0.1727965486093026</v>
      </c>
      <c r="Y695" s="60">
        <f t="shared" si="210"/>
        <v>0.533941335202745</v>
      </c>
      <c r="Z695" s="79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x14ac:dyDescent="0.3">
      <c r="A696" s="55">
        <v>3</v>
      </c>
      <c r="B696" s="60" t="s">
        <v>111</v>
      </c>
      <c r="C696" s="60">
        <f t="shared" si="213"/>
        <v>693</v>
      </c>
      <c r="D696" s="60">
        <f t="shared" si="203"/>
        <v>25.524170000000002</v>
      </c>
      <c r="E696" s="60">
        <f t="shared" ref="E696:E699" si="216">E695-0.5</f>
        <v>11.41</v>
      </c>
      <c r="F696" s="89">
        <f>($C$4/E696)+F695</f>
        <v>84.697725522489677</v>
      </c>
      <c r="G696" s="60">
        <f t="shared" si="215"/>
        <v>6000</v>
      </c>
      <c r="H696" s="60">
        <v>2</v>
      </c>
      <c r="I696" s="89">
        <f>E696-E695</f>
        <v>-0.5</v>
      </c>
      <c r="J696" s="60">
        <f>(0.5*VEHICLE!$C$71*VEHICLE!$C$28*VEHICLE!$C$27*'Drive Cycle'!E696^2)</f>
        <v>115.81586753120997</v>
      </c>
      <c r="K696" s="60">
        <f>IF(A696=1,VEHICLE!$S$5,IF(A696=2,VEHICLE!$Q$5,IF(A696=3,VEHICLE!$R$5,IF(A696=4,VEHICLE!$P$5,1))))</f>
        <v>556.55073000000004</v>
      </c>
      <c r="L696" s="60">
        <v>0</v>
      </c>
      <c r="M696" s="60">
        <f t="shared" si="211"/>
        <v>0</v>
      </c>
      <c r="N696" s="60">
        <f t="shared" si="204"/>
        <v>0</v>
      </c>
      <c r="O696" s="60">
        <f t="shared" si="205"/>
        <v>0</v>
      </c>
      <c r="P696" s="60">
        <f t="shared" si="206"/>
        <v>672.36659753121</v>
      </c>
      <c r="Q696" s="60">
        <f>IF(H696=1,I696*VEHICLE!$C$69,IF(H696=2,VEHICLE!$C$70*I696,IF(H696=3,VEHICLE!$C$71*I696,0)))</f>
        <v>-292.57424326505867</v>
      </c>
      <c r="R696" s="60">
        <f>(J696+K696+O696+Q696)</f>
        <v>379.79235426615134</v>
      </c>
      <c r="S696" s="60">
        <f t="shared" si="207"/>
        <v>379.79235426615134</v>
      </c>
      <c r="T696" s="60">
        <f>ABS((R696)/((2*PI()*G696)/60))</f>
        <v>0.60445830529966271</v>
      </c>
      <c r="U696" s="60">
        <f t="shared" si="208"/>
        <v>1</v>
      </c>
      <c r="V696" s="60">
        <f>INDEX(BSFC!$D$4:$AD$26,MATCH(U696,BSFC!$B$4:$B$26,0),MATCH(G696,BSFC!$D$2:$AD$2,0))</f>
        <v>933.91499472000044</v>
      </c>
      <c r="W696" s="60">
        <f t="shared" si="212"/>
        <v>9.8526048480324785E-2</v>
      </c>
      <c r="X696" s="60">
        <f t="shared" si="209"/>
        <v>9.8526048480324785E-2</v>
      </c>
      <c r="Y696" s="60">
        <f t="shared" si="210"/>
        <v>0.30444548980420355</v>
      </c>
      <c r="Z696" s="79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x14ac:dyDescent="0.3">
      <c r="A697" s="55">
        <v>3</v>
      </c>
      <c r="B697" s="60" t="s">
        <v>111</v>
      </c>
      <c r="C697" s="60">
        <f t="shared" si="213"/>
        <v>694</v>
      </c>
      <c r="D697" s="60">
        <f t="shared" si="203"/>
        <v>24.405670000000001</v>
      </c>
      <c r="E697" s="60">
        <f t="shared" si="216"/>
        <v>10.91</v>
      </c>
      <c r="F697" s="89">
        <f>($C$4/E697)+F696</f>
        <v>84.789384550903975</v>
      </c>
      <c r="G697" s="60">
        <f t="shared" si="215"/>
        <v>5750</v>
      </c>
      <c r="H697" s="60">
        <v>2</v>
      </c>
      <c r="I697" s="89">
        <f>E697-E696</f>
        <v>-0.5</v>
      </c>
      <c r="J697" s="60">
        <f>(0.5*VEHICLE!$C$71*VEHICLE!$C$28*VEHICLE!$C$27*'Drive Cycle'!E697^2)</f>
        <v>105.88788577520999</v>
      </c>
      <c r="K697" s="60">
        <f>IF(A697=1,VEHICLE!$S$5,IF(A697=2,VEHICLE!$Q$5,IF(A697=3,VEHICLE!$R$5,IF(A697=4,VEHICLE!$P$5,1))))</f>
        <v>556.55073000000004</v>
      </c>
      <c r="L697" s="60">
        <v>0</v>
      </c>
      <c r="M697" s="60">
        <f t="shared" si="211"/>
        <v>0</v>
      </c>
      <c r="N697" s="60">
        <f t="shared" si="204"/>
        <v>0</v>
      </c>
      <c r="O697" s="60">
        <f t="shared" si="205"/>
        <v>0</v>
      </c>
      <c r="P697" s="60">
        <f t="shared" si="206"/>
        <v>662.43861577521</v>
      </c>
      <c r="Q697" s="60">
        <f>IF(H697=1,I697*VEHICLE!$C$69,IF(H697=2,VEHICLE!$C$70*I697,IF(H697=3,VEHICLE!$C$71*I697,0)))</f>
        <v>-292.57424326505867</v>
      </c>
      <c r="R697" s="60">
        <f>(J697+K697+O697+Q697)</f>
        <v>369.86437251015133</v>
      </c>
      <c r="S697" s="60">
        <f t="shared" si="207"/>
        <v>369.86437251015133</v>
      </c>
      <c r="T697" s="60">
        <f>ABS((R697)/((2*PI()*G697)/60))</f>
        <v>0.61425123295901951</v>
      </c>
      <c r="U697" s="60">
        <f t="shared" si="208"/>
        <v>1</v>
      </c>
      <c r="V697" s="60">
        <f>INDEX(BSFC!$D$4:$AD$26,MATCH(U697,BSFC!$B$4:$B$26,0),MATCH(G697,BSFC!$D$2:$AD$2,0))</f>
        <v>963.78871919999995</v>
      </c>
      <c r="W697" s="60">
        <f t="shared" si="212"/>
        <v>9.9019752738686226E-2</v>
      </c>
      <c r="X697" s="60">
        <f t="shared" si="209"/>
        <v>9.9019752738686226E-2</v>
      </c>
      <c r="Y697" s="60">
        <f t="shared" si="210"/>
        <v>0.30597103596254044</v>
      </c>
      <c r="Z697" s="79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x14ac:dyDescent="0.3">
      <c r="A698" s="55">
        <v>3</v>
      </c>
      <c r="B698" s="60" t="s">
        <v>111</v>
      </c>
      <c r="C698" s="60">
        <f t="shared" si="213"/>
        <v>695</v>
      </c>
      <c r="D698" s="60">
        <f t="shared" si="203"/>
        <v>23.28717</v>
      </c>
      <c r="E698" s="60">
        <f t="shared" si="216"/>
        <v>10.41</v>
      </c>
      <c r="F698" s="89">
        <f>($C$4/E698)+F697</f>
        <v>84.885446030250762</v>
      </c>
      <c r="G698" s="60">
        <f t="shared" si="215"/>
        <v>5500</v>
      </c>
      <c r="H698" s="60">
        <v>2</v>
      </c>
      <c r="I698" s="89">
        <f>E698-E697</f>
        <v>-0.5</v>
      </c>
      <c r="J698" s="60">
        <f>(0.5*VEHICLE!$C$71*VEHICLE!$C$28*VEHICLE!$C$27*'Drive Cycle'!E698^2)</f>
        <v>96.404706069209993</v>
      </c>
      <c r="K698" s="60">
        <f>IF(A698=1,VEHICLE!$S$5,IF(A698=2,VEHICLE!$Q$5,IF(A698=3,VEHICLE!$R$5,IF(A698=4,VEHICLE!$P$5,1))))</f>
        <v>556.55073000000004</v>
      </c>
      <c r="L698" s="60">
        <v>0</v>
      </c>
      <c r="M698" s="60">
        <f t="shared" si="211"/>
        <v>0</v>
      </c>
      <c r="N698" s="60">
        <f t="shared" si="204"/>
        <v>0</v>
      </c>
      <c r="O698" s="60">
        <f t="shared" si="205"/>
        <v>0</v>
      </c>
      <c r="P698" s="60">
        <f t="shared" si="206"/>
        <v>652.95543606921001</v>
      </c>
      <c r="Q698" s="60">
        <f>IF(H698=1,I698*VEHICLE!$C$69,IF(H698=2,VEHICLE!$C$70*I698,IF(H698=3,VEHICLE!$C$71*I698,0)))</f>
        <v>-292.57424326505867</v>
      </c>
      <c r="R698" s="60">
        <f>(J698+K698+O698+Q698)</f>
        <v>360.38119280415134</v>
      </c>
      <c r="S698" s="60">
        <f t="shared" si="207"/>
        <v>360.38119280415134</v>
      </c>
      <c r="T698" s="60">
        <f>ABS((R698)/((2*PI()*G698)/60))</f>
        <v>0.62570670798691719</v>
      </c>
      <c r="U698" s="60">
        <f t="shared" si="208"/>
        <v>1</v>
      </c>
      <c r="V698" s="60">
        <f>INDEX(BSFC!$D$4:$AD$26,MATCH(U698,BSFC!$B$4:$B$26,0),MATCH(G698,BSFC!$D$2:$AD$2,0))</f>
        <v>937.88833920000002</v>
      </c>
      <c r="W698" s="60">
        <f t="shared" si="212"/>
        <v>9.3888143999444576E-2</v>
      </c>
      <c r="X698" s="60">
        <f t="shared" si="209"/>
        <v>9.3888143999444576E-2</v>
      </c>
      <c r="Y698" s="60">
        <f t="shared" si="210"/>
        <v>0.29011436495828374</v>
      </c>
      <c r="Z698" s="79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x14ac:dyDescent="0.3">
      <c r="A699" s="55">
        <v>3</v>
      </c>
      <c r="B699" s="60" t="s">
        <v>111</v>
      </c>
      <c r="C699" s="60">
        <f t="shared" si="213"/>
        <v>696</v>
      </c>
      <c r="D699" s="60">
        <f t="shared" si="203"/>
        <v>22.168670000000002</v>
      </c>
      <c r="E699" s="60">
        <f t="shared" si="216"/>
        <v>9.91</v>
      </c>
      <c r="F699" s="89">
        <f>($C$4/E699)+F698</f>
        <v>84.986354203812823</v>
      </c>
      <c r="G699" s="60">
        <f t="shared" si="215"/>
        <v>5250</v>
      </c>
      <c r="H699" s="60">
        <v>2</v>
      </c>
      <c r="I699" s="89">
        <f>E699-E698</f>
        <v>-0.5</v>
      </c>
      <c r="J699" s="60">
        <f>(0.5*VEHICLE!$C$71*VEHICLE!$C$28*VEHICLE!$C$27*'Drive Cycle'!E699^2)</f>
        <v>87.366328413209985</v>
      </c>
      <c r="K699" s="60">
        <f>IF(A699=1,VEHICLE!$S$5,IF(A699=2,VEHICLE!$Q$5,IF(A699=3,VEHICLE!$R$5,IF(A699=4,VEHICLE!$P$5,1))))</f>
        <v>556.55073000000004</v>
      </c>
      <c r="L699" s="60">
        <v>0</v>
      </c>
      <c r="M699" s="60">
        <f t="shared" si="211"/>
        <v>0</v>
      </c>
      <c r="N699" s="60">
        <f t="shared" si="204"/>
        <v>0</v>
      </c>
      <c r="O699" s="60">
        <f t="shared" si="205"/>
        <v>0</v>
      </c>
      <c r="P699" s="60">
        <f t="shared" si="206"/>
        <v>643.91705841321004</v>
      </c>
      <c r="Q699" s="60">
        <f>IF(H699=1,I699*VEHICLE!$C$69,IF(H699=2,VEHICLE!$C$70*I699,IF(H699=3,VEHICLE!$C$71*I699,0)))</f>
        <v>-292.57424326505867</v>
      </c>
      <c r="R699" s="60">
        <f>(J699+K699+O699+Q699)</f>
        <v>351.34281514815137</v>
      </c>
      <c r="S699" s="60">
        <f t="shared" si="207"/>
        <v>351.34281514815137</v>
      </c>
      <c r="T699" s="60">
        <f>ABS((R699)/((2*PI()*G699)/60))</f>
        <v>0.63906223715028965</v>
      </c>
      <c r="U699" s="60">
        <f t="shared" si="208"/>
        <v>1</v>
      </c>
      <c r="V699" s="60">
        <f>INDEX(BSFC!$D$4:$AD$26,MATCH(U699,BSFC!$B$4:$B$26,0),MATCH(G699,BSFC!$D$2:$AD$2,0))</f>
        <v>959.82391135999978</v>
      </c>
      <c r="W699" s="60">
        <f t="shared" si="212"/>
        <v>9.3674231962147789E-2</v>
      </c>
      <c r="X699" s="60">
        <f t="shared" si="209"/>
        <v>9.3674231962147789E-2</v>
      </c>
      <c r="Y699" s="60">
        <f t="shared" si="210"/>
        <v>0.28945337676303667</v>
      </c>
      <c r="Z699" s="79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x14ac:dyDescent="0.3">
      <c r="A700" s="55">
        <v>3</v>
      </c>
      <c r="B700" s="60" t="s">
        <v>111</v>
      </c>
      <c r="C700" s="60">
        <f t="shared" si="213"/>
        <v>697</v>
      </c>
      <c r="D700" s="60">
        <f t="shared" si="203"/>
        <v>21.050170000000001</v>
      </c>
      <c r="E700" s="60">
        <f>E699-0.5</f>
        <v>9.41</v>
      </c>
      <c r="F700" s="89">
        <f>($C$4/E700)+F699</f>
        <v>85.092624129423882</v>
      </c>
      <c r="G700" s="60">
        <f t="shared" si="215"/>
        <v>5000</v>
      </c>
      <c r="H700" s="60">
        <v>2</v>
      </c>
      <c r="I700" s="89">
        <f>E700-E699</f>
        <v>-0.5</v>
      </c>
      <c r="J700" s="60">
        <f>(0.5*VEHICLE!$C$71*VEHICLE!$C$28*VEHICLE!$C$27*'Drive Cycle'!E700^2)</f>
        <v>78.772752807209997</v>
      </c>
      <c r="K700" s="60">
        <f>IF(A700=1,VEHICLE!$S$5,IF(A700=2,VEHICLE!$Q$5,IF(A700=3,VEHICLE!$R$5,IF(A700=4,VEHICLE!$P$5,1))))</f>
        <v>556.55073000000004</v>
      </c>
      <c r="L700" s="60">
        <v>0</v>
      </c>
      <c r="M700" s="60">
        <f t="shared" si="211"/>
        <v>0</v>
      </c>
      <c r="N700" s="60">
        <f t="shared" si="204"/>
        <v>0</v>
      </c>
      <c r="O700" s="60">
        <f t="shared" si="205"/>
        <v>0</v>
      </c>
      <c r="P700" s="60">
        <f t="shared" si="206"/>
        <v>635.32348280720998</v>
      </c>
      <c r="Q700" s="60">
        <f>IF(H700=1,I700*VEHICLE!$C$69,IF(H700=2,VEHICLE!$C$70*I700,IF(H700=3,VEHICLE!$C$71*I700,0)))</f>
        <v>-292.57424326505867</v>
      </c>
      <c r="R700" s="60">
        <f>(J700+K700+O700+Q700)</f>
        <v>342.74923954215132</v>
      </c>
      <c r="S700" s="60">
        <f t="shared" si="207"/>
        <v>342.74923954215132</v>
      </c>
      <c r="T700" s="60">
        <f>ABS((R700)/((2*PI()*G700)/60))</f>
        <v>0.65460282856945795</v>
      </c>
      <c r="U700" s="60">
        <f t="shared" si="208"/>
        <v>1</v>
      </c>
      <c r="V700" s="60">
        <f>INDEX(BSFC!$D$4:$AD$26,MATCH(U700,BSFC!$B$4:$B$26,0),MATCH(G700,BSFC!$D$2:$AD$2,0))</f>
        <v>967.30583135999973</v>
      </c>
      <c r="W700" s="60">
        <f t="shared" si="212"/>
        <v>9.2095371695368994E-2</v>
      </c>
      <c r="X700" s="60">
        <f t="shared" si="209"/>
        <v>9.2095371695368994E-2</v>
      </c>
      <c r="Y700" s="60">
        <f t="shared" si="210"/>
        <v>0.28457469853869016</v>
      </c>
      <c r="Z700" s="79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x14ac:dyDescent="0.3">
      <c r="A701" s="55">
        <v>3</v>
      </c>
      <c r="B701" s="60" t="s">
        <v>111</v>
      </c>
      <c r="C701" s="60">
        <f t="shared" si="213"/>
        <v>698</v>
      </c>
      <c r="D701" s="60">
        <f t="shared" si="203"/>
        <v>19.93167</v>
      </c>
      <c r="E701" s="60">
        <f t="shared" ref="E701:E714" si="217">E700-0.5</f>
        <v>8.91</v>
      </c>
      <c r="F701" s="89">
        <f>($C$4/E701)+F700</f>
        <v>85.204857574990655</v>
      </c>
      <c r="G701" s="60">
        <f t="shared" si="215"/>
        <v>4750</v>
      </c>
      <c r="H701" s="60">
        <v>2</v>
      </c>
      <c r="I701" s="89">
        <f>E701-E700</f>
        <v>-0.5</v>
      </c>
      <c r="J701" s="60">
        <f>(0.5*VEHICLE!$C$71*VEHICLE!$C$28*VEHICLE!$C$27*'Drive Cycle'!E701^2)</f>
        <v>70.623979251210002</v>
      </c>
      <c r="K701" s="60">
        <f>IF(A701=1,VEHICLE!$S$5,IF(A701=2,VEHICLE!$Q$5,IF(A701=3,VEHICLE!$R$5,IF(A701=4,VEHICLE!$P$5,1))))</f>
        <v>556.55073000000004</v>
      </c>
      <c r="L701" s="60">
        <v>0</v>
      </c>
      <c r="M701" s="60">
        <f t="shared" si="211"/>
        <v>0</v>
      </c>
      <c r="N701" s="60">
        <f t="shared" si="204"/>
        <v>0</v>
      </c>
      <c r="O701" s="60">
        <f t="shared" si="205"/>
        <v>0</v>
      </c>
      <c r="P701" s="60">
        <f t="shared" si="206"/>
        <v>627.17470925121006</v>
      </c>
      <c r="Q701" s="60">
        <f>IF(H701=1,I701*VEHICLE!$C$69,IF(H701=2,VEHICLE!$C$70*I701,IF(H701=3,VEHICLE!$C$71*I701,0)))</f>
        <v>-292.57424326505867</v>
      </c>
      <c r="R701" s="60">
        <f>(J701+K701+O701+Q701)</f>
        <v>334.60046598615139</v>
      </c>
      <c r="S701" s="60">
        <f t="shared" si="207"/>
        <v>334.60046598615139</v>
      </c>
      <c r="T701" s="60">
        <f>ABS((R701)/((2*PI()*G701)/60))</f>
        <v>0.67267349207428528</v>
      </c>
      <c r="U701" s="60">
        <f t="shared" si="208"/>
        <v>1</v>
      </c>
      <c r="V701" s="60">
        <f>INDEX(BSFC!$D$4:$AD$26,MATCH(U701,BSFC!$B$4:$B$26,0),MATCH(G701,BSFC!$D$2:$AD$2,0))</f>
        <v>989.10544351999977</v>
      </c>
      <c r="W701" s="60">
        <f t="shared" si="212"/>
        <v>9.1931983975341913E-2</v>
      </c>
      <c r="X701" s="60">
        <f t="shared" si="209"/>
        <v>9.1931983975341913E-2</v>
      </c>
      <c r="Y701" s="60">
        <f t="shared" si="210"/>
        <v>0.28406983048380652</v>
      </c>
      <c r="Z701" s="79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x14ac:dyDescent="0.3">
      <c r="A702" s="55">
        <v>3</v>
      </c>
      <c r="B702" s="60" t="s">
        <v>111</v>
      </c>
      <c r="C702" s="60">
        <f t="shared" si="213"/>
        <v>699</v>
      </c>
      <c r="D702" s="60">
        <f t="shared" si="203"/>
        <v>18.81317</v>
      </c>
      <c r="E702" s="60">
        <f t="shared" si="217"/>
        <v>8.41</v>
      </c>
      <c r="F702" s="89">
        <f>($C$4/E702)+F701</f>
        <v>85.323763639199925</v>
      </c>
      <c r="G702" s="60">
        <f t="shared" si="215"/>
        <v>4500</v>
      </c>
      <c r="H702" s="60">
        <v>2</v>
      </c>
      <c r="I702" s="89">
        <f>E702-E701</f>
        <v>-0.5</v>
      </c>
      <c r="J702" s="60">
        <f>(0.5*VEHICLE!$C$71*VEHICLE!$C$28*VEHICLE!$C$27*'Drive Cycle'!E702^2)</f>
        <v>62.920007745209993</v>
      </c>
      <c r="K702" s="60">
        <f>IF(A702=1,VEHICLE!$S$5,IF(A702=2,VEHICLE!$Q$5,IF(A702=3,VEHICLE!$R$5,IF(A702=4,VEHICLE!$P$5,1))))</f>
        <v>556.55073000000004</v>
      </c>
      <c r="L702" s="60">
        <v>0</v>
      </c>
      <c r="M702" s="60">
        <f t="shared" si="211"/>
        <v>0</v>
      </c>
      <c r="N702" s="60">
        <f t="shared" si="204"/>
        <v>0</v>
      </c>
      <c r="O702" s="60">
        <f t="shared" si="205"/>
        <v>0</v>
      </c>
      <c r="P702" s="60">
        <f t="shared" si="206"/>
        <v>619.47073774521004</v>
      </c>
      <c r="Q702" s="60">
        <f>IF(H702=1,I702*VEHICLE!$C$69,IF(H702=2,VEHICLE!$C$70*I702,IF(H702=3,VEHICLE!$C$71*I702,0)))</f>
        <v>-292.57424326505867</v>
      </c>
      <c r="R702" s="60">
        <f>(J702+K702+O702+Q702)</f>
        <v>326.89649448015138</v>
      </c>
      <c r="S702" s="60">
        <f t="shared" si="207"/>
        <v>326.89649448015138</v>
      </c>
      <c r="T702" s="60">
        <f>ABS((R702)/((2*PI()*G702)/60))</f>
        <v>0.69369590634571421</v>
      </c>
      <c r="U702" s="60">
        <f t="shared" si="208"/>
        <v>1</v>
      </c>
      <c r="V702" s="60">
        <f>INDEX(BSFC!$D$4:$AD$26,MATCH(U702,BSFC!$B$4:$B$26,0),MATCH(G702,BSFC!$D$2:$AD$2,0))</f>
        <v>996.72332351999967</v>
      </c>
      <c r="W702" s="60">
        <f t="shared" si="212"/>
        <v>9.0507044562581587E-2</v>
      </c>
      <c r="X702" s="60">
        <f t="shared" si="209"/>
        <v>9.0507044562581587E-2</v>
      </c>
      <c r="Y702" s="60">
        <f t="shared" si="210"/>
        <v>0.27966676769837712</v>
      </c>
      <c r="Z702" s="79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x14ac:dyDescent="0.3">
      <c r="A703" s="55">
        <v>3</v>
      </c>
      <c r="B703" s="60" t="s">
        <v>111</v>
      </c>
      <c r="C703" s="60">
        <f t="shared" si="213"/>
        <v>700</v>
      </c>
      <c r="D703" s="60">
        <f t="shared" si="203"/>
        <v>17.694670000000002</v>
      </c>
      <c r="E703" s="60">
        <f t="shared" si="217"/>
        <v>7.91</v>
      </c>
      <c r="F703" s="89">
        <f>($C$4/E703)+F702</f>
        <v>85.450185889515978</v>
      </c>
      <c r="G703" s="60">
        <f t="shared" si="215"/>
        <v>4250</v>
      </c>
      <c r="H703" s="60">
        <v>2</v>
      </c>
      <c r="I703" s="89">
        <f>E703-E702</f>
        <v>-0.5</v>
      </c>
      <c r="J703" s="60">
        <f>(0.5*VEHICLE!$C$71*VEHICLE!$C$28*VEHICLE!$C$27*'Drive Cycle'!E703^2)</f>
        <v>55.660838289209991</v>
      </c>
      <c r="K703" s="60">
        <f>IF(A703=1,VEHICLE!$S$5,IF(A703=2,VEHICLE!$Q$5,IF(A703=3,VEHICLE!$R$5,IF(A703=4,VEHICLE!$P$5,1))))</f>
        <v>556.55073000000004</v>
      </c>
      <c r="L703" s="60">
        <v>0</v>
      </c>
      <c r="M703" s="60">
        <f t="shared" si="211"/>
        <v>0</v>
      </c>
      <c r="N703" s="60">
        <f t="shared" si="204"/>
        <v>0</v>
      </c>
      <c r="O703" s="60">
        <f t="shared" si="205"/>
        <v>0</v>
      </c>
      <c r="P703" s="60">
        <f t="shared" si="206"/>
        <v>612.21156828921005</v>
      </c>
      <c r="Q703" s="60">
        <f>IF(H703=1,I703*VEHICLE!$C$69,IF(H703=2,VEHICLE!$C$70*I703,IF(H703=3,VEHICLE!$C$71*I703,0)))</f>
        <v>-292.57424326505867</v>
      </c>
      <c r="R703" s="60">
        <f>(J703+K703+O703+Q703)</f>
        <v>319.63732502415138</v>
      </c>
      <c r="S703" s="60">
        <f t="shared" si="207"/>
        <v>319.63732502415138</v>
      </c>
      <c r="T703" s="60">
        <f>ABS((R703)/((2*PI()*G703)/60))</f>
        <v>0.71819096857785136</v>
      </c>
      <c r="U703" s="60">
        <f t="shared" si="208"/>
        <v>1</v>
      </c>
      <c r="V703" s="60">
        <f>INDEX(BSFC!$D$4:$AD$26,MATCH(U703,BSFC!$B$4:$B$26,0),MATCH(G703,BSFC!$D$2:$AD$2,0))</f>
        <v>1010.1133235199997</v>
      </c>
      <c r="W703" s="60">
        <f t="shared" si="212"/>
        <v>8.9686089083663309E-2</v>
      </c>
      <c r="X703" s="60">
        <f t="shared" si="209"/>
        <v>8.9686089083663309E-2</v>
      </c>
      <c r="Y703" s="60">
        <f t="shared" si="210"/>
        <v>0.2771300152685196</v>
      </c>
      <c r="Z703" s="79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x14ac:dyDescent="0.3">
      <c r="A704" s="55">
        <v>3</v>
      </c>
      <c r="B704" s="60" t="s">
        <v>111</v>
      </c>
      <c r="C704" s="60">
        <f t="shared" si="213"/>
        <v>701</v>
      </c>
      <c r="D704" s="60">
        <f t="shared" si="203"/>
        <v>16.576170000000001</v>
      </c>
      <c r="E704" s="60">
        <f t="shared" si="217"/>
        <v>7.41</v>
      </c>
      <c r="F704" s="89">
        <f>($C$4/E704)+F703</f>
        <v>85.58513865604769</v>
      </c>
      <c r="G704" s="60">
        <f t="shared" si="215"/>
        <v>4000</v>
      </c>
      <c r="H704" s="60">
        <v>2</v>
      </c>
      <c r="I704" s="89">
        <f>E704-E703</f>
        <v>-0.5</v>
      </c>
      <c r="J704" s="60">
        <f>(0.5*VEHICLE!$C$71*VEHICLE!$C$28*VEHICLE!$C$27*'Drive Cycle'!E704^2)</f>
        <v>48.846470883209996</v>
      </c>
      <c r="K704" s="60">
        <f>IF(A704=1,VEHICLE!$S$5,IF(A704=2,VEHICLE!$Q$5,IF(A704=3,VEHICLE!$R$5,IF(A704=4,VEHICLE!$P$5,1))))</f>
        <v>556.55073000000004</v>
      </c>
      <c r="L704" s="60">
        <v>0</v>
      </c>
      <c r="M704" s="60">
        <f t="shared" si="211"/>
        <v>0</v>
      </c>
      <c r="N704" s="60">
        <f t="shared" si="204"/>
        <v>0</v>
      </c>
      <c r="O704" s="60">
        <f t="shared" si="205"/>
        <v>0</v>
      </c>
      <c r="P704" s="60">
        <f t="shared" si="206"/>
        <v>605.39720088321008</v>
      </c>
      <c r="Q704" s="60">
        <f>IF(H704=1,I704*VEHICLE!$C$69,IF(H704=2,VEHICLE!$C$70*I704,IF(H704=3,VEHICLE!$C$71*I704,0)))</f>
        <v>-292.57424326505867</v>
      </c>
      <c r="R704" s="60">
        <f>(J704+K704+O704+Q704)</f>
        <v>312.82295761815141</v>
      </c>
      <c r="S704" s="60">
        <f t="shared" si="207"/>
        <v>312.82295761815141</v>
      </c>
      <c r="T704" s="60">
        <f>ABS((R704)/((2*PI()*G704)/60))</f>
        <v>0.74680980026332922</v>
      </c>
      <c r="U704" s="60">
        <f t="shared" si="208"/>
        <v>1</v>
      </c>
      <c r="V704" s="60">
        <f>INDEX(BSFC!$D$4:$AD$26,MATCH(U704,BSFC!$B$4:$B$26,0),MATCH(G704,BSFC!$D$2:$AD$2,0))</f>
        <v>1026.1408156799998</v>
      </c>
      <c r="W704" s="60">
        <f t="shared" si="212"/>
        <v>8.9166779137144422E-2</v>
      </c>
      <c r="X704" s="60">
        <f t="shared" si="209"/>
        <v>8.9166779137144422E-2</v>
      </c>
      <c r="Y704" s="60">
        <f t="shared" si="210"/>
        <v>0.27552534753377628</v>
      </c>
      <c r="Z704" s="79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x14ac:dyDescent="0.3">
      <c r="A705" s="55">
        <v>3</v>
      </c>
      <c r="B705" s="60" t="s">
        <v>111</v>
      </c>
      <c r="C705" s="60">
        <f t="shared" si="213"/>
        <v>702</v>
      </c>
      <c r="D705" s="60">
        <f t="shared" si="203"/>
        <v>15.45767</v>
      </c>
      <c r="E705" s="60">
        <f t="shared" si="217"/>
        <v>6.91</v>
      </c>
      <c r="F705" s="89">
        <f>($C$4/E705)+F704</f>
        <v>85.729856456337131</v>
      </c>
      <c r="G705" s="60">
        <f t="shared" si="215"/>
        <v>3750</v>
      </c>
      <c r="H705" s="60">
        <v>2</v>
      </c>
      <c r="I705" s="89">
        <f>E705-E704</f>
        <v>-0.5</v>
      </c>
      <c r="J705" s="60">
        <f>(0.5*VEHICLE!$C$71*VEHICLE!$C$28*VEHICLE!$C$27*'Drive Cycle'!E705^2)</f>
        <v>42.476905527209993</v>
      </c>
      <c r="K705" s="60">
        <f>IF(A705=1,VEHICLE!$S$5,IF(A705=2,VEHICLE!$Q$5,IF(A705=3,VEHICLE!$R$5,IF(A705=4,VEHICLE!$P$5,1))))</f>
        <v>556.55073000000004</v>
      </c>
      <c r="L705" s="60">
        <v>0</v>
      </c>
      <c r="M705" s="60">
        <f t="shared" si="211"/>
        <v>0</v>
      </c>
      <c r="N705" s="60">
        <f t="shared" si="204"/>
        <v>0</v>
      </c>
      <c r="O705" s="60">
        <f t="shared" si="205"/>
        <v>0</v>
      </c>
      <c r="P705" s="60">
        <f t="shared" si="206"/>
        <v>599.02763552721001</v>
      </c>
      <c r="Q705" s="60">
        <f>IF(H705=1,I705*VEHICLE!$C$69,IF(H705=2,VEHICLE!$C$70*I705,IF(H705=3,VEHICLE!$C$71*I705,0)))</f>
        <v>-292.57424326505867</v>
      </c>
      <c r="R705" s="60">
        <f>(J705+K705+O705+Q705)</f>
        <v>306.45339226215134</v>
      </c>
      <c r="S705" s="60">
        <f t="shared" si="207"/>
        <v>306.45339226215134</v>
      </c>
      <c r="T705" s="60">
        <f>ABS((R705)/((2*PI()*G705)/60))</f>
        <v>0.78037715529281559</v>
      </c>
      <c r="U705" s="60">
        <f t="shared" si="208"/>
        <v>1</v>
      </c>
      <c r="V705" s="60">
        <f>INDEX(BSFC!$D$4:$AD$26,MATCH(U705,BSFC!$B$4:$B$26,0),MATCH(G705,BSFC!$D$2:$AD$2,0))</f>
        <v>1035.6786156799997</v>
      </c>
      <c r="W705" s="60">
        <f t="shared" si="212"/>
        <v>8.816311807458467E-2</v>
      </c>
      <c r="X705" s="60">
        <f t="shared" si="209"/>
        <v>8.816311807458467E-2</v>
      </c>
      <c r="Y705" s="60">
        <f t="shared" si="210"/>
        <v>0.27242403485046662</v>
      </c>
      <c r="Z705" s="79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x14ac:dyDescent="0.3">
      <c r="A706" s="55">
        <v>3</v>
      </c>
      <c r="B706" s="60" t="s">
        <v>111</v>
      </c>
      <c r="C706" s="60">
        <f t="shared" si="213"/>
        <v>703</v>
      </c>
      <c r="D706" s="60">
        <f t="shared" si="203"/>
        <v>14.339170000000001</v>
      </c>
      <c r="E706" s="60">
        <f t="shared" si="217"/>
        <v>6.41</v>
      </c>
      <c r="F706" s="89">
        <f>($C$4/E706)+F705</f>
        <v>85.885862696586742</v>
      </c>
      <c r="G706" s="60">
        <f t="shared" si="215"/>
        <v>3500</v>
      </c>
      <c r="H706" s="60">
        <v>2</v>
      </c>
      <c r="I706" s="89">
        <f>E706-E705</f>
        <v>-0.5</v>
      </c>
      <c r="J706" s="60">
        <f>(0.5*VEHICLE!$C$71*VEHICLE!$C$28*VEHICLE!$C$27*'Drive Cycle'!E706^2)</f>
        <v>36.552142221209998</v>
      </c>
      <c r="K706" s="60">
        <f>IF(A706=1,VEHICLE!$S$5,IF(A706=2,VEHICLE!$Q$5,IF(A706=3,VEHICLE!$R$5,IF(A706=4,VEHICLE!$P$5,1))))</f>
        <v>556.55073000000004</v>
      </c>
      <c r="L706" s="60">
        <v>0</v>
      </c>
      <c r="M706" s="60">
        <f t="shared" si="211"/>
        <v>0</v>
      </c>
      <c r="N706" s="60">
        <f t="shared" si="204"/>
        <v>0</v>
      </c>
      <c r="O706" s="60">
        <f t="shared" si="205"/>
        <v>0</v>
      </c>
      <c r="P706" s="60">
        <f t="shared" si="206"/>
        <v>593.10287222121008</v>
      </c>
      <c r="Q706" s="60">
        <f>IF(H706=1,I706*VEHICLE!$C$69,IF(H706=2,VEHICLE!$C$70*I706,IF(H706=3,VEHICLE!$C$71*I706,0)))</f>
        <v>-292.57424326505867</v>
      </c>
      <c r="R706" s="60">
        <f>(J706+K706+O706+Q706)</f>
        <v>300.52862895615141</v>
      </c>
      <c r="S706" s="60">
        <f t="shared" si="207"/>
        <v>300.52862895615141</v>
      </c>
      <c r="T706" s="60">
        <f>ABS((R706)/((2*PI()*G706)/60))</f>
        <v>0.81995343152574196</v>
      </c>
      <c r="U706" s="60">
        <f t="shared" si="208"/>
        <v>1</v>
      </c>
      <c r="V706" s="60">
        <f>INDEX(BSFC!$D$4:$AD$26,MATCH(U706,BSFC!$B$4:$B$26,0),MATCH(G706,BSFC!$D$2:$AD$2,0))</f>
        <v>1034.2259366399996</v>
      </c>
      <c r="W706" s="60">
        <f t="shared" si="212"/>
        <v>8.6337361880364061E-2</v>
      </c>
      <c r="X706" s="60">
        <f t="shared" si="209"/>
        <v>8.6337361880364061E-2</v>
      </c>
      <c r="Y706" s="60">
        <f t="shared" si="210"/>
        <v>0.26678244821032493</v>
      </c>
      <c r="Z706" s="79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x14ac:dyDescent="0.3">
      <c r="A707" s="55">
        <v>3</v>
      </c>
      <c r="B707" s="60" t="s">
        <v>111</v>
      </c>
      <c r="C707" s="60">
        <f t="shared" si="213"/>
        <v>704</v>
      </c>
      <c r="D707" s="60">
        <f t="shared" si="203"/>
        <v>13.22067</v>
      </c>
      <c r="E707" s="60">
        <f t="shared" si="217"/>
        <v>5.91</v>
      </c>
      <c r="F707" s="89">
        <f>($C$4/E707)+F706</f>
        <v>86.055067434319398</v>
      </c>
      <c r="G707" s="60">
        <f t="shared" si="215"/>
        <v>3250</v>
      </c>
      <c r="H707" s="60">
        <v>2</v>
      </c>
      <c r="I707" s="89">
        <f>E707-E706</f>
        <v>-0.5</v>
      </c>
      <c r="J707" s="60">
        <f>(0.5*VEHICLE!$C$71*VEHICLE!$C$28*VEHICLE!$C$27*'Drive Cycle'!E707^2)</f>
        <v>31.072180965209999</v>
      </c>
      <c r="K707" s="60">
        <f>IF(A707=1,VEHICLE!$S$5,IF(A707=2,VEHICLE!$Q$5,IF(A707=3,VEHICLE!$R$5,IF(A707=4,VEHICLE!$P$5,1))))</f>
        <v>556.55073000000004</v>
      </c>
      <c r="L707" s="60">
        <v>0</v>
      </c>
      <c r="M707" s="60">
        <f t="shared" si="211"/>
        <v>0</v>
      </c>
      <c r="N707" s="60">
        <f t="shared" si="204"/>
        <v>0</v>
      </c>
      <c r="O707" s="60">
        <f t="shared" si="205"/>
        <v>0</v>
      </c>
      <c r="P707" s="60">
        <f t="shared" si="206"/>
        <v>587.62291096521005</v>
      </c>
      <c r="Q707" s="60">
        <f>IF(H707=1,I707*VEHICLE!$C$69,IF(H707=2,VEHICLE!$C$70*I707,IF(H707=3,VEHICLE!$C$71*I707,0)))</f>
        <v>-292.57424326505867</v>
      </c>
      <c r="R707" s="60">
        <f>(J707+K707+O707+Q707)</f>
        <v>295.04866770015138</v>
      </c>
      <c r="S707" s="60">
        <f t="shared" si="207"/>
        <v>295.04866770015138</v>
      </c>
      <c r="T707" s="60">
        <f>ABS((R707)/((2*PI()*G707)/60))</f>
        <v>0.86692530308597782</v>
      </c>
      <c r="U707" s="60">
        <f t="shared" si="208"/>
        <v>1</v>
      </c>
      <c r="V707" s="60">
        <f>INDEX(BSFC!$D$4:$AD$26,MATCH(U707,BSFC!$B$4:$B$26,0),MATCH(G707,BSFC!$D$2:$AD$2,0))</f>
        <v>1044.1005466399997</v>
      </c>
      <c r="W707" s="60">
        <f t="shared" si="212"/>
        <v>8.5572354230869924E-2</v>
      </c>
      <c r="X707" s="60">
        <f t="shared" si="209"/>
        <v>8.5572354230869924E-2</v>
      </c>
      <c r="Y707" s="60">
        <f t="shared" si="210"/>
        <v>0.26441857457338808</v>
      </c>
      <c r="Z707" s="79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x14ac:dyDescent="0.3">
      <c r="A708" s="55">
        <v>3</v>
      </c>
      <c r="B708" s="60" t="s">
        <v>111</v>
      </c>
      <c r="C708" s="60">
        <f t="shared" si="213"/>
        <v>705</v>
      </c>
      <c r="D708" s="60">
        <f t="shared" ref="D708:D771" si="218">E708*2.237</f>
        <v>12.102170000000001</v>
      </c>
      <c r="E708" s="60">
        <f t="shared" si="217"/>
        <v>5.41</v>
      </c>
      <c r="F708" s="89">
        <f>($C$4/E708)+F707</f>
        <v>86.239910317868379</v>
      </c>
      <c r="G708" s="60">
        <f t="shared" si="215"/>
        <v>3000</v>
      </c>
      <c r="H708" s="60">
        <v>2</v>
      </c>
      <c r="I708" s="89">
        <f>E708-E707</f>
        <v>-0.5</v>
      </c>
      <c r="J708" s="60">
        <f>(0.5*VEHICLE!$C$71*VEHICLE!$C$28*VEHICLE!$C$27*'Drive Cycle'!E708^2)</f>
        <v>26.037021759209999</v>
      </c>
      <c r="K708" s="60">
        <f>IF(A708=1,VEHICLE!$S$5,IF(A708=2,VEHICLE!$Q$5,IF(A708=3,VEHICLE!$R$5,IF(A708=4,VEHICLE!$P$5,1))))</f>
        <v>556.55073000000004</v>
      </c>
      <c r="L708" s="60">
        <v>0</v>
      </c>
      <c r="M708" s="60">
        <f t="shared" si="211"/>
        <v>0</v>
      </c>
      <c r="N708" s="60">
        <f t="shared" ref="N708:N771" si="219">DEGREES(ATAN(M708/$C$4))</f>
        <v>0</v>
      </c>
      <c r="O708" s="60">
        <f t="shared" ref="O708:O771" si="220">9.81*SIN(RADIANS(N708))*($C$47)</f>
        <v>0</v>
      </c>
      <c r="P708" s="60">
        <f t="shared" ref="P708:P771" si="221">J708+K708+O708</f>
        <v>582.58775175921005</v>
      </c>
      <c r="Q708" s="60">
        <f>IF(H708=1,I708*VEHICLE!$C$69,IF(H708=2,VEHICLE!$C$70*I708,IF(H708=3,VEHICLE!$C$71*I708,0)))</f>
        <v>-292.57424326505867</v>
      </c>
      <c r="R708" s="60">
        <f>(J708+K708+O708+Q708)</f>
        <v>290.01350849415138</v>
      </c>
      <c r="S708" s="60">
        <f t="shared" ref="S708:S771" si="222">ABS(R708)</f>
        <v>290.01350849415138</v>
      </c>
      <c r="T708" s="60">
        <f>ABS((R708)/((2*PI()*G708)/60))</f>
        <v>0.92314166880535131</v>
      </c>
      <c r="U708" s="60">
        <f t="shared" ref="U708:U771" si="223">ROUNDUP(T708,0)</f>
        <v>1</v>
      </c>
      <c r="V708" s="60">
        <f>INDEX(BSFC!$D$4:$AD$26,MATCH(U708,BSFC!$B$4:$B$26,0),MATCH(G708,BSFC!$D$2:$AD$2,0))</f>
        <v>1049.8371440000003</v>
      </c>
      <c r="W708" s="60">
        <f t="shared" si="212"/>
        <v>8.4574153744144356E-2</v>
      </c>
      <c r="X708" s="60">
        <f t="shared" ref="X708:X771" si="224">ABS(W708)</f>
        <v>8.4574153744144356E-2</v>
      </c>
      <c r="Y708" s="60">
        <f t="shared" ref="Y708:Y771" si="225">W708*3.09</f>
        <v>0.26133413506940606</v>
      </c>
      <c r="Z708" s="79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x14ac:dyDescent="0.3">
      <c r="A709" s="55">
        <v>3</v>
      </c>
      <c r="B709" s="60" t="s">
        <v>111</v>
      </c>
      <c r="C709" s="60">
        <f t="shared" si="213"/>
        <v>706</v>
      </c>
      <c r="D709" s="60">
        <f t="shared" si="218"/>
        <v>10.98367</v>
      </c>
      <c r="E709" s="60">
        <f t="shared" si="217"/>
        <v>4.91</v>
      </c>
      <c r="F709" s="89">
        <f>($C$4/E709)+F708</f>
        <v>86.443576305648421</v>
      </c>
      <c r="G709" s="60">
        <f t="shared" si="215"/>
        <v>2750</v>
      </c>
      <c r="H709" s="60">
        <v>1</v>
      </c>
      <c r="I709" s="89">
        <f>E709-E708</f>
        <v>-0.5</v>
      </c>
      <c r="J709" s="60">
        <f>(0.5*VEHICLE!$C$71*VEHICLE!$C$28*VEHICLE!$C$27*'Drive Cycle'!E709^2)</f>
        <v>21.446664603209999</v>
      </c>
      <c r="K709" s="60">
        <f>IF(A709=1,VEHICLE!$S$5,IF(A709=2,VEHICLE!$Q$5,IF(A709=3,VEHICLE!$R$5,IF(A709=4,VEHICLE!$P$5,1))))</f>
        <v>556.55073000000004</v>
      </c>
      <c r="L709" s="60">
        <v>0</v>
      </c>
      <c r="M709" s="60">
        <f t="shared" ref="M709:M772" si="226">L709-L708</f>
        <v>0</v>
      </c>
      <c r="N709" s="60">
        <f t="shared" si="219"/>
        <v>0</v>
      </c>
      <c r="O709" s="60">
        <f t="shared" si="220"/>
        <v>0</v>
      </c>
      <c r="P709" s="60">
        <f t="shared" si="221"/>
        <v>577.99739460321007</v>
      </c>
      <c r="Q709" s="60">
        <f>IF(H709=1,I709*VEHICLE!$C$69,IF(H709=2,VEHICLE!$C$70*I709,IF(H709=3,VEHICLE!$C$71*I709,0)))</f>
        <v>-293.66011771409734</v>
      </c>
      <c r="R709" s="60">
        <f>(J709+K709+O709+Q709)</f>
        <v>284.33727688911273</v>
      </c>
      <c r="S709" s="60">
        <f t="shared" si="222"/>
        <v>284.33727688911273</v>
      </c>
      <c r="T709" s="60">
        <f>ABS((R709)/((2*PI()*G709)/60))</f>
        <v>0.98735308630235419</v>
      </c>
      <c r="U709" s="60">
        <f t="shared" si="223"/>
        <v>1</v>
      </c>
      <c r="V709" s="60">
        <f>INDEX(BSFC!$D$4:$AD$26,MATCH(U709,BSFC!$B$4:$B$26,0),MATCH(G709,BSFC!$D$2:$AD$2,0))</f>
        <v>1059.8533913600008</v>
      </c>
      <c r="W709" s="60">
        <f t="shared" ref="W709:W772" si="227">(R709*V709/3600)/1000</f>
        <v>8.3709952000276033E-2</v>
      </c>
      <c r="X709" s="60">
        <f t="shared" si="224"/>
        <v>8.3709952000276033E-2</v>
      </c>
      <c r="Y709" s="60">
        <f t="shared" si="225"/>
        <v>0.25866375168085293</v>
      </c>
      <c r="Z709" s="79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x14ac:dyDescent="0.3">
      <c r="A710" s="55">
        <v>3</v>
      </c>
      <c r="B710" s="60" t="s">
        <v>111</v>
      </c>
      <c r="C710" s="60">
        <f t="shared" si="213"/>
        <v>707</v>
      </c>
      <c r="D710" s="60">
        <f t="shared" si="218"/>
        <v>9.8651700000000009</v>
      </c>
      <c r="E710" s="60">
        <f t="shared" si="217"/>
        <v>4.41</v>
      </c>
      <c r="F710" s="89">
        <f>($C$4/E710)+F709</f>
        <v>86.670333675262938</v>
      </c>
      <c r="G710" s="60">
        <f>G709-250</f>
        <v>2500</v>
      </c>
      <c r="H710" s="60">
        <v>1</v>
      </c>
      <c r="I710" s="89">
        <f>E710-E709</f>
        <v>-0.5</v>
      </c>
      <c r="J710" s="60">
        <f>(0.5*VEHICLE!$C$71*VEHICLE!$C$28*VEHICLE!$C$27*'Drive Cycle'!E710^2)</f>
        <v>17.30110949721</v>
      </c>
      <c r="K710" s="60">
        <f>IF(A710=1,VEHICLE!$S$5,IF(A710=2,VEHICLE!$Q$5,IF(A710=3,VEHICLE!$R$5,IF(A710=4,VEHICLE!$P$5,1))))</f>
        <v>556.55073000000004</v>
      </c>
      <c r="L710" s="60">
        <v>0</v>
      </c>
      <c r="M710" s="60">
        <f t="shared" si="226"/>
        <v>0</v>
      </c>
      <c r="N710" s="60">
        <f t="shared" si="219"/>
        <v>0</v>
      </c>
      <c r="O710" s="60">
        <f t="shared" si="220"/>
        <v>0</v>
      </c>
      <c r="P710" s="60">
        <f t="shared" si="221"/>
        <v>573.85183949720999</v>
      </c>
      <c r="Q710" s="60">
        <f>IF(H710=1,I710*VEHICLE!$C$69,IF(H710=2,VEHICLE!$C$70*I710,IF(H710=3,VEHICLE!$C$71*I710,0)))</f>
        <v>-293.66011771409734</v>
      </c>
      <c r="R710" s="60">
        <f>(J710+K710+O710+Q710)</f>
        <v>280.19172178311265</v>
      </c>
      <c r="S710" s="60">
        <f t="shared" si="222"/>
        <v>280.19172178311265</v>
      </c>
      <c r="T710" s="60">
        <f>ABS((R710)/((2*PI()*G710)/60))</f>
        <v>1.0702535408450753</v>
      </c>
      <c r="U710" s="60">
        <f t="shared" si="223"/>
        <v>2</v>
      </c>
      <c r="V710" s="60">
        <f>INDEX(BSFC!$D$4:$AD$26,MATCH(U710,BSFC!$B$4:$B$26,0),MATCH(G710,BSFC!$D$2:$AD$2,0))</f>
        <v>952.83484224000051</v>
      </c>
      <c r="W710" s="60">
        <f t="shared" si="227"/>
        <v>7.4160120839490626E-2</v>
      </c>
      <c r="X710" s="60">
        <f t="shared" si="224"/>
        <v>7.4160120839490626E-2</v>
      </c>
      <c r="Y710" s="60">
        <f t="shared" si="225"/>
        <v>0.22915477339402601</v>
      </c>
      <c r="Z710" s="79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x14ac:dyDescent="0.3">
      <c r="A711" s="55">
        <v>3</v>
      </c>
      <c r="B711" s="60" t="s">
        <v>111</v>
      </c>
      <c r="C711" s="60">
        <f t="shared" si="213"/>
        <v>708</v>
      </c>
      <c r="D711" s="60">
        <f t="shared" si="218"/>
        <v>8.7466699999999999</v>
      </c>
      <c r="E711" s="60">
        <f t="shared" si="217"/>
        <v>3.91</v>
      </c>
      <c r="F711" s="89">
        <f>($C$4/E711)+F710</f>
        <v>86.926088150966265</v>
      </c>
      <c r="G711" s="60">
        <f t="shared" si="215"/>
        <v>2250</v>
      </c>
      <c r="H711" s="60">
        <v>1</v>
      </c>
      <c r="I711" s="89">
        <f>E711-E710</f>
        <v>-0.5</v>
      </c>
      <c r="J711" s="60">
        <f>(0.5*VEHICLE!$C$71*VEHICLE!$C$28*VEHICLE!$C$27*'Drive Cycle'!E711^2)</f>
        <v>13.60035644121</v>
      </c>
      <c r="K711" s="60">
        <f>IF(A711=1,VEHICLE!$S$5,IF(A711=2,VEHICLE!$Q$5,IF(A711=3,VEHICLE!$R$5,IF(A711=4,VEHICLE!$P$5,1))))</f>
        <v>556.55073000000004</v>
      </c>
      <c r="L711" s="60">
        <v>0</v>
      </c>
      <c r="M711" s="60">
        <f t="shared" si="226"/>
        <v>0</v>
      </c>
      <c r="N711" s="60">
        <f t="shared" si="219"/>
        <v>0</v>
      </c>
      <c r="O711" s="60">
        <f t="shared" si="220"/>
        <v>0</v>
      </c>
      <c r="P711" s="60">
        <f t="shared" si="221"/>
        <v>570.15108644121005</v>
      </c>
      <c r="Q711" s="60">
        <f>IF(H711=1,I711*VEHICLE!$C$69,IF(H711=2,VEHICLE!$C$70*I711,IF(H711=3,VEHICLE!$C$71*I711,0)))</f>
        <v>-293.66011771409734</v>
      </c>
      <c r="R711" s="60">
        <f>(J711+K711+O711+Q711)</f>
        <v>276.49096872711272</v>
      </c>
      <c r="S711" s="60">
        <f t="shared" si="222"/>
        <v>276.49096872711272</v>
      </c>
      <c r="T711" s="60">
        <f>ABS((R711)/((2*PI()*G711)/60))</f>
        <v>1.1734641171516436</v>
      </c>
      <c r="U711" s="60">
        <f t="shared" si="223"/>
        <v>2</v>
      </c>
      <c r="V711" s="60">
        <f>INDEX(BSFC!$D$4:$AD$26,MATCH(U711,BSFC!$B$4:$B$26,0),MATCH(G711,BSFC!$D$2:$AD$2,0))</f>
        <v>976.05928224000047</v>
      </c>
      <c r="W711" s="60">
        <f t="shared" si="227"/>
        <v>7.4964326800452244E-2</v>
      </c>
      <c r="X711" s="60">
        <f t="shared" si="224"/>
        <v>7.4964326800452244E-2</v>
      </c>
      <c r="Y711" s="60">
        <f t="shared" si="225"/>
        <v>0.23163976981339743</v>
      </c>
      <c r="Z711" s="79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x14ac:dyDescent="0.3">
      <c r="A712" s="55">
        <v>3</v>
      </c>
      <c r="B712" s="60" t="s">
        <v>111</v>
      </c>
      <c r="C712" s="60">
        <f t="shared" si="213"/>
        <v>709</v>
      </c>
      <c r="D712" s="60">
        <f t="shared" si="218"/>
        <v>7.6281700000000008</v>
      </c>
      <c r="E712" s="60">
        <f t="shared" si="217"/>
        <v>3.41</v>
      </c>
      <c r="F712" s="89">
        <f>($C$4/E712)+F711</f>
        <v>87.219343282931078</v>
      </c>
      <c r="G712" s="60">
        <f t="shared" si="215"/>
        <v>2000</v>
      </c>
      <c r="H712" s="60">
        <v>1</v>
      </c>
      <c r="I712" s="89">
        <f>E712-E711</f>
        <v>-0.5</v>
      </c>
      <c r="J712" s="60">
        <f>(0.5*VEHICLE!$C$71*VEHICLE!$C$28*VEHICLE!$C$27*'Drive Cycle'!E712^2)</f>
        <v>10.34440543521</v>
      </c>
      <c r="K712" s="60">
        <f>IF(A712=1,VEHICLE!$S$5,IF(A712=2,VEHICLE!$Q$5,IF(A712=3,VEHICLE!$R$5,IF(A712=4,VEHICLE!$P$5,1))))</f>
        <v>556.55073000000004</v>
      </c>
      <c r="L712" s="60">
        <v>0</v>
      </c>
      <c r="M712" s="60">
        <f t="shared" si="226"/>
        <v>0</v>
      </c>
      <c r="N712" s="60">
        <f t="shared" si="219"/>
        <v>0</v>
      </c>
      <c r="O712" s="60">
        <f t="shared" si="220"/>
        <v>0</v>
      </c>
      <c r="P712" s="60">
        <f t="shared" si="221"/>
        <v>566.89513543521002</v>
      </c>
      <c r="Q712" s="60">
        <f>IF(H712=1,I712*VEHICLE!$C$69,IF(H712=2,VEHICLE!$C$70*I712,IF(H712=3,VEHICLE!$C$71*I712,0)))</f>
        <v>-293.66011771409734</v>
      </c>
      <c r="R712" s="60">
        <f>(J712+K712+O712+Q712)</f>
        <v>273.23501772111268</v>
      </c>
      <c r="S712" s="60">
        <f t="shared" si="222"/>
        <v>273.23501772111268</v>
      </c>
      <c r="T712" s="60">
        <f>ABS((R712)/((2*PI()*G712)/60))</f>
        <v>1.3046011108835012</v>
      </c>
      <c r="U712" s="60">
        <f t="shared" si="223"/>
        <v>2</v>
      </c>
      <c r="V712" s="60">
        <f>INDEX(BSFC!$D$4:$AD$26,MATCH(U712,BSFC!$B$4:$B$26,0),MATCH(G712,BSFC!$D$2:$AD$2,0))</f>
        <v>976.38004896000075</v>
      </c>
      <c r="W712" s="60">
        <f t="shared" si="227"/>
        <v>7.4105894438924069E-2</v>
      </c>
      <c r="X712" s="60">
        <f t="shared" si="224"/>
        <v>7.4105894438924069E-2</v>
      </c>
      <c r="Y712" s="60">
        <f t="shared" si="225"/>
        <v>0.22898721381627538</v>
      </c>
      <c r="Z712" s="79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x14ac:dyDescent="0.3">
      <c r="A713" s="55">
        <v>3</v>
      </c>
      <c r="B713" s="60" t="s">
        <v>111</v>
      </c>
      <c r="C713" s="60">
        <f t="shared" si="213"/>
        <v>710</v>
      </c>
      <c r="D713" s="60">
        <f t="shared" si="218"/>
        <v>6.5096700000000007</v>
      </c>
      <c r="E713" s="60">
        <f t="shared" si="217"/>
        <v>2.91</v>
      </c>
      <c r="F713" s="89">
        <f>($C$4/E713)+F712</f>
        <v>87.562985894614926</v>
      </c>
      <c r="G713" s="60">
        <f t="shared" si="215"/>
        <v>1750</v>
      </c>
      <c r="H713" s="60">
        <v>1</v>
      </c>
      <c r="I713" s="89">
        <f>E713-E712</f>
        <v>-0.5</v>
      </c>
      <c r="J713" s="60">
        <f>(0.5*VEHICLE!$C$71*VEHICLE!$C$28*VEHICLE!$C$27*'Drive Cycle'!E713^2)</f>
        <v>7.5332564792100003</v>
      </c>
      <c r="K713" s="60">
        <f>IF(A713=1,VEHICLE!$S$5,IF(A713=2,VEHICLE!$Q$5,IF(A713=3,VEHICLE!$R$5,IF(A713=4,VEHICLE!$P$5,1))))</f>
        <v>556.55073000000004</v>
      </c>
      <c r="L713" s="60">
        <v>0</v>
      </c>
      <c r="M713" s="60">
        <f t="shared" si="226"/>
        <v>0</v>
      </c>
      <c r="N713" s="60">
        <f t="shared" si="219"/>
        <v>0</v>
      </c>
      <c r="O713" s="60">
        <f t="shared" si="220"/>
        <v>0</v>
      </c>
      <c r="P713" s="60">
        <f t="shared" si="221"/>
        <v>564.08398647921001</v>
      </c>
      <c r="Q713" s="60">
        <f>IF(H713=1,I713*VEHICLE!$C$69,IF(H713=2,VEHICLE!$C$70*I713,IF(H713=3,VEHICLE!$C$71*I713,0)))</f>
        <v>-293.66011771409734</v>
      </c>
      <c r="R713" s="60">
        <f>(J713+K713+O713+Q713)</f>
        <v>270.42386876511267</v>
      </c>
      <c r="S713" s="60">
        <f t="shared" si="222"/>
        <v>270.42386876511267</v>
      </c>
      <c r="T713" s="60">
        <f>ABS((R713)/((2*PI()*G713)/60))</f>
        <v>1.4756329866514863</v>
      </c>
      <c r="U713" s="60">
        <f t="shared" si="223"/>
        <v>2</v>
      </c>
      <c r="V713" s="60">
        <f>INDEX(BSFC!$D$4:$AD$26,MATCH(U713,BSFC!$B$4:$B$26,0),MATCH(G713,BSFC!$D$2:$AD$2,0))</f>
        <v>960.62104896000073</v>
      </c>
      <c r="W713" s="60">
        <f t="shared" si="227"/>
        <v>7.2159683465823368E-2</v>
      </c>
      <c r="X713" s="60">
        <f t="shared" si="224"/>
        <v>7.2159683465823368E-2</v>
      </c>
      <c r="Y713" s="60">
        <f t="shared" si="225"/>
        <v>0.2229734219093942</v>
      </c>
      <c r="Z713" s="79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x14ac:dyDescent="0.3">
      <c r="A714" s="55">
        <v>3</v>
      </c>
      <c r="B714" s="60" t="s">
        <v>111</v>
      </c>
      <c r="C714" s="60">
        <f t="shared" si="213"/>
        <v>711</v>
      </c>
      <c r="D714" s="60">
        <f t="shared" si="218"/>
        <v>5.3911700000000007</v>
      </c>
      <c r="E714" s="60">
        <f t="shared" si="217"/>
        <v>2.41</v>
      </c>
      <c r="F714" s="89">
        <f>($C$4/E714)+F713</f>
        <v>87.977923653951024</v>
      </c>
      <c r="G714" s="60">
        <f>G713</f>
        <v>1750</v>
      </c>
      <c r="H714" s="60">
        <v>1</v>
      </c>
      <c r="I714" s="89">
        <f>E714-E713</f>
        <v>-0.5</v>
      </c>
      <c r="J714" s="60">
        <f>(0.5*VEHICLE!$C$71*VEHICLE!$C$28*VEHICLE!$C$27*'Drive Cycle'!E714^2)</f>
        <v>5.1669095732099999</v>
      </c>
      <c r="K714" s="60">
        <f>IF(A714=1,VEHICLE!$S$5,IF(A714=2,VEHICLE!$Q$5,IF(A714=3,VEHICLE!$R$5,IF(A714=4,VEHICLE!$P$5,1))))</f>
        <v>556.55073000000004</v>
      </c>
      <c r="L714" s="60">
        <v>0</v>
      </c>
      <c r="M714" s="60">
        <f t="shared" si="226"/>
        <v>0</v>
      </c>
      <c r="N714" s="60">
        <f t="shared" si="219"/>
        <v>0</v>
      </c>
      <c r="O714" s="60">
        <f t="shared" si="220"/>
        <v>0</v>
      </c>
      <c r="P714" s="60">
        <f t="shared" si="221"/>
        <v>561.71763957321002</v>
      </c>
      <c r="Q714" s="60">
        <f>IF(H714=1,I714*VEHICLE!$C$69,IF(H714=2,VEHICLE!$C$70*I714,IF(H714=3,VEHICLE!$C$71*I714,0)))</f>
        <v>-293.66011771409734</v>
      </c>
      <c r="R714" s="60">
        <f>(J714+K714+O714+Q714)</f>
        <v>268.05752185911268</v>
      </c>
      <c r="S714" s="60">
        <f t="shared" si="222"/>
        <v>268.05752185911268</v>
      </c>
      <c r="T714" s="60">
        <f>ABS((R714)/((2*PI()*G714)/60))</f>
        <v>1.462720444691711</v>
      </c>
      <c r="U714" s="60">
        <f t="shared" si="223"/>
        <v>2</v>
      </c>
      <c r="V714" s="60">
        <f>INDEX(BSFC!$D$4:$AD$26,MATCH(U714,BSFC!$B$4:$B$26,0),MATCH(G714,BSFC!$D$2:$AD$2,0))</f>
        <v>960.62104896000073</v>
      </c>
      <c r="W714" s="60">
        <f t="shared" si="227"/>
        <v>7.1528249397199761E-2</v>
      </c>
      <c r="X714" s="60">
        <f t="shared" si="224"/>
        <v>7.1528249397199761E-2</v>
      </c>
      <c r="Y714" s="60">
        <f t="shared" si="225"/>
        <v>0.22102229063734724</v>
      </c>
      <c r="Z714" s="79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x14ac:dyDescent="0.3">
      <c r="A715" s="55">
        <v>3</v>
      </c>
      <c r="B715" s="61" t="s">
        <v>126</v>
      </c>
      <c r="C715" s="61">
        <f t="shared" si="213"/>
        <v>712</v>
      </c>
      <c r="D715" s="61">
        <f t="shared" si="218"/>
        <v>5.3911700000000007</v>
      </c>
      <c r="E715" s="61">
        <f>E714</f>
        <v>2.41</v>
      </c>
      <c r="F715" s="88">
        <f>($C$4/E715)+F714</f>
        <v>88.392861413287122</v>
      </c>
      <c r="G715" s="61">
        <f t="shared" ref="G715:G726" si="228">G714</f>
        <v>1750</v>
      </c>
      <c r="H715" s="61">
        <v>1</v>
      </c>
      <c r="I715" s="88">
        <f>E715-E714</f>
        <v>0</v>
      </c>
      <c r="J715" s="61">
        <f>(0.5*VEHICLE!$C$71*VEHICLE!$C$28*VEHICLE!$C$27*'Drive Cycle'!E715^2)</f>
        <v>5.1669095732099999</v>
      </c>
      <c r="K715" s="61">
        <f>IF(A715=1,VEHICLE!$S$5,IF(A715=2,VEHICLE!$Q$5,IF(A715=3,VEHICLE!$R$5,IF(A715=4,VEHICLE!$P$5,1))))</f>
        <v>556.55073000000004</v>
      </c>
      <c r="L715" s="61">
        <v>0</v>
      </c>
      <c r="M715" s="61">
        <f t="shared" si="226"/>
        <v>0</v>
      </c>
      <c r="N715" s="61">
        <f t="shared" si="219"/>
        <v>0</v>
      </c>
      <c r="O715" s="61">
        <f t="shared" si="220"/>
        <v>0</v>
      </c>
      <c r="P715" s="61">
        <f t="shared" si="221"/>
        <v>561.71763957321002</v>
      </c>
      <c r="Q715" s="61">
        <f>IF(H715=1,I715*VEHICLE!$C$69,IF(H715=2,VEHICLE!$C$70*I715,IF(H715=3,VEHICLE!$C$71*I715,0)))</f>
        <v>0</v>
      </c>
      <c r="R715" s="61">
        <f>(J715+K715+O715+Q715)</f>
        <v>561.71763957321002</v>
      </c>
      <c r="S715" s="61">
        <f t="shared" si="222"/>
        <v>561.71763957321002</v>
      </c>
      <c r="T715" s="61">
        <f>ABS((R715)/((2*PI()*G715)/60))</f>
        <v>3.0651476214853037</v>
      </c>
      <c r="U715" s="61">
        <f t="shared" si="223"/>
        <v>4</v>
      </c>
      <c r="V715" s="61">
        <f>INDEX(BSFC!$D$4:$AD$26,MATCH(U715,BSFC!$B$4:$B$26,0),MATCH(G715,BSFC!$D$2:$AD$2,0))</f>
        <v>825.52941312000007</v>
      </c>
      <c r="W715" s="61">
        <f t="shared" si="227"/>
        <v>0.12880956481556216</v>
      </c>
      <c r="X715" s="61">
        <f t="shared" si="224"/>
        <v>0.12880956481556216</v>
      </c>
      <c r="Y715" s="61">
        <f t="shared" si="225"/>
        <v>0.39802155528008704</v>
      </c>
      <c r="Z715" s="79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x14ac:dyDescent="0.3">
      <c r="A716" s="55">
        <v>3</v>
      </c>
      <c r="B716" s="61" t="s">
        <v>126</v>
      </c>
      <c r="C716" s="61">
        <f t="shared" si="213"/>
        <v>713</v>
      </c>
      <c r="D716" s="61">
        <f t="shared" si="218"/>
        <v>5.3911700000000007</v>
      </c>
      <c r="E716" s="61">
        <f t="shared" ref="E716:E725" si="229">E715</f>
        <v>2.41</v>
      </c>
      <c r="F716" s="88">
        <f>($C$4/E716)+F715</f>
        <v>88.80779917262322</v>
      </c>
      <c r="G716" s="61">
        <f t="shared" si="228"/>
        <v>1750</v>
      </c>
      <c r="H716" s="61">
        <v>1</v>
      </c>
      <c r="I716" s="88">
        <f>E716-E715</f>
        <v>0</v>
      </c>
      <c r="J716" s="61">
        <f>(0.5*VEHICLE!$C$71*VEHICLE!$C$28*VEHICLE!$C$27*'Drive Cycle'!E716^2)</f>
        <v>5.1669095732099999</v>
      </c>
      <c r="K716" s="61">
        <f>IF(A716=1,VEHICLE!$S$5,IF(A716=2,VEHICLE!$Q$5,IF(A716=3,VEHICLE!$R$5,IF(A716=4,VEHICLE!$P$5,1))))</f>
        <v>556.55073000000004</v>
      </c>
      <c r="L716" s="61">
        <v>0</v>
      </c>
      <c r="M716" s="61">
        <f t="shared" si="226"/>
        <v>0</v>
      </c>
      <c r="N716" s="61">
        <f t="shared" si="219"/>
        <v>0</v>
      </c>
      <c r="O716" s="61">
        <f t="shared" si="220"/>
        <v>0</v>
      </c>
      <c r="P716" s="61">
        <f t="shared" si="221"/>
        <v>561.71763957321002</v>
      </c>
      <c r="Q716" s="61">
        <f>IF(H716=1,I716*VEHICLE!$C$69,IF(H716=2,VEHICLE!$C$70*I716,IF(H716=3,VEHICLE!$C$71*I716,0)))</f>
        <v>0</v>
      </c>
      <c r="R716" s="61">
        <f>(J716+K716+O716+Q716)</f>
        <v>561.71763957321002</v>
      </c>
      <c r="S716" s="61">
        <f t="shared" si="222"/>
        <v>561.71763957321002</v>
      </c>
      <c r="T716" s="61">
        <f>ABS((R716)/((2*PI()*G716)/60))</f>
        <v>3.0651476214853037</v>
      </c>
      <c r="U716" s="61">
        <f t="shared" si="223"/>
        <v>4</v>
      </c>
      <c r="V716" s="61">
        <f>INDEX(BSFC!$D$4:$AD$26,MATCH(U716,BSFC!$B$4:$B$26,0),MATCH(G716,BSFC!$D$2:$AD$2,0))</f>
        <v>825.52941312000007</v>
      </c>
      <c r="W716" s="61">
        <f t="shared" si="227"/>
        <v>0.12880956481556216</v>
      </c>
      <c r="X716" s="61">
        <f t="shared" si="224"/>
        <v>0.12880956481556216</v>
      </c>
      <c r="Y716" s="61">
        <f t="shared" si="225"/>
        <v>0.39802155528008704</v>
      </c>
      <c r="Z716" s="79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x14ac:dyDescent="0.3">
      <c r="A717" s="55">
        <v>3</v>
      </c>
      <c r="B717" s="61" t="s">
        <v>126</v>
      </c>
      <c r="C717" s="61">
        <f t="shared" si="213"/>
        <v>714</v>
      </c>
      <c r="D717" s="61">
        <f t="shared" si="218"/>
        <v>5.3911700000000007</v>
      </c>
      <c r="E717" s="61">
        <f t="shared" si="229"/>
        <v>2.41</v>
      </c>
      <c r="F717" s="88">
        <f>($C$4/E717)+F716</f>
        <v>89.222736931959318</v>
      </c>
      <c r="G717" s="61">
        <f t="shared" si="228"/>
        <v>1750</v>
      </c>
      <c r="H717" s="61">
        <v>1</v>
      </c>
      <c r="I717" s="88">
        <f>E717-E716</f>
        <v>0</v>
      </c>
      <c r="J717" s="61">
        <f>(0.5*VEHICLE!$C$71*VEHICLE!$C$28*VEHICLE!$C$27*'Drive Cycle'!E717^2)</f>
        <v>5.1669095732099999</v>
      </c>
      <c r="K717" s="61">
        <f>IF(A717=1,VEHICLE!$S$5,IF(A717=2,VEHICLE!$Q$5,IF(A717=3,VEHICLE!$R$5,IF(A717=4,VEHICLE!$P$5,1))))</f>
        <v>556.55073000000004</v>
      </c>
      <c r="L717" s="61">
        <v>0</v>
      </c>
      <c r="M717" s="61">
        <f t="shared" si="226"/>
        <v>0</v>
      </c>
      <c r="N717" s="61">
        <f t="shared" si="219"/>
        <v>0</v>
      </c>
      <c r="O717" s="61">
        <f t="shared" si="220"/>
        <v>0</v>
      </c>
      <c r="P717" s="61">
        <f t="shared" si="221"/>
        <v>561.71763957321002</v>
      </c>
      <c r="Q717" s="61">
        <f>IF(H717=1,I717*VEHICLE!$C$69,IF(H717=2,VEHICLE!$C$70*I717,IF(H717=3,VEHICLE!$C$71*I717,0)))</f>
        <v>0</v>
      </c>
      <c r="R717" s="61">
        <f>(J717+K717+O717+Q717)</f>
        <v>561.71763957321002</v>
      </c>
      <c r="S717" s="61">
        <f t="shared" si="222"/>
        <v>561.71763957321002</v>
      </c>
      <c r="T717" s="61">
        <f>ABS((R717)/((2*PI()*G717)/60))</f>
        <v>3.0651476214853037</v>
      </c>
      <c r="U717" s="61">
        <f t="shared" si="223"/>
        <v>4</v>
      </c>
      <c r="V717" s="61">
        <f>INDEX(BSFC!$D$4:$AD$26,MATCH(U717,BSFC!$B$4:$B$26,0),MATCH(G717,BSFC!$D$2:$AD$2,0))</f>
        <v>825.52941312000007</v>
      </c>
      <c r="W717" s="61">
        <f t="shared" si="227"/>
        <v>0.12880956481556216</v>
      </c>
      <c r="X717" s="61">
        <f t="shared" si="224"/>
        <v>0.12880956481556216</v>
      </c>
      <c r="Y717" s="61">
        <f t="shared" si="225"/>
        <v>0.39802155528008704</v>
      </c>
      <c r="Z717" s="79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x14ac:dyDescent="0.3">
      <c r="A718" s="55">
        <v>3</v>
      </c>
      <c r="B718" s="61" t="s">
        <v>126</v>
      </c>
      <c r="C718" s="61">
        <f t="shared" si="213"/>
        <v>715</v>
      </c>
      <c r="D718" s="61">
        <f t="shared" si="218"/>
        <v>5.3911700000000007</v>
      </c>
      <c r="E718" s="61">
        <f t="shared" si="229"/>
        <v>2.41</v>
      </c>
      <c r="F718" s="88">
        <f>($C$4/E718)+F717</f>
        <v>89.637674691295416</v>
      </c>
      <c r="G718" s="61">
        <f t="shared" si="228"/>
        <v>1750</v>
      </c>
      <c r="H718" s="61">
        <v>1</v>
      </c>
      <c r="I718" s="88">
        <f>E718-E717</f>
        <v>0</v>
      </c>
      <c r="J718" s="61">
        <f>(0.5*VEHICLE!$C$71*VEHICLE!$C$28*VEHICLE!$C$27*'Drive Cycle'!E718^2)</f>
        <v>5.1669095732099999</v>
      </c>
      <c r="K718" s="61">
        <f>IF(A718=1,VEHICLE!$S$5,IF(A718=2,VEHICLE!$Q$5,IF(A718=3,VEHICLE!$R$5,IF(A718=4,VEHICLE!$P$5,1))))</f>
        <v>556.55073000000004</v>
      </c>
      <c r="L718" s="61">
        <v>0</v>
      </c>
      <c r="M718" s="61">
        <f t="shared" si="226"/>
        <v>0</v>
      </c>
      <c r="N718" s="61">
        <f t="shared" si="219"/>
        <v>0</v>
      </c>
      <c r="O718" s="61">
        <f t="shared" si="220"/>
        <v>0</v>
      </c>
      <c r="P718" s="61">
        <f t="shared" si="221"/>
        <v>561.71763957321002</v>
      </c>
      <c r="Q718" s="61">
        <f>IF(H718=1,I718*VEHICLE!$C$69,IF(H718=2,VEHICLE!$C$70*I718,IF(H718=3,VEHICLE!$C$71*I718,0)))</f>
        <v>0</v>
      </c>
      <c r="R718" s="61">
        <f>(J718+K718+O718+Q718)</f>
        <v>561.71763957321002</v>
      </c>
      <c r="S718" s="61">
        <f t="shared" si="222"/>
        <v>561.71763957321002</v>
      </c>
      <c r="T718" s="61">
        <f>ABS((R718)/((2*PI()*G718)/60))</f>
        <v>3.0651476214853037</v>
      </c>
      <c r="U718" s="61">
        <f t="shared" si="223"/>
        <v>4</v>
      </c>
      <c r="V718" s="61">
        <f>INDEX(BSFC!$D$4:$AD$26,MATCH(U718,BSFC!$B$4:$B$26,0),MATCH(G718,BSFC!$D$2:$AD$2,0))</f>
        <v>825.52941312000007</v>
      </c>
      <c r="W718" s="61">
        <f t="shared" si="227"/>
        <v>0.12880956481556216</v>
      </c>
      <c r="X718" s="61">
        <f t="shared" si="224"/>
        <v>0.12880956481556216</v>
      </c>
      <c r="Y718" s="61">
        <f t="shared" si="225"/>
        <v>0.39802155528008704</v>
      </c>
      <c r="Z718" s="79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x14ac:dyDescent="0.3">
      <c r="A719" s="55">
        <v>3</v>
      </c>
      <c r="B719" s="61" t="s">
        <v>126</v>
      </c>
      <c r="C719" s="61">
        <f t="shared" si="213"/>
        <v>716</v>
      </c>
      <c r="D719" s="61">
        <f t="shared" si="218"/>
        <v>5.3911700000000007</v>
      </c>
      <c r="E719" s="61">
        <f t="shared" si="229"/>
        <v>2.41</v>
      </c>
      <c r="F719" s="88">
        <f>($C$4/E719)+F718</f>
        <v>90.052612450631514</v>
      </c>
      <c r="G719" s="61">
        <f t="shared" si="228"/>
        <v>1750</v>
      </c>
      <c r="H719" s="61">
        <v>1</v>
      </c>
      <c r="I719" s="88">
        <f>E719-E718</f>
        <v>0</v>
      </c>
      <c r="J719" s="61">
        <f>(0.5*VEHICLE!$C$71*VEHICLE!$C$28*VEHICLE!$C$27*'Drive Cycle'!E719^2)</f>
        <v>5.1669095732099999</v>
      </c>
      <c r="K719" s="61">
        <f>IF(A719=1,VEHICLE!$S$5,IF(A719=2,VEHICLE!$Q$5,IF(A719=3,VEHICLE!$R$5,IF(A719=4,VEHICLE!$P$5,1))))</f>
        <v>556.55073000000004</v>
      </c>
      <c r="L719" s="61">
        <v>0</v>
      </c>
      <c r="M719" s="61">
        <f t="shared" si="226"/>
        <v>0</v>
      </c>
      <c r="N719" s="61">
        <f t="shared" si="219"/>
        <v>0</v>
      </c>
      <c r="O719" s="61">
        <f t="shared" si="220"/>
        <v>0</v>
      </c>
      <c r="P719" s="61">
        <f t="shared" si="221"/>
        <v>561.71763957321002</v>
      </c>
      <c r="Q719" s="61">
        <f>IF(H719=1,I719*VEHICLE!$C$69,IF(H719=2,VEHICLE!$C$70*I719,IF(H719=3,VEHICLE!$C$71*I719,0)))</f>
        <v>0</v>
      </c>
      <c r="R719" s="61">
        <f>(J719+K719+O719+Q719)</f>
        <v>561.71763957321002</v>
      </c>
      <c r="S719" s="61">
        <f t="shared" si="222"/>
        <v>561.71763957321002</v>
      </c>
      <c r="T719" s="61">
        <f>ABS((R719)/((2*PI()*G719)/60))</f>
        <v>3.0651476214853037</v>
      </c>
      <c r="U719" s="61">
        <f t="shared" si="223"/>
        <v>4</v>
      </c>
      <c r="V719" s="61">
        <f>INDEX(BSFC!$D$4:$AD$26,MATCH(U719,BSFC!$B$4:$B$26,0),MATCH(G719,BSFC!$D$2:$AD$2,0))</f>
        <v>825.52941312000007</v>
      </c>
      <c r="W719" s="61">
        <f t="shared" si="227"/>
        <v>0.12880956481556216</v>
      </c>
      <c r="X719" s="61">
        <f t="shared" si="224"/>
        <v>0.12880956481556216</v>
      </c>
      <c r="Y719" s="61">
        <f t="shared" si="225"/>
        <v>0.39802155528008704</v>
      </c>
      <c r="Z719" s="79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x14ac:dyDescent="0.3">
      <c r="A720" s="55">
        <v>3</v>
      </c>
      <c r="B720" s="61" t="s">
        <v>126</v>
      </c>
      <c r="C720" s="61">
        <f t="shared" si="213"/>
        <v>717</v>
      </c>
      <c r="D720" s="61">
        <f t="shared" si="218"/>
        <v>5.3911700000000007</v>
      </c>
      <c r="E720" s="61">
        <f t="shared" si="229"/>
        <v>2.41</v>
      </c>
      <c r="F720" s="88">
        <f>($C$4/E720)+F719</f>
        <v>90.467550209967612</v>
      </c>
      <c r="G720" s="61">
        <f t="shared" si="228"/>
        <v>1750</v>
      </c>
      <c r="H720" s="61">
        <v>1</v>
      </c>
      <c r="I720" s="88">
        <f>E720-E719</f>
        <v>0</v>
      </c>
      <c r="J720" s="61">
        <f>(0.5*VEHICLE!$C$71*VEHICLE!$C$28*VEHICLE!$C$27*'Drive Cycle'!E720^2)</f>
        <v>5.1669095732099999</v>
      </c>
      <c r="K720" s="61">
        <f>IF(A720=1,VEHICLE!$S$5,IF(A720=2,VEHICLE!$Q$5,IF(A720=3,VEHICLE!$R$5,IF(A720=4,VEHICLE!$P$5,1))))</f>
        <v>556.55073000000004</v>
      </c>
      <c r="L720" s="61">
        <v>0</v>
      </c>
      <c r="M720" s="61">
        <f t="shared" si="226"/>
        <v>0</v>
      </c>
      <c r="N720" s="61">
        <f t="shared" si="219"/>
        <v>0</v>
      </c>
      <c r="O720" s="61">
        <f t="shared" si="220"/>
        <v>0</v>
      </c>
      <c r="P720" s="61">
        <f t="shared" si="221"/>
        <v>561.71763957321002</v>
      </c>
      <c r="Q720" s="61">
        <f>IF(H720=1,I720*VEHICLE!$C$69,IF(H720=2,VEHICLE!$C$70*I720,IF(H720=3,VEHICLE!$C$71*I720,0)))</f>
        <v>0</v>
      </c>
      <c r="R720" s="61">
        <f>(J720+K720+O720+Q720)</f>
        <v>561.71763957321002</v>
      </c>
      <c r="S720" s="61">
        <f t="shared" si="222"/>
        <v>561.71763957321002</v>
      </c>
      <c r="T720" s="61">
        <f>ABS((R720)/((2*PI()*G720)/60))</f>
        <v>3.0651476214853037</v>
      </c>
      <c r="U720" s="61">
        <f t="shared" si="223"/>
        <v>4</v>
      </c>
      <c r="V720" s="61">
        <f>INDEX(BSFC!$D$4:$AD$26,MATCH(U720,BSFC!$B$4:$B$26,0),MATCH(G720,BSFC!$D$2:$AD$2,0))</f>
        <v>825.52941312000007</v>
      </c>
      <c r="W720" s="61">
        <f t="shared" si="227"/>
        <v>0.12880956481556216</v>
      </c>
      <c r="X720" s="61">
        <f t="shared" si="224"/>
        <v>0.12880956481556216</v>
      </c>
      <c r="Y720" s="61">
        <f t="shared" si="225"/>
        <v>0.39802155528008704</v>
      </c>
      <c r="Z720" s="79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x14ac:dyDescent="0.3">
      <c r="A721" s="55">
        <v>3</v>
      </c>
      <c r="B721" s="61" t="s">
        <v>126</v>
      </c>
      <c r="C721" s="61">
        <f t="shared" si="213"/>
        <v>718</v>
      </c>
      <c r="D721" s="61">
        <f t="shared" si="218"/>
        <v>5.3911700000000007</v>
      </c>
      <c r="E721" s="61">
        <f t="shared" si="229"/>
        <v>2.41</v>
      </c>
      <c r="F721" s="88">
        <f>($C$4/E721)+F720</f>
        <v>90.88248796930371</v>
      </c>
      <c r="G721" s="61">
        <f t="shared" si="228"/>
        <v>1750</v>
      </c>
      <c r="H721" s="61">
        <v>1</v>
      </c>
      <c r="I721" s="88">
        <f>E721-E720</f>
        <v>0</v>
      </c>
      <c r="J721" s="61">
        <f>(0.5*VEHICLE!$C$71*VEHICLE!$C$28*VEHICLE!$C$27*'Drive Cycle'!E721^2)</f>
        <v>5.1669095732099999</v>
      </c>
      <c r="K721" s="61">
        <f>IF(A721=1,VEHICLE!$S$5,IF(A721=2,VEHICLE!$Q$5,IF(A721=3,VEHICLE!$R$5,IF(A721=4,VEHICLE!$P$5,1))))</f>
        <v>556.55073000000004</v>
      </c>
      <c r="L721" s="61">
        <v>0</v>
      </c>
      <c r="M721" s="61">
        <f t="shared" si="226"/>
        <v>0</v>
      </c>
      <c r="N721" s="61">
        <f t="shared" si="219"/>
        <v>0</v>
      </c>
      <c r="O721" s="61">
        <f t="shared" si="220"/>
        <v>0</v>
      </c>
      <c r="P721" s="61">
        <f t="shared" si="221"/>
        <v>561.71763957321002</v>
      </c>
      <c r="Q721" s="61">
        <f>IF(H721=1,I721*VEHICLE!$C$69,IF(H721=2,VEHICLE!$C$70*I721,IF(H721=3,VEHICLE!$C$71*I721,0)))</f>
        <v>0</v>
      </c>
      <c r="R721" s="61">
        <f>(J721+K721+O721+Q721)</f>
        <v>561.71763957321002</v>
      </c>
      <c r="S721" s="61">
        <f t="shared" si="222"/>
        <v>561.71763957321002</v>
      </c>
      <c r="T721" s="61">
        <f>ABS((R721)/((2*PI()*G721)/60))</f>
        <v>3.0651476214853037</v>
      </c>
      <c r="U721" s="61">
        <f t="shared" si="223"/>
        <v>4</v>
      </c>
      <c r="V721" s="61">
        <f>INDEX(BSFC!$D$4:$AD$26,MATCH(U721,BSFC!$B$4:$B$26,0),MATCH(G721,BSFC!$D$2:$AD$2,0))</f>
        <v>825.52941312000007</v>
      </c>
      <c r="W721" s="61">
        <f t="shared" si="227"/>
        <v>0.12880956481556216</v>
      </c>
      <c r="X721" s="61">
        <f t="shared" si="224"/>
        <v>0.12880956481556216</v>
      </c>
      <c r="Y721" s="61">
        <f t="shared" si="225"/>
        <v>0.39802155528008704</v>
      </c>
      <c r="Z721" s="79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x14ac:dyDescent="0.3">
      <c r="A722" s="55">
        <v>3</v>
      </c>
      <c r="B722" s="61" t="s">
        <v>126</v>
      </c>
      <c r="C722" s="61">
        <f t="shared" si="213"/>
        <v>719</v>
      </c>
      <c r="D722" s="61">
        <f t="shared" si="218"/>
        <v>5.3911700000000007</v>
      </c>
      <c r="E722" s="61">
        <f t="shared" si="229"/>
        <v>2.41</v>
      </c>
      <c r="F722" s="88">
        <f>($C$4/E722)+F721</f>
        <v>91.297425728639809</v>
      </c>
      <c r="G722" s="61">
        <f t="shared" si="228"/>
        <v>1750</v>
      </c>
      <c r="H722" s="61">
        <v>1</v>
      </c>
      <c r="I722" s="88">
        <f>E722-E721</f>
        <v>0</v>
      </c>
      <c r="J722" s="61">
        <f>(0.5*VEHICLE!$C$71*VEHICLE!$C$28*VEHICLE!$C$27*'Drive Cycle'!E722^2)</f>
        <v>5.1669095732099999</v>
      </c>
      <c r="K722" s="61">
        <f>IF(A722=1,VEHICLE!$S$5,IF(A722=2,VEHICLE!$Q$5,IF(A722=3,VEHICLE!$R$5,IF(A722=4,VEHICLE!$P$5,1))))</f>
        <v>556.55073000000004</v>
      </c>
      <c r="L722" s="61">
        <v>0</v>
      </c>
      <c r="M722" s="61">
        <f t="shared" si="226"/>
        <v>0</v>
      </c>
      <c r="N722" s="61">
        <f t="shared" si="219"/>
        <v>0</v>
      </c>
      <c r="O722" s="61">
        <f t="shared" si="220"/>
        <v>0</v>
      </c>
      <c r="P722" s="61">
        <f t="shared" si="221"/>
        <v>561.71763957321002</v>
      </c>
      <c r="Q722" s="61">
        <f>IF(H722=1,I722*VEHICLE!$C$69,IF(H722=2,VEHICLE!$C$70*I722,IF(H722=3,VEHICLE!$C$71*I722,0)))</f>
        <v>0</v>
      </c>
      <c r="R722" s="61">
        <f>(J722+K722+O722+Q722)</f>
        <v>561.71763957321002</v>
      </c>
      <c r="S722" s="61">
        <f t="shared" si="222"/>
        <v>561.71763957321002</v>
      </c>
      <c r="T722" s="61">
        <f>ABS((R722)/((2*PI()*G722)/60))</f>
        <v>3.0651476214853037</v>
      </c>
      <c r="U722" s="61">
        <f t="shared" si="223"/>
        <v>4</v>
      </c>
      <c r="V722" s="61">
        <f>INDEX(BSFC!$D$4:$AD$26,MATCH(U722,BSFC!$B$4:$B$26,0),MATCH(G722,BSFC!$D$2:$AD$2,0))</f>
        <v>825.52941312000007</v>
      </c>
      <c r="W722" s="61">
        <f t="shared" si="227"/>
        <v>0.12880956481556216</v>
      </c>
      <c r="X722" s="61">
        <f t="shared" si="224"/>
        <v>0.12880956481556216</v>
      </c>
      <c r="Y722" s="61">
        <f t="shared" si="225"/>
        <v>0.39802155528008704</v>
      </c>
      <c r="Z722" s="79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x14ac:dyDescent="0.3">
      <c r="A723" s="55">
        <v>3</v>
      </c>
      <c r="B723" s="61" t="s">
        <v>126</v>
      </c>
      <c r="C723" s="61">
        <f t="shared" si="213"/>
        <v>720</v>
      </c>
      <c r="D723" s="61">
        <f t="shared" si="218"/>
        <v>5.3911700000000007</v>
      </c>
      <c r="E723" s="61">
        <f t="shared" si="229"/>
        <v>2.41</v>
      </c>
      <c r="F723" s="88">
        <f>($C$4/E723)+F722</f>
        <v>91.712363487975907</v>
      </c>
      <c r="G723" s="61">
        <f t="shared" si="228"/>
        <v>1750</v>
      </c>
      <c r="H723" s="61">
        <v>1</v>
      </c>
      <c r="I723" s="88">
        <f>E723-E722</f>
        <v>0</v>
      </c>
      <c r="J723" s="61">
        <f>(0.5*VEHICLE!$C$71*VEHICLE!$C$28*VEHICLE!$C$27*'Drive Cycle'!E723^2)</f>
        <v>5.1669095732099999</v>
      </c>
      <c r="K723" s="61">
        <f>IF(A723=1,VEHICLE!$S$5,IF(A723=2,VEHICLE!$Q$5,IF(A723=3,VEHICLE!$R$5,IF(A723=4,VEHICLE!$P$5,1))))</f>
        <v>556.55073000000004</v>
      </c>
      <c r="L723" s="61">
        <v>0</v>
      </c>
      <c r="M723" s="61">
        <f t="shared" si="226"/>
        <v>0</v>
      </c>
      <c r="N723" s="61">
        <f t="shared" si="219"/>
        <v>0</v>
      </c>
      <c r="O723" s="61">
        <f t="shared" si="220"/>
        <v>0</v>
      </c>
      <c r="P723" s="61">
        <f t="shared" si="221"/>
        <v>561.71763957321002</v>
      </c>
      <c r="Q723" s="61">
        <f>IF(H723=1,I723*VEHICLE!$C$69,IF(H723=2,VEHICLE!$C$70*I723,IF(H723=3,VEHICLE!$C$71*I723,0)))</f>
        <v>0</v>
      </c>
      <c r="R723" s="61">
        <f>(J723+K723+O723+Q723)</f>
        <v>561.71763957321002</v>
      </c>
      <c r="S723" s="61">
        <f t="shared" si="222"/>
        <v>561.71763957321002</v>
      </c>
      <c r="T723" s="61">
        <f>ABS((R723)/((2*PI()*G723)/60))</f>
        <v>3.0651476214853037</v>
      </c>
      <c r="U723" s="61">
        <f t="shared" si="223"/>
        <v>4</v>
      </c>
      <c r="V723" s="61">
        <f>INDEX(BSFC!$D$4:$AD$26,MATCH(U723,BSFC!$B$4:$B$26,0),MATCH(G723,BSFC!$D$2:$AD$2,0))</f>
        <v>825.52941312000007</v>
      </c>
      <c r="W723" s="61">
        <f t="shared" si="227"/>
        <v>0.12880956481556216</v>
      </c>
      <c r="X723" s="61">
        <f t="shared" si="224"/>
        <v>0.12880956481556216</v>
      </c>
      <c r="Y723" s="61">
        <f t="shared" si="225"/>
        <v>0.39802155528008704</v>
      </c>
      <c r="Z723" s="79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x14ac:dyDescent="0.3">
      <c r="A724" s="55">
        <v>3</v>
      </c>
      <c r="B724" s="61" t="s">
        <v>126</v>
      </c>
      <c r="C724" s="61">
        <f t="shared" si="213"/>
        <v>721</v>
      </c>
      <c r="D724" s="61">
        <f t="shared" si="218"/>
        <v>5.3911700000000007</v>
      </c>
      <c r="E724" s="61">
        <f t="shared" si="229"/>
        <v>2.41</v>
      </c>
      <c r="F724" s="88">
        <f>($C$4/E724)+F723</f>
        <v>92.127301247312005</v>
      </c>
      <c r="G724" s="61">
        <f t="shared" si="228"/>
        <v>1750</v>
      </c>
      <c r="H724" s="61">
        <v>1</v>
      </c>
      <c r="I724" s="88">
        <f>E724-E723</f>
        <v>0</v>
      </c>
      <c r="J724" s="61">
        <f>(0.5*VEHICLE!$C$71*VEHICLE!$C$28*VEHICLE!$C$27*'Drive Cycle'!E724^2)</f>
        <v>5.1669095732099999</v>
      </c>
      <c r="K724" s="61">
        <f>IF(A724=1,VEHICLE!$S$5,IF(A724=2,VEHICLE!$Q$5,IF(A724=3,VEHICLE!$R$5,IF(A724=4,VEHICLE!$P$5,1))))</f>
        <v>556.55073000000004</v>
      </c>
      <c r="L724" s="61">
        <v>0</v>
      </c>
      <c r="M724" s="61">
        <f t="shared" si="226"/>
        <v>0</v>
      </c>
      <c r="N724" s="61">
        <f t="shared" si="219"/>
        <v>0</v>
      </c>
      <c r="O724" s="61">
        <f t="shared" si="220"/>
        <v>0</v>
      </c>
      <c r="P724" s="61">
        <f t="shared" si="221"/>
        <v>561.71763957321002</v>
      </c>
      <c r="Q724" s="61">
        <f>IF(H724=1,I724*VEHICLE!$C$69,IF(H724=2,VEHICLE!$C$70*I724,IF(H724=3,VEHICLE!$C$71*I724,0)))</f>
        <v>0</v>
      </c>
      <c r="R724" s="61">
        <f>(J724+K724+O724+Q724)</f>
        <v>561.71763957321002</v>
      </c>
      <c r="S724" s="61">
        <f t="shared" si="222"/>
        <v>561.71763957321002</v>
      </c>
      <c r="T724" s="61">
        <f>ABS((R724)/((2*PI()*G724)/60))</f>
        <v>3.0651476214853037</v>
      </c>
      <c r="U724" s="61">
        <f t="shared" si="223"/>
        <v>4</v>
      </c>
      <c r="V724" s="61">
        <f>INDEX(BSFC!$D$4:$AD$26,MATCH(U724,BSFC!$B$4:$B$26,0),MATCH(G724,BSFC!$D$2:$AD$2,0))</f>
        <v>825.52941312000007</v>
      </c>
      <c r="W724" s="61">
        <f t="shared" si="227"/>
        <v>0.12880956481556216</v>
      </c>
      <c r="X724" s="61">
        <f t="shared" si="224"/>
        <v>0.12880956481556216</v>
      </c>
      <c r="Y724" s="61">
        <f t="shared" si="225"/>
        <v>0.39802155528008704</v>
      </c>
      <c r="Z724" s="79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x14ac:dyDescent="0.3">
      <c r="A725" s="55">
        <v>3</v>
      </c>
      <c r="B725" s="61" t="s">
        <v>126</v>
      </c>
      <c r="C725" s="61">
        <f t="shared" si="213"/>
        <v>722</v>
      </c>
      <c r="D725" s="61">
        <f t="shared" si="218"/>
        <v>5.3911700000000007</v>
      </c>
      <c r="E725" s="61">
        <f t="shared" si="229"/>
        <v>2.41</v>
      </c>
      <c r="F725" s="88">
        <f>($C$4/E725)+F724</f>
        <v>92.542239006648103</v>
      </c>
      <c r="G725" s="61">
        <f t="shared" si="228"/>
        <v>1750</v>
      </c>
      <c r="H725" s="61">
        <v>1</v>
      </c>
      <c r="I725" s="88">
        <f>E725-E724</f>
        <v>0</v>
      </c>
      <c r="J725" s="61">
        <f>(0.5*VEHICLE!$C$71*VEHICLE!$C$28*VEHICLE!$C$27*'Drive Cycle'!E725^2)</f>
        <v>5.1669095732099999</v>
      </c>
      <c r="K725" s="61">
        <f>IF(A725=1,VEHICLE!$S$5,IF(A725=2,VEHICLE!$Q$5,IF(A725=3,VEHICLE!$R$5,IF(A725=4,VEHICLE!$P$5,1))))</f>
        <v>556.55073000000004</v>
      </c>
      <c r="L725" s="61">
        <v>0</v>
      </c>
      <c r="M725" s="61">
        <f t="shared" si="226"/>
        <v>0</v>
      </c>
      <c r="N725" s="61">
        <f t="shared" si="219"/>
        <v>0</v>
      </c>
      <c r="O725" s="61">
        <f t="shared" si="220"/>
        <v>0</v>
      </c>
      <c r="P725" s="61">
        <f t="shared" si="221"/>
        <v>561.71763957321002</v>
      </c>
      <c r="Q725" s="61">
        <f>IF(H725=1,I725*VEHICLE!$C$69,IF(H725=2,VEHICLE!$C$70*I725,IF(H725=3,VEHICLE!$C$71*I725,0)))</f>
        <v>0</v>
      </c>
      <c r="R725" s="61">
        <f>(J725+K725+O725+Q725)</f>
        <v>561.71763957321002</v>
      </c>
      <c r="S725" s="61">
        <f t="shared" si="222"/>
        <v>561.71763957321002</v>
      </c>
      <c r="T725" s="61">
        <f>ABS((R725)/((2*PI()*G725)/60))</f>
        <v>3.0651476214853037</v>
      </c>
      <c r="U725" s="61">
        <f t="shared" si="223"/>
        <v>4</v>
      </c>
      <c r="V725" s="61">
        <f>INDEX(BSFC!$D$4:$AD$26,MATCH(U725,BSFC!$B$4:$B$26,0),MATCH(G725,BSFC!$D$2:$AD$2,0))</f>
        <v>825.52941312000007</v>
      </c>
      <c r="W725" s="61">
        <f t="shared" si="227"/>
        <v>0.12880956481556216</v>
      </c>
      <c r="X725" s="61">
        <f t="shared" si="224"/>
        <v>0.12880956481556216</v>
      </c>
      <c r="Y725" s="61">
        <f t="shared" si="225"/>
        <v>0.39802155528008704</v>
      </c>
      <c r="Z725" s="79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x14ac:dyDescent="0.3">
      <c r="A726" s="55">
        <v>3</v>
      </c>
      <c r="B726" s="61" t="s">
        <v>126</v>
      </c>
      <c r="C726" s="61">
        <f t="shared" si="213"/>
        <v>723</v>
      </c>
      <c r="D726" s="61">
        <f t="shared" si="218"/>
        <v>6.0622699999999998</v>
      </c>
      <c r="E726" s="61">
        <f>E725+0.3</f>
        <v>2.71</v>
      </c>
      <c r="F726" s="88">
        <f>($C$4/E726)+F725</f>
        <v>92.911242696685008</v>
      </c>
      <c r="G726" s="61">
        <f t="shared" si="228"/>
        <v>1750</v>
      </c>
      <c r="H726" s="61">
        <v>1</v>
      </c>
      <c r="I726" s="88">
        <f>E726-E725</f>
        <v>0.29999999999999982</v>
      </c>
      <c r="J726" s="61">
        <f>(0.5*VEHICLE!$C$71*VEHICLE!$C$28*VEHICLE!$C$27*'Drive Cycle'!E726^2)</f>
        <v>6.5333414708099991</v>
      </c>
      <c r="K726" s="61">
        <f>IF(A726=1,VEHICLE!$S$5,IF(A726=2,VEHICLE!$Q$5,IF(A726=3,VEHICLE!$R$5,IF(A726=4,VEHICLE!$P$5,1))))</f>
        <v>556.55073000000004</v>
      </c>
      <c r="L726" s="61">
        <v>0</v>
      </c>
      <c r="M726" s="61">
        <f t="shared" si="226"/>
        <v>0</v>
      </c>
      <c r="N726" s="61">
        <f t="shared" si="219"/>
        <v>0</v>
      </c>
      <c r="O726" s="61">
        <f t="shared" si="220"/>
        <v>0</v>
      </c>
      <c r="P726" s="61">
        <f t="shared" si="221"/>
        <v>563.08407147081004</v>
      </c>
      <c r="Q726" s="61">
        <f>IF(H726=1,I726*VEHICLE!$C$69,IF(H726=2,VEHICLE!$C$70*I726,IF(H726=3,VEHICLE!$C$71*I726,0)))</f>
        <v>176.1960706284583</v>
      </c>
      <c r="R726" s="61">
        <f>(J726+K726+O726+Q726)</f>
        <v>739.28014209926835</v>
      </c>
      <c r="S726" s="61">
        <f t="shared" si="222"/>
        <v>739.28014209926835</v>
      </c>
      <c r="T726" s="61">
        <f>ABS((R726)/((2*PI()*G726)/60))</f>
        <v>4.0340601923923671</v>
      </c>
      <c r="U726" s="61">
        <f t="shared" si="223"/>
        <v>5</v>
      </c>
      <c r="V726" s="61">
        <f>INDEX(BSFC!$D$4:$AD$26,MATCH(U726,BSFC!$B$4:$B$26,0),MATCH(G726,BSFC!$D$2:$AD$2,0))</f>
        <v>794.14237968000009</v>
      </c>
      <c r="W726" s="61">
        <f t="shared" si="227"/>
        <v>0.16308158091580044</v>
      </c>
      <c r="X726" s="61">
        <f t="shared" si="224"/>
        <v>0.16308158091580044</v>
      </c>
      <c r="Y726" s="61">
        <f t="shared" si="225"/>
        <v>0.50392208502982339</v>
      </c>
      <c r="Z726" s="79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x14ac:dyDescent="0.3">
      <c r="A727" s="55">
        <v>3</v>
      </c>
      <c r="B727" s="61" t="s">
        <v>126</v>
      </c>
      <c r="C727" s="61">
        <f t="shared" si="213"/>
        <v>724</v>
      </c>
      <c r="D727" s="61">
        <f t="shared" si="218"/>
        <v>6.7333699999999999</v>
      </c>
      <c r="E727" s="61">
        <f t="shared" ref="E727:E737" si="230">E726+0.3</f>
        <v>3.01</v>
      </c>
      <c r="F727" s="88">
        <f>($C$4/E727)+F726</f>
        <v>93.243468610306266</v>
      </c>
      <c r="G727" s="61">
        <f>G726+250</f>
        <v>2000</v>
      </c>
      <c r="H727" s="61">
        <v>1</v>
      </c>
      <c r="I727" s="88">
        <f>E727-E726</f>
        <v>0.29999999999999982</v>
      </c>
      <c r="J727" s="61">
        <f>(0.5*VEHICLE!$C$71*VEHICLE!$C$28*VEHICLE!$C$27*'Drive Cycle'!E727^2)</f>
        <v>8.0599021064099983</v>
      </c>
      <c r="K727" s="61">
        <f>IF(A727=1,VEHICLE!$S$5,IF(A727=2,VEHICLE!$Q$5,IF(A727=3,VEHICLE!$R$5,IF(A727=4,VEHICLE!$P$5,1))))</f>
        <v>556.55073000000004</v>
      </c>
      <c r="L727" s="61">
        <v>0</v>
      </c>
      <c r="M727" s="61">
        <f t="shared" si="226"/>
        <v>0</v>
      </c>
      <c r="N727" s="61">
        <f t="shared" si="219"/>
        <v>0</v>
      </c>
      <c r="O727" s="61">
        <f t="shared" si="220"/>
        <v>0</v>
      </c>
      <c r="P727" s="61">
        <f t="shared" si="221"/>
        <v>564.61063210641009</v>
      </c>
      <c r="Q727" s="61">
        <f>IF(H727=1,I727*VEHICLE!$C$69,IF(H727=2,VEHICLE!$C$70*I727,IF(H727=3,VEHICLE!$C$71*I727,0)))</f>
        <v>176.1960706284583</v>
      </c>
      <c r="R727" s="61">
        <f>(J727+K727+O727+Q727)</f>
        <v>740.8067027348684</v>
      </c>
      <c r="S727" s="61">
        <f t="shared" si="222"/>
        <v>740.8067027348684</v>
      </c>
      <c r="T727" s="61">
        <f>ABS((R727)/((2*PI()*G727)/60))</f>
        <v>3.5370914584758784</v>
      </c>
      <c r="U727" s="61">
        <f t="shared" si="223"/>
        <v>4</v>
      </c>
      <c r="V727" s="61">
        <f>INDEX(BSFC!$D$4:$AD$26,MATCH(U727,BSFC!$B$4:$B$26,0),MATCH(G727,BSFC!$D$2:$AD$2,0))</f>
        <v>841.28841311999997</v>
      </c>
      <c r="W727" s="61">
        <f t="shared" si="227"/>
        <v>0.17312002649235472</v>
      </c>
      <c r="X727" s="61">
        <f t="shared" si="224"/>
        <v>0.17312002649235472</v>
      </c>
      <c r="Y727" s="61">
        <f t="shared" si="225"/>
        <v>0.53494088186137612</v>
      </c>
      <c r="Z727" s="79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x14ac:dyDescent="0.3">
      <c r="A728" s="55">
        <v>3</v>
      </c>
      <c r="B728" s="61" t="s">
        <v>126</v>
      </c>
      <c r="C728" s="61">
        <f t="shared" si="213"/>
        <v>725</v>
      </c>
      <c r="D728" s="61">
        <f t="shared" si="218"/>
        <v>7.4044699999999999</v>
      </c>
      <c r="E728" s="61">
        <f t="shared" si="230"/>
        <v>3.3099999999999996</v>
      </c>
      <c r="F728" s="88">
        <f>($C$4/E728)+F727</f>
        <v>93.545583413931638</v>
      </c>
      <c r="G728" s="61">
        <f t="shared" ref="G728:G746" si="231">G727+250</f>
        <v>2250</v>
      </c>
      <c r="H728" s="61">
        <v>1</v>
      </c>
      <c r="I728" s="88">
        <f>E728-E727</f>
        <v>0.29999999999999982</v>
      </c>
      <c r="J728" s="61">
        <f>(0.5*VEHICLE!$C$71*VEHICLE!$C$28*VEHICLE!$C$27*'Drive Cycle'!E728^2)</f>
        <v>9.7465914800099966</v>
      </c>
      <c r="K728" s="61">
        <f>IF(A728=1,VEHICLE!$S$5,IF(A728=2,VEHICLE!$Q$5,IF(A728=3,VEHICLE!$R$5,IF(A728=4,VEHICLE!$P$5,1))))</f>
        <v>556.55073000000004</v>
      </c>
      <c r="L728" s="61">
        <v>0</v>
      </c>
      <c r="M728" s="61">
        <f t="shared" si="226"/>
        <v>0</v>
      </c>
      <c r="N728" s="61">
        <f t="shared" si="219"/>
        <v>0</v>
      </c>
      <c r="O728" s="61">
        <f t="shared" si="220"/>
        <v>0</v>
      </c>
      <c r="P728" s="61">
        <f t="shared" si="221"/>
        <v>566.29732148001005</v>
      </c>
      <c r="Q728" s="61">
        <f>IF(H728=1,I728*VEHICLE!$C$69,IF(H728=2,VEHICLE!$C$70*I728,IF(H728=3,VEHICLE!$C$71*I728,0)))</f>
        <v>176.1960706284583</v>
      </c>
      <c r="R728" s="61">
        <f>(J728+K728+O728+Q728)</f>
        <v>742.49339210846836</v>
      </c>
      <c r="S728" s="61">
        <f t="shared" si="222"/>
        <v>742.49339210846836</v>
      </c>
      <c r="T728" s="61">
        <f>ABS((R728)/((2*PI()*G728)/60))</f>
        <v>3.1512398284568426</v>
      </c>
      <c r="U728" s="61">
        <f t="shared" si="223"/>
        <v>4</v>
      </c>
      <c r="V728" s="61">
        <f>INDEX(BSFC!$D$4:$AD$26,MATCH(U728,BSFC!$B$4:$B$26,0),MATCH(G728,BSFC!$D$2:$AD$2,0))</f>
        <v>867.11329824000018</v>
      </c>
      <c r="W728" s="61">
        <f t="shared" si="227"/>
        <v>0.17884052615349436</v>
      </c>
      <c r="X728" s="61">
        <f t="shared" si="224"/>
        <v>0.17884052615349436</v>
      </c>
      <c r="Y728" s="61">
        <f t="shared" si="225"/>
        <v>0.55261722581429751</v>
      </c>
      <c r="Z728" s="79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x14ac:dyDescent="0.3">
      <c r="A729" s="55">
        <v>3</v>
      </c>
      <c r="B729" s="61" t="s">
        <v>126</v>
      </c>
      <c r="C729" s="61">
        <f t="shared" si="213"/>
        <v>726</v>
      </c>
      <c r="D729" s="61">
        <f t="shared" si="218"/>
        <v>8.075569999999999</v>
      </c>
      <c r="E729" s="61">
        <f t="shared" si="230"/>
        <v>3.6099999999999994</v>
      </c>
      <c r="F729" s="88">
        <f>($C$4/E729)+F728</f>
        <v>93.822591724180938</v>
      </c>
      <c r="G729" s="61">
        <f t="shared" si="231"/>
        <v>2500</v>
      </c>
      <c r="H729" s="61">
        <v>1</v>
      </c>
      <c r="I729" s="88">
        <f>E729-E728</f>
        <v>0.29999999999999982</v>
      </c>
      <c r="J729" s="61">
        <f>(0.5*VEHICLE!$C$71*VEHICLE!$C$28*VEHICLE!$C$27*'Drive Cycle'!E729^2)</f>
        <v>11.593409591609996</v>
      </c>
      <c r="K729" s="61">
        <f>IF(A729=1,VEHICLE!$S$5,IF(A729=2,VEHICLE!$Q$5,IF(A729=3,VEHICLE!$R$5,IF(A729=4,VEHICLE!$P$5,1))))</f>
        <v>556.55073000000004</v>
      </c>
      <c r="L729" s="61">
        <v>0</v>
      </c>
      <c r="M729" s="61">
        <f t="shared" si="226"/>
        <v>0</v>
      </c>
      <c r="N729" s="61">
        <f t="shared" si="219"/>
        <v>0</v>
      </c>
      <c r="O729" s="61">
        <f t="shared" si="220"/>
        <v>0</v>
      </c>
      <c r="P729" s="61">
        <f t="shared" si="221"/>
        <v>568.14413959161004</v>
      </c>
      <c r="Q729" s="61">
        <f>IF(H729=1,I729*VEHICLE!$C$69,IF(H729=2,VEHICLE!$C$70*I729,IF(H729=3,VEHICLE!$C$71*I729,0)))</f>
        <v>176.1960706284583</v>
      </c>
      <c r="R729" s="61">
        <f>(J729+K729+O729+Q729)</f>
        <v>744.34021022006834</v>
      </c>
      <c r="S729" s="61">
        <f t="shared" si="222"/>
        <v>744.34021022006834</v>
      </c>
      <c r="T729" s="61">
        <f>ABS((R729)/((2*PI()*G729)/60))</f>
        <v>2.8431701711660256</v>
      </c>
      <c r="U729" s="61">
        <f t="shared" si="223"/>
        <v>3</v>
      </c>
      <c r="V729" s="61">
        <f>INDEX(BSFC!$D$4:$AD$26,MATCH(U729,BSFC!$B$4:$B$26,0),MATCH(G729,BSFC!$D$2:$AD$2,0))</f>
        <v>898.36185024000031</v>
      </c>
      <c r="W729" s="61">
        <f t="shared" si="227"/>
        <v>0.18574634679481425</v>
      </c>
      <c r="X729" s="61">
        <f t="shared" si="224"/>
        <v>0.18574634679481425</v>
      </c>
      <c r="Y729" s="61">
        <f t="shared" si="225"/>
        <v>0.57395621159597598</v>
      </c>
      <c r="Z729" s="79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x14ac:dyDescent="0.3">
      <c r="A730" s="55">
        <v>3</v>
      </c>
      <c r="B730" s="61" t="s">
        <v>126</v>
      </c>
      <c r="C730" s="61">
        <f t="shared" si="213"/>
        <v>727</v>
      </c>
      <c r="D730" s="61">
        <f t="shared" si="218"/>
        <v>8.7466699999999982</v>
      </c>
      <c r="E730" s="61">
        <f t="shared" si="230"/>
        <v>3.9099999999999993</v>
      </c>
      <c r="F730" s="88">
        <f>($C$4/E730)+F729</f>
        <v>94.078346199884265</v>
      </c>
      <c r="G730" s="61">
        <f t="shared" si="231"/>
        <v>2750</v>
      </c>
      <c r="H730" s="61">
        <v>1</v>
      </c>
      <c r="I730" s="88">
        <f>E730-E729</f>
        <v>0.29999999999999982</v>
      </c>
      <c r="J730" s="61">
        <f>(0.5*VEHICLE!$C$71*VEHICLE!$C$28*VEHICLE!$C$27*'Drive Cycle'!E730^2)</f>
        <v>13.600356441209994</v>
      </c>
      <c r="K730" s="61">
        <f>IF(A730=1,VEHICLE!$S$5,IF(A730=2,VEHICLE!$Q$5,IF(A730=3,VEHICLE!$R$5,IF(A730=4,VEHICLE!$P$5,1))))</f>
        <v>556.55073000000004</v>
      </c>
      <c r="L730" s="61">
        <v>0</v>
      </c>
      <c r="M730" s="61">
        <f t="shared" si="226"/>
        <v>0</v>
      </c>
      <c r="N730" s="61">
        <f t="shared" si="219"/>
        <v>0</v>
      </c>
      <c r="O730" s="61">
        <f t="shared" si="220"/>
        <v>0</v>
      </c>
      <c r="P730" s="61">
        <f t="shared" si="221"/>
        <v>570.15108644121005</v>
      </c>
      <c r="Q730" s="61">
        <f>IF(H730=1,I730*VEHICLE!$C$69,IF(H730=2,VEHICLE!$C$70*I730,IF(H730=3,VEHICLE!$C$71*I730,0)))</f>
        <v>176.1960706284583</v>
      </c>
      <c r="R730" s="61">
        <f>(J730+K730+O730+Q730)</f>
        <v>746.34715706966836</v>
      </c>
      <c r="S730" s="61">
        <f t="shared" si="222"/>
        <v>746.34715706966836</v>
      </c>
      <c r="T730" s="61">
        <f>ABS((R730)/((2*PI()*G730)/60))</f>
        <v>2.5916692213139121</v>
      </c>
      <c r="U730" s="61">
        <f t="shared" si="223"/>
        <v>3</v>
      </c>
      <c r="V730" s="61">
        <f>INDEX(BSFC!$D$4:$AD$26,MATCH(U730,BSFC!$B$4:$B$26,0),MATCH(G730,BSFC!$D$2:$AD$2,0))</f>
        <v>892.76689024000029</v>
      </c>
      <c r="W730" s="61">
        <f t="shared" si="227"/>
        <v>0.18508723068237581</v>
      </c>
      <c r="X730" s="61">
        <f t="shared" si="224"/>
        <v>0.18508723068237581</v>
      </c>
      <c r="Y730" s="61">
        <f t="shared" si="225"/>
        <v>0.57191954280854129</v>
      </c>
      <c r="Z730" s="79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x14ac:dyDescent="0.3">
      <c r="A731" s="55">
        <v>3</v>
      </c>
      <c r="B731" s="61" t="s">
        <v>126</v>
      </c>
      <c r="C731" s="61">
        <f t="shared" si="213"/>
        <v>728</v>
      </c>
      <c r="D731" s="61">
        <f t="shared" si="218"/>
        <v>9.4177699999999991</v>
      </c>
      <c r="E731" s="61">
        <f t="shared" si="230"/>
        <v>4.2099999999999991</v>
      </c>
      <c r="F731" s="88">
        <f>($C$4/E731)+F730</f>
        <v>94.315875891095672</v>
      </c>
      <c r="G731" s="61">
        <f t="shared" si="231"/>
        <v>3000</v>
      </c>
      <c r="H731" s="61">
        <v>2</v>
      </c>
      <c r="I731" s="88">
        <f>E731-E730</f>
        <v>0.29999999999999982</v>
      </c>
      <c r="J731" s="61">
        <f>(0.5*VEHICLE!$C$71*VEHICLE!$C$28*VEHICLE!$C$27*'Drive Cycle'!E731^2)</f>
        <v>15.767432028809992</v>
      </c>
      <c r="K731" s="61">
        <f>IF(A731=1,VEHICLE!$S$5,IF(A731=2,VEHICLE!$Q$5,IF(A731=3,VEHICLE!$R$5,IF(A731=4,VEHICLE!$P$5,1))))</f>
        <v>556.55073000000004</v>
      </c>
      <c r="L731" s="61">
        <v>0</v>
      </c>
      <c r="M731" s="61">
        <f t="shared" si="226"/>
        <v>0</v>
      </c>
      <c r="N731" s="61">
        <f t="shared" si="219"/>
        <v>0</v>
      </c>
      <c r="O731" s="61">
        <f t="shared" si="220"/>
        <v>0</v>
      </c>
      <c r="P731" s="61">
        <f t="shared" si="221"/>
        <v>572.31816202881009</v>
      </c>
      <c r="Q731" s="61">
        <f>IF(H731=1,I731*VEHICLE!$C$69,IF(H731=2,VEHICLE!$C$70*I731,IF(H731=3,VEHICLE!$C$71*I731,0)))</f>
        <v>175.5445459590351</v>
      </c>
      <c r="R731" s="61">
        <f>(J731+K731+O731+Q731)</f>
        <v>747.86270798784517</v>
      </c>
      <c r="S731" s="61">
        <f t="shared" si="222"/>
        <v>747.86270798784517</v>
      </c>
      <c r="T731" s="61">
        <f>ABS((R731)/((2*PI()*G731)/60))</f>
        <v>2.3805209346071248</v>
      </c>
      <c r="U731" s="61">
        <f t="shared" si="223"/>
        <v>3</v>
      </c>
      <c r="V731" s="61">
        <f>INDEX(BSFC!$D$4:$AD$26,MATCH(U731,BSFC!$B$4:$B$26,0),MATCH(G731,BSFC!$D$2:$AD$2,0))</f>
        <v>875.83654128000001</v>
      </c>
      <c r="W731" s="61">
        <f t="shared" si="227"/>
        <v>0.18194596875454694</v>
      </c>
      <c r="X731" s="61">
        <f t="shared" si="224"/>
        <v>0.18194596875454694</v>
      </c>
      <c r="Y731" s="61">
        <f t="shared" si="225"/>
        <v>0.56221304345154999</v>
      </c>
      <c r="Z731" s="79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x14ac:dyDescent="0.3">
      <c r="A732" s="55">
        <v>3</v>
      </c>
      <c r="B732" s="61" t="s">
        <v>126</v>
      </c>
      <c r="C732" s="61">
        <f t="shared" si="213"/>
        <v>729</v>
      </c>
      <c r="D732" s="61">
        <f t="shared" si="218"/>
        <v>10.088869999999998</v>
      </c>
      <c r="E732" s="61">
        <f t="shared" si="230"/>
        <v>4.5099999999999989</v>
      </c>
      <c r="F732" s="88">
        <f>($C$4/E732)+F731</f>
        <v>94.537605381117842</v>
      </c>
      <c r="G732" s="61">
        <f t="shared" si="231"/>
        <v>3250</v>
      </c>
      <c r="H732" s="61">
        <v>2</v>
      </c>
      <c r="I732" s="88">
        <f>E732-E731</f>
        <v>0.29999999999999982</v>
      </c>
      <c r="J732" s="61">
        <f>(0.5*VEHICLE!$C$71*VEHICLE!$C$28*VEHICLE!$C$27*'Drive Cycle'!E732^2)</f>
        <v>18.094636354409989</v>
      </c>
      <c r="K732" s="61">
        <f>IF(A732=1,VEHICLE!$S$5,IF(A732=2,VEHICLE!$Q$5,IF(A732=3,VEHICLE!$R$5,IF(A732=4,VEHICLE!$P$5,1))))</f>
        <v>556.55073000000004</v>
      </c>
      <c r="L732" s="61">
        <v>0</v>
      </c>
      <c r="M732" s="61">
        <f t="shared" si="226"/>
        <v>0</v>
      </c>
      <c r="N732" s="61">
        <f t="shared" si="219"/>
        <v>0</v>
      </c>
      <c r="O732" s="61">
        <f t="shared" si="220"/>
        <v>0</v>
      </c>
      <c r="P732" s="61">
        <f t="shared" si="221"/>
        <v>574.64536635441004</v>
      </c>
      <c r="Q732" s="61">
        <f>IF(H732=1,I732*VEHICLE!$C$69,IF(H732=2,VEHICLE!$C$70*I732,IF(H732=3,VEHICLE!$C$71*I732,0)))</f>
        <v>175.5445459590351</v>
      </c>
      <c r="R732" s="61">
        <f>(J732+K732+O732+Q732)</f>
        <v>750.18991231344512</v>
      </c>
      <c r="S732" s="61">
        <f t="shared" si="222"/>
        <v>750.18991231344512</v>
      </c>
      <c r="T732" s="61">
        <f>ABS((R732)/((2*PI()*G732)/60))</f>
        <v>2.204241836351267</v>
      </c>
      <c r="U732" s="61">
        <f t="shared" si="223"/>
        <v>3</v>
      </c>
      <c r="V732" s="61">
        <f>INDEX(BSFC!$D$4:$AD$26,MATCH(U732,BSFC!$B$4:$B$26,0),MATCH(G732,BSFC!$D$2:$AD$2,0))</f>
        <v>829.80227336000007</v>
      </c>
      <c r="W732" s="61">
        <f t="shared" si="227"/>
        <v>0.17291924852484328</v>
      </c>
      <c r="X732" s="61">
        <f t="shared" si="224"/>
        <v>0.17291924852484328</v>
      </c>
      <c r="Y732" s="61">
        <f t="shared" si="225"/>
        <v>0.53432047794176574</v>
      </c>
      <c r="Z732" s="79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x14ac:dyDescent="0.3">
      <c r="A733" s="55">
        <v>3</v>
      </c>
      <c r="B733" s="61" t="s">
        <v>126</v>
      </c>
      <c r="C733" s="61">
        <f t="shared" si="213"/>
        <v>730</v>
      </c>
      <c r="D733" s="61">
        <f t="shared" si="218"/>
        <v>10.759969999999997</v>
      </c>
      <c r="E733" s="61">
        <f t="shared" si="230"/>
        <v>4.8099999999999987</v>
      </c>
      <c r="F733" s="88">
        <f>($C$4/E733)+F732</f>
        <v>94.745505589018052</v>
      </c>
      <c r="G733" s="61">
        <f t="shared" si="231"/>
        <v>3500</v>
      </c>
      <c r="H733" s="61">
        <v>2</v>
      </c>
      <c r="I733" s="88">
        <f>E733-E732</f>
        <v>0.29999999999999982</v>
      </c>
      <c r="J733" s="61">
        <f>(0.5*VEHICLE!$C$71*VEHICLE!$C$28*VEHICLE!$C$27*'Drive Cycle'!E733^2)</f>
        <v>20.581969418009987</v>
      </c>
      <c r="K733" s="61">
        <f>IF(A733=1,VEHICLE!$S$5,IF(A733=2,VEHICLE!$Q$5,IF(A733=3,VEHICLE!$R$5,IF(A733=4,VEHICLE!$P$5,1))))</f>
        <v>556.55073000000004</v>
      </c>
      <c r="L733" s="61">
        <v>0</v>
      </c>
      <c r="M733" s="61">
        <f t="shared" si="226"/>
        <v>0</v>
      </c>
      <c r="N733" s="61">
        <f t="shared" si="219"/>
        <v>0</v>
      </c>
      <c r="O733" s="61">
        <f t="shared" si="220"/>
        <v>0</v>
      </c>
      <c r="P733" s="61">
        <f t="shared" si="221"/>
        <v>577.13269941801002</v>
      </c>
      <c r="Q733" s="61">
        <f>IF(H733=1,I733*VEHICLE!$C$69,IF(H733=2,VEHICLE!$C$70*I733,IF(H733=3,VEHICLE!$C$71*I733,0)))</f>
        <v>175.5445459590351</v>
      </c>
      <c r="R733" s="61">
        <f>(J733+K733+O733+Q733)</f>
        <v>752.6772453770451</v>
      </c>
      <c r="S733" s="61">
        <f t="shared" si="222"/>
        <v>752.6772453770451</v>
      </c>
      <c r="T733" s="61">
        <f>ABS((R733)/((2*PI()*G733)/60))</f>
        <v>2.0535823569351113</v>
      </c>
      <c r="U733" s="61">
        <f t="shared" si="223"/>
        <v>3</v>
      </c>
      <c r="V733" s="61">
        <f>INDEX(BSFC!$D$4:$AD$26,MATCH(U733,BSFC!$B$4:$B$26,0),MATCH(G733,BSFC!$D$2:$AD$2,0))</f>
        <v>819.92766336000011</v>
      </c>
      <c r="W733" s="61">
        <f t="shared" si="227"/>
        <v>0.17142802640728949</v>
      </c>
      <c r="X733" s="61">
        <f t="shared" si="224"/>
        <v>0.17142802640728949</v>
      </c>
      <c r="Y733" s="61">
        <f t="shared" si="225"/>
        <v>0.52971260159852451</v>
      </c>
      <c r="Z733" s="79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x14ac:dyDescent="0.3">
      <c r="A734" s="55">
        <v>3</v>
      </c>
      <c r="B734" s="60" t="s">
        <v>112</v>
      </c>
      <c r="C734" s="60">
        <f t="shared" si="213"/>
        <v>731</v>
      </c>
      <c r="D734" s="60">
        <f t="shared" si="218"/>
        <v>11.431069999999997</v>
      </c>
      <c r="E734" s="60">
        <f t="shared" si="230"/>
        <v>5.1099999999999985</v>
      </c>
      <c r="F734" s="89">
        <f>($C$4/E734)+F733</f>
        <v>94.941200305260708</v>
      </c>
      <c r="G734" s="60">
        <f t="shared" si="231"/>
        <v>3750</v>
      </c>
      <c r="H734" s="60">
        <v>2</v>
      </c>
      <c r="I734" s="89">
        <f>E734-E733</f>
        <v>0.29999999999999982</v>
      </c>
      <c r="J734" s="60">
        <f>(0.5*VEHICLE!$C$71*VEHICLE!$C$28*VEHICLE!$C$27*'Drive Cycle'!E734^2)</f>
        <v>23.229431219609982</v>
      </c>
      <c r="K734" s="60">
        <f>IF(A734=1,VEHICLE!$S$5,IF(A734=2,VEHICLE!$Q$5,IF(A734=3,VEHICLE!$R$5,IF(A734=4,VEHICLE!$P$5,1))))</f>
        <v>556.55073000000004</v>
      </c>
      <c r="L734" s="60">
        <v>0</v>
      </c>
      <c r="M734" s="60">
        <f t="shared" si="226"/>
        <v>0</v>
      </c>
      <c r="N734" s="60">
        <f t="shared" si="219"/>
        <v>0</v>
      </c>
      <c r="O734" s="60">
        <f t="shared" si="220"/>
        <v>0</v>
      </c>
      <c r="P734" s="60">
        <f t="shared" si="221"/>
        <v>579.78016121961002</v>
      </c>
      <c r="Q734" s="60">
        <f>IF(H734=1,I734*VEHICLE!$C$69,IF(H734=2,VEHICLE!$C$70*I734,IF(H734=3,VEHICLE!$C$71*I734,0)))</f>
        <v>175.5445459590351</v>
      </c>
      <c r="R734" s="60">
        <f>(J734+K734+O734+Q734)</f>
        <v>755.3247071786451</v>
      </c>
      <c r="S734" s="60">
        <f t="shared" si="222"/>
        <v>755.3247071786451</v>
      </c>
      <c r="T734" s="60">
        <f>ABS((R734)/((2*PI()*G734)/60))</f>
        <v>1.9234185725907162</v>
      </c>
      <c r="U734" s="60">
        <f t="shared" si="223"/>
        <v>2</v>
      </c>
      <c r="V734" s="60">
        <f>INDEX(BSFC!$D$4:$AD$26,MATCH(U734,BSFC!$B$4:$B$26,0),MATCH(G734,BSFC!$D$2:$AD$2,0))</f>
        <v>928.43257663999975</v>
      </c>
      <c r="W734" s="60">
        <f t="shared" si="227"/>
        <v>0.19479668446825632</v>
      </c>
      <c r="X734" s="60">
        <f t="shared" si="224"/>
        <v>0.19479668446825632</v>
      </c>
      <c r="Y734" s="60">
        <f t="shared" si="225"/>
        <v>0.60192175500691203</v>
      </c>
      <c r="Z734" s="79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x14ac:dyDescent="0.3">
      <c r="A735" s="55">
        <v>3</v>
      </c>
      <c r="B735" s="60" t="s">
        <v>112</v>
      </c>
      <c r="C735" s="60">
        <f t="shared" si="213"/>
        <v>732</v>
      </c>
      <c r="D735" s="60">
        <f t="shared" si="218"/>
        <v>12.102169999999997</v>
      </c>
      <c r="E735" s="60">
        <f t="shared" si="230"/>
        <v>5.4099999999999984</v>
      </c>
      <c r="F735" s="89">
        <f>($C$4/E735)+F734</f>
        <v>95.126043188809689</v>
      </c>
      <c r="G735" s="60">
        <f t="shared" si="231"/>
        <v>4000</v>
      </c>
      <c r="H735" s="60">
        <v>2</v>
      </c>
      <c r="I735" s="89">
        <f>E735-E734</f>
        <v>0.29999999999999982</v>
      </c>
      <c r="J735" s="60">
        <f>(0.5*VEHICLE!$C$71*VEHICLE!$C$28*VEHICLE!$C$27*'Drive Cycle'!E735^2)</f>
        <v>26.037021759209981</v>
      </c>
      <c r="K735" s="60">
        <f>IF(A735=1,VEHICLE!$S$5,IF(A735=2,VEHICLE!$Q$5,IF(A735=3,VEHICLE!$R$5,IF(A735=4,VEHICLE!$P$5,1))))</f>
        <v>556.55073000000004</v>
      </c>
      <c r="L735" s="60">
        <v>0</v>
      </c>
      <c r="M735" s="60">
        <f t="shared" si="226"/>
        <v>0</v>
      </c>
      <c r="N735" s="60">
        <f t="shared" si="219"/>
        <v>0</v>
      </c>
      <c r="O735" s="60">
        <f t="shared" si="220"/>
        <v>0</v>
      </c>
      <c r="P735" s="60">
        <f t="shared" si="221"/>
        <v>582.58775175921005</v>
      </c>
      <c r="Q735" s="60">
        <f>IF(H735=1,I735*VEHICLE!$C$69,IF(H735=2,VEHICLE!$C$70*I735,IF(H735=3,VEHICLE!$C$71*I735,0)))</f>
        <v>175.5445459590351</v>
      </c>
      <c r="R735" s="60">
        <f>(J735+K735+O735+Q735)</f>
        <v>758.13229771824513</v>
      </c>
      <c r="S735" s="60">
        <f t="shared" si="222"/>
        <v>758.13229771824513</v>
      </c>
      <c r="T735" s="60">
        <f>ABS((R735)/((2*PI()*G735)/60))</f>
        <v>1.8099075404921274</v>
      </c>
      <c r="U735" s="60">
        <f t="shared" si="223"/>
        <v>2</v>
      </c>
      <c r="V735" s="60">
        <f>INDEX(BSFC!$D$4:$AD$26,MATCH(U735,BSFC!$B$4:$B$26,0),MATCH(G735,BSFC!$D$2:$AD$2,0))</f>
        <v>918.89477663999969</v>
      </c>
      <c r="W735" s="60">
        <f t="shared" si="227"/>
        <v>0.19351216899316018</v>
      </c>
      <c r="X735" s="60">
        <f t="shared" si="224"/>
        <v>0.19351216899316018</v>
      </c>
      <c r="Y735" s="60">
        <f t="shared" si="225"/>
        <v>0.59795260218886492</v>
      </c>
      <c r="Z735" s="79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x14ac:dyDescent="0.3">
      <c r="A736" s="55">
        <v>3</v>
      </c>
      <c r="B736" s="60" t="s">
        <v>112</v>
      </c>
      <c r="C736" s="60">
        <f t="shared" si="213"/>
        <v>733</v>
      </c>
      <c r="D736" s="60">
        <f t="shared" si="218"/>
        <v>12.773269999999997</v>
      </c>
      <c r="E736" s="60">
        <f t="shared" si="230"/>
        <v>5.7099999999999982</v>
      </c>
      <c r="F736" s="89">
        <f>($C$4/E736)+F735</f>
        <v>95.301174537321074</v>
      </c>
      <c r="G736" s="60">
        <f t="shared" si="231"/>
        <v>4250</v>
      </c>
      <c r="H736" s="60">
        <v>2</v>
      </c>
      <c r="I736" s="89">
        <f>E736-E735</f>
        <v>0.29999999999999982</v>
      </c>
      <c r="J736" s="60">
        <f>(0.5*VEHICLE!$C$71*VEHICLE!$C$28*VEHICLE!$C$27*'Drive Cycle'!E736^2)</f>
        <v>29.004741036809978</v>
      </c>
      <c r="K736" s="60">
        <f>IF(A736=1,VEHICLE!$S$5,IF(A736=2,VEHICLE!$Q$5,IF(A736=3,VEHICLE!$R$5,IF(A736=4,VEHICLE!$P$5,1))))</f>
        <v>556.55073000000004</v>
      </c>
      <c r="L736" s="60">
        <v>0</v>
      </c>
      <c r="M736" s="60">
        <f t="shared" si="226"/>
        <v>0</v>
      </c>
      <c r="N736" s="60">
        <f t="shared" si="219"/>
        <v>0</v>
      </c>
      <c r="O736" s="60">
        <f t="shared" si="220"/>
        <v>0</v>
      </c>
      <c r="P736" s="60">
        <f t="shared" si="221"/>
        <v>585.55547103680999</v>
      </c>
      <c r="Q736" s="60">
        <f>IF(H736=1,I736*VEHICLE!$C$69,IF(H736=2,VEHICLE!$C$70*I736,IF(H736=3,VEHICLE!$C$71*I736,0)))</f>
        <v>175.5445459590351</v>
      </c>
      <c r="R736" s="60">
        <f>(J736+K736+O736+Q736)</f>
        <v>761.10001699584507</v>
      </c>
      <c r="S736" s="60">
        <f t="shared" si="222"/>
        <v>761.10001699584507</v>
      </c>
      <c r="T736" s="60">
        <f>ABS((R736)/((2*PI()*G736)/60))</f>
        <v>1.7101105396547902</v>
      </c>
      <c r="U736" s="60">
        <f t="shared" si="223"/>
        <v>2</v>
      </c>
      <c r="V736" s="60">
        <f>INDEX(BSFC!$D$4:$AD$26,MATCH(U736,BSFC!$B$4:$B$26,0),MATCH(G736,BSFC!$D$2:$AD$2,0))</f>
        <v>913.43656767999983</v>
      </c>
      <c r="W736" s="60">
        <f t="shared" si="227"/>
        <v>0.19311571866274282</v>
      </c>
      <c r="X736" s="60">
        <f t="shared" si="224"/>
        <v>0.19311571866274282</v>
      </c>
      <c r="Y736" s="60">
        <f t="shared" si="225"/>
        <v>0.5967275706678753</v>
      </c>
      <c r="Z736" s="79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x14ac:dyDescent="0.3">
      <c r="A737" s="55">
        <v>3</v>
      </c>
      <c r="B737" s="60" t="s">
        <v>112</v>
      </c>
      <c r="C737" s="60">
        <f t="shared" si="213"/>
        <v>734</v>
      </c>
      <c r="D737" s="60">
        <f t="shared" si="218"/>
        <v>13.444369999999996</v>
      </c>
      <c r="E737" s="60">
        <f t="shared" si="230"/>
        <v>6.009999999999998</v>
      </c>
      <c r="F737" s="89">
        <f>($C$4/E737)+F736</f>
        <v>95.467563888402609</v>
      </c>
      <c r="G737" s="60">
        <f t="shared" si="231"/>
        <v>4500</v>
      </c>
      <c r="H737" s="60">
        <v>2</v>
      </c>
      <c r="I737" s="89">
        <f>E737-E736</f>
        <v>0.29999999999999982</v>
      </c>
      <c r="J737" s="60">
        <f>(0.5*VEHICLE!$C$71*VEHICLE!$C$28*VEHICLE!$C$27*'Drive Cycle'!E737^2)</f>
        <v>32.132589052409976</v>
      </c>
      <c r="K737" s="60">
        <f>IF(A737=1,VEHICLE!$S$5,IF(A737=2,VEHICLE!$Q$5,IF(A737=3,VEHICLE!$R$5,IF(A737=4,VEHICLE!$P$5,1))))</f>
        <v>556.55073000000004</v>
      </c>
      <c r="L737" s="60">
        <v>0</v>
      </c>
      <c r="M737" s="60">
        <f t="shared" si="226"/>
        <v>0</v>
      </c>
      <c r="N737" s="60">
        <f t="shared" si="219"/>
        <v>0</v>
      </c>
      <c r="O737" s="60">
        <f t="shared" si="220"/>
        <v>0</v>
      </c>
      <c r="P737" s="60">
        <f t="shared" si="221"/>
        <v>588.68331905241007</v>
      </c>
      <c r="Q737" s="60">
        <f>IF(H737=1,I737*VEHICLE!$C$69,IF(H737=2,VEHICLE!$C$70*I737,IF(H737=3,VEHICLE!$C$71*I737,0)))</f>
        <v>175.5445459590351</v>
      </c>
      <c r="R737" s="60">
        <f>(J737+K737+O737+Q737)</f>
        <v>764.22786501144515</v>
      </c>
      <c r="S737" s="60">
        <f t="shared" si="222"/>
        <v>764.22786501144515</v>
      </c>
      <c r="T737" s="60">
        <f>ABS((R737)/((2*PI()*G737)/60))</f>
        <v>1.6217418982018295</v>
      </c>
      <c r="U737" s="60">
        <f t="shared" si="223"/>
        <v>2</v>
      </c>
      <c r="V737" s="60">
        <f>INDEX(BSFC!$D$4:$AD$26,MATCH(U737,BSFC!$B$4:$B$26,0),MATCH(G737,BSFC!$D$2:$AD$2,0))</f>
        <v>900.04656767999984</v>
      </c>
      <c r="W737" s="60">
        <f t="shared" si="227"/>
        <v>0.19106685189693484</v>
      </c>
      <c r="X737" s="60">
        <f t="shared" si="224"/>
        <v>0.19106685189693484</v>
      </c>
      <c r="Y737" s="60">
        <f t="shared" si="225"/>
        <v>0.59039657236152865</v>
      </c>
      <c r="Z737" s="79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x14ac:dyDescent="0.3">
      <c r="A738" s="55">
        <v>3</v>
      </c>
      <c r="B738" s="60" t="s">
        <v>112</v>
      </c>
      <c r="C738" s="60">
        <f t="shared" si="213"/>
        <v>735</v>
      </c>
      <c r="D738" s="60">
        <f t="shared" si="218"/>
        <v>15.122119999999995</v>
      </c>
      <c r="E738" s="60">
        <f>E737+0.75</f>
        <v>6.759999999999998</v>
      </c>
      <c r="F738" s="89">
        <f>($C$4/E738)+F737</f>
        <v>95.615492882485455</v>
      </c>
      <c r="G738" s="60">
        <f t="shared" si="231"/>
        <v>4750</v>
      </c>
      <c r="H738" s="60">
        <v>2</v>
      </c>
      <c r="I738" s="89">
        <f>E738-E737</f>
        <v>0.75</v>
      </c>
      <c r="J738" s="60">
        <f>(0.5*VEHICLE!$C$71*VEHICLE!$C$28*VEHICLE!$C$27*'Drive Cycle'!E738^2)</f>
        <v>40.652772320159968</v>
      </c>
      <c r="K738" s="60">
        <f>IF(A738=1,VEHICLE!$S$5,IF(A738=2,VEHICLE!$Q$5,IF(A738=3,VEHICLE!$R$5,IF(A738=4,VEHICLE!$P$5,1))))</f>
        <v>556.55073000000004</v>
      </c>
      <c r="L738" s="60">
        <v>0</v>
      </c>
      <c r="M738" s="60">
        <f t="shared" si="226"/>
        <v>0</v>
      </c>
      <c r="N738" s="60">
        <f t="shared" si="219"/>
        <v>0</v>
      </c>
      <c r="O738" s="60">
        <f t="shared" si="220"/>
        <v>0</v>
      </c>
      <c r="P738" s="60">
        <f t="shared" si="221"/>
        <v>597.20350232016006</v>
      </c>
      <c r="Q738" s="60">
        <f>IF(H738=1,I738*VEHICLE!$C$69,IF(H738=2,VEHICLE!$C$70*I738,IF(H738=3,VEHICLE!$C$71*I738,0)))</f>
        <v>438.86136489758803</v>
      </c>
      <c r="R738" s="60">
        <f>(J738+K738+O738+Q738)</f>
        <v>1036.0648672177481</v>
      </c>
      <c r="S738" s="60">
        <f t="shared" si="222"/>
        <v>1036.0648672177481</v>
      </c>
      <c r="T738" s="60">
        <f>ABS((R738)/((2*PI()*G738)/60))</f>
        <v>2.0828822523985617</v>
      </c>
      <c r="U738" s="60">
        <f t="shared" si="223"/>
        <v>3</v>
      </c>
      <c r="V738" s="60">
        <f>INDEX(BSFC!$D$4:$AD$26,MATCH(U738,BSFC!$B$4:$B$26,0),MATCH(G738,BSFC!$D$2:$AD$2,0))</f>
        <v>795.75193184000011</v>
      </c>
      <c r="W738" s="60">
        <f t="shared" si="227"/>
        <v>0.22901406100002117</v>
      </c>
      <c r="X738" s="60">
        <f t="shared" si="224"/>
        <v>0.22901406100002117</v>
      </c>
      <c r="Y738" s="60">
        <f t="shared" si="225"/>
        <v>0.7076534484900654</v>
      </c>
      <c r="Z738" s="79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x14ac:dyDescent="0.3">
      <c r="A739" s="55">
        <v>3</v>
      </c>
      <c r="B739" s="60" t="s">
        <v>112</v>
      </c>
      <c r="C739" s="60">
        <f t="shared" si="213"/>
        <v>736</v>
      </c>
      <c r="D739" s="60">
        <f t="shared" si="218"/>
        <v>16.799869999999995</v>
      </c>
      <c r="E739" s="60">
        <f t="shared" ref="E739:E744" si="232">E738+0.75</f>
        <v>7.509999999999998</v>
      </c>
      <c r="F739" s="89">
        <f>($C$4/E739)+F738</f>
        <v>95.748648674762421</v>
      </c>
      <c r="G739" s="60">
        <f t="shared" si="231"/>
        <v>5000</v>
      </c>
      <c r="H739" s="60">
        <v>2</v>
      </c>
      <c r="I739" s="89">
        <f>E739-E738</f>
        <v>0.75</v>
      </c>
      <c r="J739" s="60">
        <f>(0.5*VEHICLE!$C$71*VEHICLE!$C$28*VEHICLE!$C$27*'Drive Cycle'!E739^2)</f>
        <v>50.173760200409973</v>
      </c>
      <c r="K739" s="60">
        <f>IF(A739=1,VEHICLE!$S$5,IF(A739=2,VEHICLE!$Q$5,IF(A739=3,VEHICLE!$R$5,IF(A739=4,VEHICLE!$P$5,1))))</f>
        <v>556.55073000000004</v>
      </c>
      <c r="L739" s="60">
        <v>0</v>
      </c>
      <c r="M739" s="60">
        <f t="shared" si="226"/>
        <v>0</v>
      </c>
      <c r="N739" s="60">
        <f t="shared" si="219"/>
        <v>0</v>
      </c>
      <c r="O739" s="60">
        <f t="shared" si="220"/>
        <v>0</v>
      </c>
      <c r="P739" s="60">
        <f t="shared" si="221"/>
        <v>606.72449020041006</v>
      </c>
      <c r="Q739" s="60">
        <f>IF(H739=1,I739*VEHICLE!$C$69,IF(H739=2,VEHICLE!$C$70*I739,IF(H739=3,VEHICLE!$C$71*I739,0)))</f>
        <v>438.86136489758803</v>
      </c>
      <c r="R739" s="60">
        <f>(J739+K739+O739+Q739)</f>
        <v>1045.5858550979981</v>
      </c>
      <c r="S739" s="60">
        <f t="shared" si="222"/>
        <v>1045.5858550979981</v>
      </c>
      <c r="T739" s="60">
        <f>ABS((R739)/((2*PI()*G739)/60))</f>
        <v>1.9969218871897514</v>
      </c>
      <c r="U739" s="60">
        <f t="shared" si="223"/>
        <v>2</v>
      </c>
      <c r="V739" s="60">
        <f>INDEX(BSFC!$D$4:$AD$26,MATCH(U739,BSFC!$B$4:$B$26,0),MATCH(G739,BSFC!$D$2:$AD$2,0))</f>
        <v>881.19835871999999</v>
      </c>
      <c r="W739" s="60">
        <f t="shared" si="227"/>
        <v>0.25593570539255656</v>
      </c>
      <c r="X739" s="60">
        <f t="shared" si="224"/>
        <v>0.25593570539255656</v>
      </c>
      <c r="Y739" s="60">
        <f t="shared" si="225"/>
        <v>0.79084132966299969</v>
      </c>
      <c r="Z739" s="79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x14ac:dyDescent="0.3">
      <c r="A740" s="55">
        <v>3</v>
      </c>
      <c r="B740" s="60" t="s">
        <v>112</v>
      </c>
      <c r="C740" s="60">
        <f t="shared" si="213"/>
        <v>737</v>
      </c>
      <c r="D740" s="60">
        <f t="shared" si="218"/>
        <v>18.477619999999995</v>
      </c>
      <c r="E740" s="60">
        <f t="shared" si="232"/>
        <v>8.259999999999998</v>
      </c>
      <c r="F740" s="89">
        <f>($C$4/E740)+F739</f>
        <v>95.869714050065085</v>
      </c>
      <c r="G740" s="60">
        <f t="shared" si="231"/>
        <v>5250</v>
      </c>
      <c r="H740" s="60">
        <v>2</v>
      </c>
      <c r="I740" s="89">
        <f>E740-E739</f>
        <v>0.75</v>
      </c>
      <c r="J740" s="60">
        <f>(0.5*VEHICLE!$C$71*VEHICLE!$C$28*VEHICLE!$C$27*'Drive Cycle'!E740^2)</f>
        <v>60.695552693159961</v>
      </c>
      <c r="K740" s="60">
        <f>IF(A740=1,VEHICLE!$S$5,IF(A740=2,VEHICLE!$Q$5,IF(A740=3,VEHICLE!$R$5,IF(A740=4,VEHICLE!$P$5,1))))</f>
        <v>556.55073000000004</v>
      </c>
      <c r="L740" s="60">
        <f>L739+0.5</f>
        <v>0.5</v>
      </c>
      <c r="M740" s="60">
        <f t="shared" si="226"/>
        <v>0.5</v>
      </c>
      <c r="N740" s="60">
        <f t="shared" si="219"/>
        <v>26.56505117707799</v>
      </c>
      <c r="O740" s="60">
        <f t="shared" si="220"/>
        <v>193.03527636160186</v>
      </c>
      <c r="P740" s="60">
        <f t="shared" si="221"/>
        <v>810.28155905476183</v>
      </c>
      <c r="Q740" s="60">
        <f>IF(H740=1,I740*VEHICLE!$C$69,IF(H740=2,VEHICLE!$C$70*I740,IF(H740=3,VEHICLE!$C$71*I740,0)))</f>
        <v>438.86136489758803</v>
      </c>
      <c r="R740" s="60">
        <f>(J740+K740+O740+Q740)</f>
        <v>1249.14292395235</v>
      </c>
      <c r="S740" s="60">
        <f t="shared" si="222"/>
        <v>1249.14292395235</v>
      </c>
      <c r="T740" s="60">
        <f>ABS((R740)/((2*PI()*G740)/60))</f>
        <v>2.2720830968603432</v>
      </c>
      <c r="U740" s="60">
        <f t="shared" si="223"/>
        <v>3</v>
      </c>
      <c r="V740" s="60">
        <f>INDEX(BSFC!$D$4:$AD$26,MATCH(U740,BSFC!$B$4:$B$26,0),MATCH(G740,BSFC!$D$2:$AD$2,0))</f>
        <v>787.60896607999996</v>
      </c>
      <c r="W740" s="60">
        <f t="shared" si="227"/>
        <v>0.27328782411673841</v>
      </c>
      <c r="X740" s="60">
        <f t="shared" si="224"/>
        <v>0.27328782411673841</v>
      </c>
      <c r="Y740" s="60">
        <f t="shared" si="225"/>
        <v>0.84445937652072167</v>
      </c>
      <c r="Z740" s="79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x14ac:dyDescent="0.3">
      <c r="A741" s="55">
        <v>3</v>
      </c>
      <c r="B741" s="60" t="s">
        <v>112</v>
      </c>
      <c r="C741" s="60">
        <f t="shared" si="213"/>
        <v>738</v>
      </c>
      <c r="D741" s="60">
        <f t="shared" si="218"/>
        <v>20.155369999999998</v>
      </c>
      <c r="E741" s="60">
        <f t="shared" si="232"/>
        <v>9.009999999999998</v>
      </c>
      <c r="F741" s="89">
        <f>($C$4/E741)+F740</f>
        <v>95.980701841408035</v>
      </c>
      <c r="G741" s="60">
        <f t="shared" si="231"/>
        <v>5500</v>
      </c>
      <c r="H741" s="60">
        <v>3</v>
      </c>
      <c r="I741" s="89">
        <f>E741-E740</f>
        <v>0.75</v>
      </c>
      <c r="J741" s="60">
        <f>(0.5*VEHICLE!$C$71*VEHICLE!$C$28*VEHICLE!$C$27*'Drive Cycle'!E741^2)</f>
        <v>72.218149798409968</v>
      </c>
      <c r="K741" s="60">
        <f>IF(A741=1,VEHICLE!$S$5,IF(A741=2,VEHICLE!$Q$5,IF(A741=3,VEHICLE!$R$5,IF(A741=4,VEHICLE!$P$5,1))))</f>
        <v>556.55073000000004</v>
      </c>
      <c r="L741" s="60">
        <f t="shared" ref="L741:L744" si="233">L740+0.5</f>
        <v>1</v>
      </c>
      <c r="M741" s="60">
        <f t="shared" si="226"/>
        <v>0.5</v>
      </c>
      <c r="N741" s="60">
        <f t="shared" si="219"/>
        <v>26.56505117707799</v>
      </c>
      <c r="O741" s="60">
        <f t="shared" si="220"/>
        <v>193.03527636160186</v>
      </c>
      <c r="P741" s="60">
        <f t="shared" si="221"/>
        <v>821.80415616001187</v>
      </c>
      <c r="Q741" s="60">
        <f>IF(H741=1,I741*VEHICLE!$C$69,IF(H741=2,VEHICLE!$C$70*I741,IF(H741=3,VEHICLE!$C$71*I741,0)))</f>
        <v>0.87525000000000008</v>
      </c>
      <c r="R741" s="60">
        <f>(J741+K741+O741+Q741)</f>
        <v>822.67940616001192</v>
      </c>
      <c r="S741" s="60">
        <f t="shared" si="222"/>
        <v>822.67940616001192</v>
      </c>
      <c r="T741" s="60">
        <f>ABS((R741)/((2*PI()*G741)/60))</f>
        <v>1.4283653898575015</v>
      </c>
      <c r="U741" s="60">
        <f t="shared" si="223"/>
        <v>2</v>
      </c>
      <c r="V741" s="60">
        <f>INDEX(BSFC!$D$4:$AD$26,MATCH(U741,BSFC!$B$4:$B$26,0),MATCH(G741,BSFC!$D$2:$AD$2,0))</f>
        <v>862.35014976000002</v>
      </c>
      <c r="W741" s="60">
        <f t="shared" si="227"/>
        <v>0.19706603030737616</v>
      </c>
      <c r="X741" s="60">
        <f t="shared" si="224"/>
        <v>0.19706603030737616</v>
      </c>
      <c r="Y741" s="60">
        <f t="shared" si="225"/>
        <v>0.60893403364979226</v>
      </c>
      <c r="Z741" s="79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x14ac:dyDescent="0.3">
      <c r="A742" s="55">
        <v>3</v>
      </c>
      <c r="B742" s="60" t="s">
        <v>112</v>
      </c>
      <c r="C742" s="60">
        <f t="shared" si="213"/>
        <v>739</v>
      </c>
      <c r="D742" s="60">
        <f t="shared" si="218"/>
        <v>21.833119999999997</v>
      </c>
      <c r="E742" s="60">
        <f t="shared" si="232"/>
        <v>9.759999999999998</v>
      </c>
      <c r="F742" s="89">
        <f>($C$4/E742)+F741</f>
        <v>96.083160857801474</v>
      </c>
      <c r="G742" s="60">
        <f t="shared" si="231"/>
        <v>5750</v>
      </c>
      <c r="H742" s="60">
        <v>3</v>
      </c>
      <c r="I742" s="89">
        <f>E742-E741</f>
        <v>0.75</v>
      </c>
      <c r="J742" s="60">
        <f>(0.5*VEHICLE!$C$71*VEHICLE!$C$28*VEHICLE!$C$27*'Drive Cycle'!E742^2)</f>
        <v>84.741551516159959</v>
      </c>
      <c r="K742" s="60">
        <f>IF(A742=1,VEHICLE!$S$5,IF(A742=2,VEHICLE!$Q$5,IF(A742=3,VEHICLE!$R$5,IF(A742=4,VEHICLE!$P$5,1))))</f>
        <v>556.55073000000004</v>
      </c>
      <c r="L742" s="60">
        <f t="shared" si="233"/>
        <v>1.5</v>
      </c>
      <c r="M742" s="60">
        <f t="shared" si="226"/>
        <v>0.5</v>
      </c>
      <c r="N742" s="60">
        <f t="shared" si="219"/>
        <v>26.56505117707799</v>
      </c>
      <c r="O742" s="60">
        <f t="shared" si="220"/>
        <v>193.03527636160186</v>
      </c>
      <c r="P742" s="60">
        <f t="shared" si="221"/>
        <v>834.32755787776182</v>
      </c>
      <c r="Q742" s="60">
        <f>IF(H742=1,I742*VEHICLE!$C$69,IF(H742=2,VEHICLE!$C$70*I742,IF(H742=3,VEHICLE!$C$71*I742,0)))</f>
        <v>0.87525000000000008</v>
      </c>
      <c r="R742" s="60">
        <f>(J742+K742+O742+Q742)</f>
        <v>835.20280787776187</v>
      </c>
      <c r="S742" s="60">
        <f t="shared" si="222"/>
        <v>835.20280787776187</v>
      </c>
      <c r="T742" s="60">
        <f>ABS((R742)/((2*PI()*G742)/60))</f>
        <v>1.3870607515614926</v>
      </c>
      <c r="U742" s="60">
        <f t="shared" si="223"/>
        <v>2</v>
      </c>
      <c r="V742" s="60">
        <f>INDEX(BSFC!$D$4:$AD$26,MATCH(U742,BSFC!$B$4:$B$26,0),MATCH(G742,BSFC!$D$2:$AD$2,0))</f>
        <v>888.25052976000006</v>
      </c>
      <c r="W742" s="60">
        <f t="shared" si="227"/>
        <v>0.20607481570957265</v>
      </c>
      <c r="X742" s="60">
        <f t="shared" si="224"/>
        <v>0.20607481570957265</v>
      </c>
      <c r="Y742" s="60">
        <f t="shared" si="225"/>
        <v>0.63677118054257942</v>
      </c>
      <c r="Z742" s="79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x14ac:dyDescent="0.3">
      <c r="A743" s="55">
        <v>3</v>
      </c>
      <c r="B743" s="60" t="s">
        <v>112</v>
      </c>
      <c r="C743" s="60">
        <f t="shared" si="213"/>
        <v>740</v>
      </c>
      <c r="D743" s="60">
        <f t="shared" si="218"/>
        <v>23.510869999999997</v>
      </c>
      <c r="E743" s="60">
        <f t="shared" si="232"/>
        <v>10.509999999999998</v>
      </c>
      <c r="F743" s="89">
        <f>($C$4/E743)+F742</f>
        <v>96.178308336393286</v>
      </c>
      <c r="G743" s="60">
        <f>G742+250</f>
        <v>6000</v>
      </c>
      <c r="H743" s="60">
        <v>3</v>
      </c>
      <c r="I743" s="89">
        <f>E743-E742</f>
        <v>0.75</v>
      </c>
      <c r="J743" s="60">
        <f>(0.5*VEHICLE!$C$71*VEHICLE!$C$28*VEHICLE!$C$27*'Drive Cycle'!E743^2)</f>
        <v>98.265757846409954</v>
      </c>
      <c r="K743" s="60">
        <f>IF(A743=1,VEHICLE!$S$5,IF(A743=2,VEHICLE!$Q$5,IF(A743=3,VEHICLE!$R$5,IF(A743=4,VEHICLE!$P$5,1))))</f>
        <v>556.55073000000004</v>
      </c>
      <c r="L743" s="60">
        <f t="shared" si="233"/>
        <v>2</v>
      </c>
      <c r="M743" s="60">
        <f t="shared" si="226"/>
        <v>0.5</v>
      </c>
      <c r="N743" s="60">
        <f t="shared" si="219"/>
        <v>26.56505117707799</v>
      </c>
      <c r="O743" s="60">
        <f t="shared" si="220"/>
        <v>193.03527636160186</v>
      </c>
      <c r="P743" s="60">
        <f t="shared" si="221"/>
        <v>847.8517642080119</v>
      </c>
      <c r="Q743" s="60">
        <f>IF(H743=1,I743*VEHICLE!$C$69,IF(H743=2,VEHICLE!$C$70*I743,IF(H743=3,VEHICLE!$C$71*I743,0)))</f>
        <v>0.87525000000000008</v>
      </c>
      <c r="R743" s="60">
        <f>(J743+K743+O743+Q743)</f>
        <v>848.72701420801195</v>
      </c>
      <c r="S743" s="60">
        <f t="shared" si="222"/>
        <v>848.72701420801195</v>
      </c>
      <c r="T743" s="60">
        <f>ABS((R743)/((2*PI()*G743)/60))</f>
        <v>1.3507909964683038</v>
      </c>
      <c r="U743" s="60">
        <f t="shared" si="223"/>
        <v>2</v>
      </c>
      <c r="V743" s="60">
        <f>INDEX(BSFC!$D$4:$AD$26,MATCH(U743,BSFC!$B$4:$B$26,0),MATCH(G743,BSFC!$D$2:$AD$2,0))</f>
        <v>881.66816232000019</v>
      </c>
      <c r="W743" s="60">
        <f t="shared" si="227"/>
        <v>0.20785988525781074</v>
      </c>
      <c r="X743" s="60">
        <f t="shared" si="224"/>
        <v>0.20785988525781074</v>
      </c>
      <c r="Y743" s="60">
        <f t="shared" si="225"/>
        <v>0.64228704544663517</v>
      </c>
      <c r="Z743" s="79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x14ac:dyDescent="0.3">
      <c r="A744" s="55">
        <v>3</v>
      </c>
      <c r="B744" s="60" t="s">
        <v>112</v>
      </c>
      <c r="C744" s="60">
        <f t="shared" ref="C744:C807" si="234">C743+1</f>
        <v>741</v>
      </c>
      <c r="D744" s="60">
        <f t="shared" si="218"/>
        <v>25.188619999999997</v>
      </c>
      <c r="E744" s="60">
        <f t="shared" si="232"/>
        <v>11.259999999999998</v>
      </c>
      <c r="F744" s="89">
        <f>($C$4/E744)+F743</f>
        <v>96.267118283107322</v>
      </c>
      <c r="G744" s="60">
        <f t="shared" si="231"/>
        <v>6250</v>
      </c>
      <c r="H744" s="60">
        <v>3</v>
      </c>
      <c r="I744" s="89">
        <f>E744-E743</f>
        <v>0.75</v>
      </c>
      <c r="J744" s="60">
        <f>(0.5*VEHICLE!$C$71*VEHICLE!$C$28*VEHICLE!$C$27*'Drive Cycle'!E744^2)</f>
        <v>112.79076878915994</v>
      </c>
      <c r="K744" s="60">
        <f>IF(A744=1,VEHICLE!$S$5,IF(A744=2,VEHICLE!$Q$5,IF(A744=3,VEHICLE!$R$5,IF(A744=4,VEHICLE!$P$5,1))))</f>
        <v>556.55073000000004</v>
      </c>
      <c r="L744" s="60">
        <f t="shared" si="233"/>
        <v>2.5</v>
      </c>
      <c r="M744" s="60">
        <f t="shared" si="226"/>
        <v>0.5</v>
      </c>
      <c r="N744" s="60">
        <f t="shared" si="219"/>
        <v>26.56505117707799</v>
      </c>
      <c r="O744" s="60">
        <f t="shared" si="220"/>
        <v>193.03527636160186</v>
      </c>
      <c r="P744" s="60">
        <f t="shared" si="221"/>
        <v>862.37677515076189</v>
      </c>
      <c r="Q744" s="60">
        <f>IF(H744=1,I744*VEHICLE!$C$69,IF(H744=2,VEHICLE!$C$70*I744,IF(H744=3,VEHICLE!$C$71*I744,0)))</f>
        <v>0.87525000000000008</v>
      </c>
      <c r="R744" s="60">
        <f>(J744+K744+O744+Q744)</f>
        <v>863.25202515076194</v>
      </c>
      <c r="S744" s="60">
        <f t="shared" si="222"/>
        <v>863.25202515076194</v>
      </c>
      <c r="T744" s="60">
        <f>ABS((R744)/((2*PI()*G744)/60))</f>
        <v>1.3189519385935962</v>
      </c>
      <c r="U744" s="60">
        <f t="shared" si="223"/>
        <v>2</v>
      </c>
      <c r="V744" s="60">
        <f>INDEX(BSFC!$D$4:$AD$26,MATCH(U744,BSFC!$B$4:$B$26,0),MATCH(G744,BSFC!$D$2:$AD$2,0))</f>
        <v>911.91411232000019</v>
      </c>
      <c r="W744" s="60">
        <f t="shared" si="227"/>
        <v>0.2186699178399443</v>
      </c>
      <c r="X744" s="60">
        <f t="shared" si="224"/>
        <v>0.2186699178399443</v>
      </c>
      <c r="Y744" s="60">
        <f t="shared" si="225"/>
        <v>0.67569004612542782</v>
      </c>
      <c r="Z744" s="79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x14ac:dyDescent="0.3">
      <c r="A745" s="55">
        <v>3</v>
      </c>
      <c r="B745" s="60" t="s">
        <v>112</v>
      </c>
      <c r="C745" s="60">
        <f t="shared" si="234"/>
        <v>742</v>
      </c>
      <c r="D745" s="60">
        <f t="shared" si="218"/>
        <v>27.425619999999995</v>
      </c>
      <c r="E745" s="60">
        <f>E744+1</f>
        <v>12.259999999999998</v>
      </c>
      <c r="F745" s="89">
        <f>($C$4/E745)+F744</f>
        <v>96.348684351622822</v>
      </c>
      <c r="G745" s="60">
        <f t="shared" si="231"/>
        <v>6500</v>
      </c>
      <c r="H745" s="60">
        <v>3</v>
      </c>
      <c r="I745" s="89">
        <f>E745-E744</f>
        <v>1</v>
      </c>
      <c r="J745" s="60">
        <f>(0.5*VEHICLE!$C$71*VEHICLE!$C$28*VEHICLE!$C$27*'Drive Cycle'!E745^2)</f>
        <v>133.71425722115995</v>
      </c>
      <c r="K745" s="60">
        <f>IF(A745=1,VEHICLE!$S$5,IF(A745=2,VEHICLE!$Q$5,IF(A745=3,VEHICLE!$R$5,IF(A745=4,VEHICLE!$P$5,1))))</f>
        <v>556.55073000000004</v>
      </c>
      <c r="L745" s="60">
        <f>L744</f>
        <v>2.5</v>
      </c>
      <c r="M745" s="60">
        <f t="shared" si="226"/>
        <v>0</v>
      </c>
      <c r="N745" s="60">
        <f t="shared" si="219"/>
        <v>0</v>
      </c>
      <c r="O745" s="60">
        <f t="shared" si="220"/>
        <v>0</v>
      </c>
      <c r="P745" s="60">
        <f t="shared" si="221"/>
        <v>690.26498722116003</v>
      </c>
      <c r="Q745" s="60">
        <f>IF(H745=1,I745*VEHICLE!$C$69,IF(H745=2,VEHICLE!$C$70*I745,IF(H745=3,VEHICLE!$C$71*I745,0)))</f>
        <v>1.167</v>
      </c>
      <c r="R745" s="60">
        <f>(J745+K745+O745+Q745)</f>
        <v>691.43198722116006</v>
      </c>
      <c r="S745" s="60">
        <f t="shared" si="222"/>
        <v>691.43198722116006</v>
      </c>
      <c r="T745" s="60">
        <f>ABS((R745)/((2*PI()*G745)/60))</f>
        <v>1.0157983253363061</v>
      </c>
      <c r="U745" s="60">
        <f t="shared" si="223"/>
        <v>2</v>
      </c>
      <c r="V745" s="60">
        <f>INDEX(BSFC!$D$4:$AD$26,MATCH(U745,BSFC!$B$4:$B$26,0),MATCH(G745,BSFC!$D$2:$AD$2,0))</f>
        <v>894.55972883999993</v>
      </c>
      <c r="W745" s="60">
        <f t="shared" si="227"/>
        <v>0.17181311416662867</v>
      </c>
      <c r="X745" s="60">
        <f t="shared" si="224"/>
        <v>0.17181311416662867</v>
      </c>
      <c r="Y745" s="60">
        <f t="shared" si="225"/>
        <v>0.53090252277488259</v>
      </c>
      <c r="Z745" s="79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x14ac:dyDescent="0.3">
      <c r="A746" s="55">
        <v>3</v>
      </c>
      <c r="B746" s="60" t="s">
        <v>112</v>
      </c>
      <c r="C746" s="60">
        <f t="shared" si="234"/>
        <v>743</v>
      </c>
      <c r="D746" s="60">
        <f t="shared" si="218"/>
        <v>29.662619999999997</v>
      </c>
      <c r="E746" s="60">
        <f>E745+1</f>
        <v>13.259999999999998</v>
      </c>
      <c r="F746" s="89">
        <f>($C$4/E746)+F745</f>
        <v>96.424099132919963</v>
      </c>
      <c r="G746" s="60">
        <f t="shared" si="231"/>
        <v>6750</v>
      </c>
      <c r="H746" s="60">
        <v>3</v>
      </c>
      <c r="I746" s="89">
        <f>E746-E745</f>
        <v>1</v>
      </c>
      <c r="J746" s="60">
        <f>(0.5*VEHICLE!$C$71*VEHICLE!$C$28*VEHICLE!$C$27*'Drive Cycle'!E746^2)</f>
        <v>156.41695385315995</v>
      </c>
      <c r="K746" s="60">
        <f>IF(A746=1,VEHICLE!$S$5,IF(A746=2,VEHICLE!$Q$5,IF(A746=3,VEHICLE!$R$5,IF(A746=4,VEHICLE!$P$5,1))))</f>
        <v>556.55073000000004</v>
      </c>
      <c r="L746" s="60">
        <f t="shared" ref="L746:L798" si="235">L745</f>
        <v>2.5</v>
      </c>
      <c r="M746" s="60">
        <f t="shared" si="226"/>
        <v>0</v>
      </c>
      <c r="N746" s="60">
        <f t="shared" si="219"/>
        <v>0</v>
      </c>
      <c r="O746" s="60">
        <f t="shared" si="220"/>
        <v>0</v>
      </c>
      <c r="P746" s="60">
        <f t="shared" si="221"/>
        <v>712.96768385316</v>
      </c>
      <c r="Q746" s="60">
        <f>IF(H746=1,I746*VEHICLE!$C$69,IF(H746=2,VEHICLE!$C$70*I746,IF(H746=3,VEHICLE!$C$71*I746,0)))</f>
        <v>1.167</v>
      </c>
      <c r="R746" s="60">
        <f>(J746+K746+O746+Q746)</f>
        <v>714.13468385316003</v>
      </c>
      <c r="S746" s="60">
        <f t="shared" si="222"/>
        <v>714.13468385316003</v>
      </c>
      <c r="T746" s="60">
        <f>ABS((R746)/((2*PI()*G746)/60))</f>
        <v>1.0102939108319855</v>
      </c>
      <c r="U746" s="60">
        <f t="shared" si="223"/>
        <v>2</v>
      </c>
      <c r="V746" s="60">
        <f>INDEX(BSFC!$D$4:$AD$26,MATCH(U746,BSFC!$B$4:$B$26,0),MATCH(G746,BSFC!$D$2:$AD$2,0))</f>
        <v>914.12972883999998</v>
      </c>
      <c r="W746" s="60">
        <f t="shared" si="227"/>
        <v>0.18133659580720229</v>
      </c>
      <c r="X746" s="60">
        <f t="shared" si="224"/>
        <v>0.18133659580720229</v>
      </c>
      <c r="Y746" s="60">
        <f t="shared" si="225"/>
        <v>0.56033008104425508</v>
      </c>
      <c r="Z746" s="79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x14ac:dyDescent="0.3">
      <c r="A747" s="55">
        <v>3</v>
      </c>
      <c r="B747" s="60" t="s">
        <v>112</v>
      </c>
      <c r="C747" s="60">
        <f t="shared" si="234"/>
        <v>744</v>
      </c>
      <c r="D747" s="60">
        <f t="shared" si="218"/>
        <v>29.998170000000002</v>
      </c>
      <c r="E747" s="60">
        <v>13.41</v>
      </c>
      <c r="F747" s="89">
        <f>($C$4/E747)+F746</f>
        <v>96.498670348430778</v>
      </c>
      <c r="G747" s="60">
        <f>G746+250</f>
        <v>7000</v>
      </c>
      <c r="H747" s="60">
        <v>3</v>
      </c>
      <c r="I747" s="89">
        <f>E747-E746</f>
        <v>0.15000000000000213</v>
      </c>
      <c r="J747" s="60">
        <f>(0.5*VEHICLE!$C$71*VEHICLE!$C$28*VEHICLE!$C$27*'Drive Cycle'!E747^2)</f>
        <v>159.97581505520998</v>
      </c>
      <c r="K747" s="60">
        <f>IF(A747=1,VEHICLE!$S$5,IF(A747=2,VEHICLE!$Q$5,IF(A747=3,VEHICLE!$R$5,IF(A747=4,VEHICLE!$P$5,1))))</f>
        <v>556.55073000000004</v>
      </c>
      <c r="L747" s="60">
        <f t="shared" si="235"/>
        <v>2.5</v>
      </c>
      <c r="M747" s="60">
        <f t="shared" si="226"/>
        <v>0</v>
      </c>
      <c r="N747" s="60">
        <f t="shared" si="219"/>
        <v>0</v>
      </c>
      <c r="O747" s="60">
        <f t="shared" si="220"/>
        <v>0</v>
      </c>
      <c r="P747" s="60">
        <f t="shared" si="221"/>
        <v>716.52654505521002</v>
      </c>
      <c r="Q747" s="60">
        <f>IF(H747=1,I747*VEHICLE!$C$69,IF(H747=2,VEHICLE!$C$70*I747,IF(H747=3,VEHICLE!$C$71*I747,0)))</f>
        <v>0.17505000000000248</v>
      </c>
      <c r="R747" s="60">
        <f>(J747+K747+O747+Q747)</f>
        <v>716.70159505521008</v>
      </c>
      <c r="S747" s="60">
        <f t="shared" si="222"/>
        <v>716.70159505521008</v>
      </c>
      <c r="T747" s="60">
        <f>ABS((R747)/((2*PI()*G747)/60))</f>
        <v>0.97771372778470789</v>
      </c>
      <c r="U747" s="60">
        <f t="shared" si="223"/>
        <v>1</v>
      </c>
      <c r="V747" s="60">
        <f>INDEX(BSFC!$D$4:$AD$26,MATCH(U747,BSFC!$B$4:$B$26,0),MATCH(G747,BSFC!$D$2:$AD$2,0))</f>
        <v>920.25590927999997</v>
      </c>
      <c r="W747" s="60">
        <f t="shared" si="227"/>
        <v>0.18320802167776629</v>
      </c>
      <c r="X747" s="60">
        <f t="shared" si="224"/>
        <v>0.18320802167776629</v>
      </c>
      <c r="Y747" s="60">
        <f t="shared" si="225"/>
        <v>0.56611278698429779</v>
      </c>
      <c r="Z747" s="79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x14ac:dyDescent="0.3">
      <c r="A748" s="55">
        <v>3</v>
      </c>
      <c r="B748" s="60" t="s">
        <v>112</v>
      </c>
      <c r="C748" s="60">
        <f t="shared" si="234"/>
        <v>745</v>
      </c>
      <c r="D748" s="60">
        <f t="shared" si="218"/>
        <v>29.998170000000002</v>
      </c>
      <c r="E748" s="60">
        <v>13.41</v>
      </c>
      <c r="F748" s="89">
        <f>($C$4/E748)+F747</f>
        <v>96.573241563941593</v>
      </c>
      <c r="G748" s="60">
        <f t="shared" ref="G748:G757" si="236">G747</f>
        <v>7000</v>
      </c>
      <c r="H748" s="60">
        <v>3</v>
      </c>
      <c r="I748" s="89">
        <f>E748-E747</f>
        <v>0</v>
      </c>
      <c r="J748" s="60">
        <f>(0.5*VEHICLE!$C$71*VEHICLE!$C$28*VEHICLE!$C$27*'Drive Cycle'!E748^2)</f>
        <v>159.97581505520998</v>
      </c>
      <c r="K748" s="60">
        <f>IF(A748=1,VEHICLE!$S$5,IF(A748=2,VEHICLE!$Q$5,IF(A748=3,VEHICLE!$R$5,IF(A748=4,VEHICLE!$P$5,1))))</f>
        <v>556.55073000000004</v>
      </c>
      <c r="L748" s="60">
        <f t="shared" si="235"/>
        <v>2.5</v>
      </c>
      <c r="M748" s="60">
        <f t="shared" si="226"/>
        <v>0</v>
      </c>
      <c r="N748" s="60">
        <f t="shared" si="219"/>
        <v>0</v>
      </c>
      <c r="O748" s="60">
        <f t="shared" si="220"/>
        <v>0</v>
      </c>
      <c r="P748" s="60">
        <f t="shared" si="221"/>
        <v>716.52654505521002</v>
      </c>
      <c r="Q748" s="60">
        <f>IF(H748=1,I748*VEHICLE!$C$69,IF(H748=2,VEHICLE!$C$70*I748,IF(H748=3,VEHICLE!$C$71*I748,0)))</f>
        <v>0</v>
      </c>
      <c r="R748" s="60">
        <f>(J748+K748+O748+Q748)</f>
        <v>716.52654505521002</v>
      </c>
      <c r="S748" s="60">
        <f t="shared" si="222"/>
        <v>716.52654505521002</v>
      </c>
      <c r="T748" s="60">
        <f>ABS((R748)/((2*PI()*G748)/60))</f>
        <v>0.97747492716080864</v>
      </c>
      <c r="U748" s="60">
        <f t="shared" si="223"/>
        <v>1</v>
      </c>
      <c r="V748" s="60">
        <f>INDEX(BSFC!$D$4:$AD$26,MATCH(U748,BSFC!$B$4:$B$26,0),MATCH(G748,BSFC!$D$2:$AD$2,0))</f>
        <v>920.25590927999997</v>
      </c>
      <c r="W748" s="60">
        <f t="shared" si="227"/>
        <v>0.18316327423417753</v>
      </c>
      <c r="X748" s="60">
        <f t="shared" si="224"/>
        <v>0.18316327423417753</v>
      </c>
      <c r="Y748" s="60">
        <f t="shared" si="225"/>
        <v>0.56597451738360849</v>
      </c>
      <c r="Z748" s="79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x14ac:dyDescent="0.3">
      <c r="A749" s="55">
        <v>3</v>
      </c>
      <c r="B749" s="60" t="s">
        <v>112</v>
      </c>
      <c r="C749" s="60">
        <f t="shared" si="234"/>
        <v>746</v>
      </c>
      <c r="D749" s="60">
        <f t="shared" si="218"/>
        <v>29.998170000000002</v>
      </c>
      <c r="E749" s="60">
        <v>13.41</v>
      </c>
      <c r="F749" s="89">
        <f>($C$4/E749)+F748</f>
        <v>96.647812779452408</v>
      </c>
      <c r="G749" s="60">
        <f t="shared" si="236"/>
        <v>7000</v>
      </c>
      <c r="H749" s="60">
        <v>3</v>
      </c>
      <c r="I749" s="89">
        <f>E749-E748</f>
        <v>0</v>
      </c>
      <c r="J749" s="60">
        <f>(0.5*VEHICLE!$C$71*VEHICLE!$C$28*VEHICLE!$C$27*'Drive Cycle'!E749^2)</f>
        <v>159.97581505520998</v>
      </c>
      <c r="K749" s="60">
        <f>IF(A749=1,VEHICLE!$S$5,IF(A749=2,VEHICLE!$Q$5,IF(A749=3,VEHICLE!$R$5,IF(A749=4,VEHICLE!$P$5,1))))</f>
        <v>556.55073000000004</v>
      </c>
      <c r="L749" s="60">
        <f t="shared" si="235"/>
        <v>2.5</v>
      </c>
      <c r="M749" s="60">
        <f t="shared" si="226"/>
        <v>0</v>
      </c>
      <c r="N749" s="60">
        <f t="shared" si="219"/>
        <v>0</v>
      </c>
      <c r="O749" s="60">
        <f t="shared" si="220"/>
        <v>0</v>
      </c>
      <c r="P749" s="60">
        <f t="shared" si="221"/>
        <v>716.52654505521002</v>
      </c>
      <c r="Q749" s="60">
        <f>IF(H749=1,I749*VEHICLE!$C$69,IF(H749=2,VEHICLE!$C$70*I749,IF(H749=3,VEHICLE!$C$71*I749,0)))</f>
        <v>0</v>
      </c>
      <c r="R749" s="60">
        <f>(J749+K749+O749+Q749)</f>
        <v>716.52654505521002</v>
      </c>
      <c r="S749" s="60">
        <f t="shared" si="222"/>
        <v>716.52654505521002</v>
      </c>
      <c r="T749" s="60">
        <f>ABS((R749)/((2*PI()*G749)/60))</f>
        <v>0.97747492716080864</v>
      </c>
      <c r="U749" s="60">
        <f t="shared" si="223"/>
        <v>1</v>
      </c>
      <c r="V749" s="60">
        <f>INDEX(BSFC!$D$4:$AD$26,MATCH(U749,BSFC!$B$4:$B$26,0),MATCH(G749,BSFC!$D$2:$AD$2,0))</f>
        <v>920.25590927999997</v>
      </c>
      <c r="W749" s="60">
        <f t="shared" si="227"/>
        <v>0.18316327423417753</v>
      </c>
      <c r="X749" s="60">
        <f t="shared" si="224"/>
        <v>0.18316327423417753</v>
      </c>
      <c r="Y749" s="60">
        <f t="shared" si="225"/>
        <v>0.56597451738360849</v>
      </c>
      <c r="Z749" s="79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x14ac:dyDescent="0.3">
      <c r="A750" s="55">
        <v>3</v>
      </c>
      <c r="B750" s="60" t="s">
        <v>112</v>
      </c>
      <c r="C750" s="60">
        <f t="shared" si="234"/>
        <v>747</v>
      </c>
      <c r="D750" s="60">
        <f t="shared" si="218"/>
        <v>29.998170000000002</v>
      </c>
      <c r="E750" s="60">
        <v>13.41</v>
      </c>
      <c r="F750" s="89">
        <f>($C$4/E750)+F749</f>
        <v>96.722383994963224</v>
      </c>
      <c r="G750" s="60">
        <f t="shared" si="236"/>
        <v>7000</v>
      </c>
      <c r="H750" s="60">
        <v>3</v>
      </c>
      <c r="I750" s="89">
        <f>E750-E749</f>
        <v>0</v>
      </c>
      <c r="J750" s="60">
        <f>(0.5*VEHICLE!$C$71*VEHICLE!$C$28*VEHICLE!$C$27*'Drive Cycle'!E750^2)</f>
        <v>159.97581505520998</v>
      </c>
      <c r="K750" s="60">
        <f>IF(A750=1,VEHICLE!$S$5,IF(A750=2,VEHICLE!$Q$5,IF(A750=3,VEHICLE!$R$5,IF(A750=4,VEHICLE!$P$5,1))))</f>
        <v>556.55073000000004</v>
      </c>
      <c r="L750" s="60">
        <f t="shared" si="235"/>
        <v>2.5</v>
      </c>
      <c r="M750" s="60">
        <f t="shared" si="226"/>
        <v>0</v>
      </c>
      <c r="N750" s="60">
        <f t="shared" si="219"/>
        <v>0</v>
      </c>
      <c r="O750" s="60">
        <f t="shared" si="220"/>
        <v>0</v>
      </c>
      <c r="P750" s="60">
        <f t="shared" si="221"/>
        <v>716.52654505521002</v>
      </c>
      <c r="Q750" s="60">
        <f>IF(H750=1,I750*VEHICLE!$C$69,IF(H750=2,VEHICLE!$C$70*I750,IF(H750=3,VEHICLE!$C$71*I750,0)))</f>
        <v>0</v>
      </c>
      <c r="R750" s="60">
        <f>(J750+K750+O750+Q750)</f>
        <v>716.52654505521002</v>
      </c>
      <c r="S750" s="60">
        <f t="shared" si="222"/>
        <v>716.52654505521002</v>
      </c>
      <c r="T750" s="60">
        <f>ABS((R750)/((2*PI()*G750)/60))</f>
        <v>0.97747492716080864</v>
      </c>
      <c r="U750" s="60">
        <f t="shared" si="223"/>
        <v>1</v>
      </c>
      <c r="V750" s="60">
        <f>INDEX(BSFC!$D$4:$AD$26,MATCH(U750,BSFC!$B$4:$B$26,0),MATCH(G750,BSFC!$D$2:$AD$2,0))</f>
        <v>920.25590927999997</v>
      </c>
      <c r="W750" s="60">
        <f t="shared" si="227"/>
        <v>0.18316327423417753</v>
      </c>
      <c r="X750" s="60">
        <f t="shared" si="224"/>
        <v>0.18316327423417753</v>
      </c>
      <c r="Y750" s="60">
        <f t="shared" si="225"/>
        <v>0.56597451738360849</v>
      </c>
      <c r="Z750" s="79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x14ac:dyDescent="0.3">
      <c r="A751" s="55">
        <v>3</v>
      </c>
      <c r="B751" s="60" t="s">
        <v>112</v>
      </c>
      <c r="C751" s="60">
        <f t="shared" si="234"/>
        <v>748</v>
      </c>
      <c r="D751" s="60">
        <f t="shared" si="218"/>
        <v>29.998170000000002</v>
      </c>
      <c r="E751" s="60">
        <v>13.41</v>
      </c>
      <c r="F751" s="89">
        <f>($C$4/E751)+F750</f>
        <v>96.796955210474039</v>
      </c>
      <c r="G751" s="60">
        <f t="shared" si="236"/>
        <v>7000</v>
      </c>
      <c r="H751" s="60">
        <v>3</v>
      </c>
      <c r="I751" s="89">
        <f>E751-E750</f>
        <v>0</v>
      </c>
      <c r="J751" s="60">
        <f>(0.5*VEHICLE!$C$71*VEHICLE!$C$28*VEHICLE!$C$27*'Drive Cycle'!E751^2)</f>
        <v>159.97581505520998</v>
      </c>
      <c r="K751" s="60">
        <f>IF(A751=1,VEHICLE!$S$5,IF(A751=2,VEHICLE!$Q$5,IF(A751=3,VEHICLE!$R$5,IF(A751=4,VEHICLE!$P$5,1))))</f>
        <v>556.55073000000004</v>
      </c>
      <c r="L751" s="60">
        <f t="shared" si="235"/>
        <v>2.5</v>
      </c>
      <c r="M751" s="60">
        <f t="shared" si="226"/>
        <v>0</v>
      </c>
      <c r="N751" s="60">
        <f t="shared" si="219"/>
        <v>0</v>
      </c>
      <c r="O751" s="60">
        <f t="shared" si="220"/>
        <v>0</v>
      </c>
      <c r="P751" s="60">
        <f t="shared" si="221"/>
        <v>716.52654505521002</v>
      </c>
      <c r="Q751" s="60">
        <f>IF(H751=1,I751*VEHICLE!$C$69,IF(H751=2,VEHICLE!$C$70*I751,IF(H751=3,VEHICLE!$C$71*I751,0)))</f>
        <v>0</v>
      </c>
      <c r="R751" s="60">
        <f>(J751+K751+O751+Q751)</f>
        <v>716.52654505521002</v>
      </c>
      <c r="S751" s="60">
        <f t="shared" si="222"/>
        <v>716.52654505521002</v>
      </c>
      <c r="T751" s="60">
        <f>ABS((R751)/((2*PI()*G751)/60))</f>
        <v>0.97747492716080864</v>
      </c>
      <c r="U751" s="60">
        <f t="shared" si="223"/>
        <v>1</v>
      </c>
      <c r="V751" s="60">
        <f>INDEX(BSFC!$D$4:$AD$26,MATCH(U751,BSFC!$B$4:$B$26,0),MATCH(G751,BSFC!$D$2:$AD$2,0))</f>
        <v>920.25590927999997</v>
      </c>
      <c r="W751" s="60">
        <f t="shared" si="227"/>
        <v>0.18316327423417753</v>
      </c>
      <c r="X751" s="60">
        <f t="shared" si="224"/>
        <v>0.18316327423417753</v>
      </c>
      <c r="Y751" s="60">
        <f t="shared" si="225"/>
        <v>0.56597451738360849</v>
      </c>
      <c r="Z751" s="79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x14ac:dyDescent="0.3">
      <c r="A752" s="55">
        <v>3</v>
      </c>
      <c r="B752" s="60" t="s">
        <v>112</v>
      </c>
      <c r="C752" s="60">
        <f t="shared" si="234"/>
        <v>749</v>
      </c>
      <c r="D752" s="60">
        <f t="shared" si="218"/>
        <v>29.998170000000002</v>
      </c>
      <c r="E752" s="60">
        <v>13.41</v>
      </c>
      <c r="F752" s="89">
        <f>($C$4/E752)+F751</f>
        <v>96.871526425984854</v>
      </c>
      <c r="G752" s="60">
        <f t="shared" si="236"/>
        <v>7000</v>
      </c>
      <c r="H752" s="60">
        <v>3</v>
      </c>
      <c r="I752" s="89">
        <f>E752-E751</f>
        <v>0</v>
      </c>
      <c r="J752" s="60">
        <f>(0.5*VEHICLE!$C$71*VEHICLE!$C$28*VEHICLE!$C$27*'Drive Cycle'!E752^2)</f>
        <v>159.97581505520998</v>
      </c>
      <c r="K752" s="60">
        <f>IF(A752=1,VEHICLE!$S$5,IF(A752=2,VEHICLE!$Q$5,IF(A752=3,VEHICLE!$R$5,IF(A752=4,VEHICLE!$P$5,1))))</f>
        <v>556.55073000000004</v>
      </c>
      <c r="L752" s="60">
        <f t="shared" si="235"/>
        <v>2.5</v>
      </c>
      <c r="M752" s="60">
        <f t="shared" si="226"/>
        <v>0</v>
      </c>
      <c r="N752" s="60">
        <f t="shared" si="219"/>
        <v>0</v>
      </c>
      <c r="O752" s="60">
        <f t="shared" si="220"/>
        <v>0</v>
      </c>
      <c r="P752" s="60">
        <f t="shared" si="221"/>
        <v>716.52654505521002</v>
      </c>
      <c r="Q752" s="60">
        <f>IF(H752=1,I752*VEHICLE!$C$69,IF(H752=2,VEHICLE!$C$70*I752,IF(H752=3,VEHICLE!$C$71*I752,0)))</f>
        <v>0</v>
      </c>
      <c r="R752" s="60">
        <f>(J752+K752+O752+Q752)</f>
        <v>716.52654505521002</v>
      </c>
      <c r="S752" s="60">
        <f t="shared" si="222"/>
        <v>716.52654505521002</v>
      </c>
      <c r="T752" s="60">
        <f>ABS((R752)/((2*PI()*G752)/60))</f>
        <v>0.97747492716080864</v>
      </c>
      <c r="U752" s="60">
        <f t="shared" si="223"/>
        <v>1</v>
      </c>
      <c r="V752" s="60">
        <f>INDEX(BSFC!$D$4:$AD$26,MATCH(U752,BSFC!$B$4:$B$26,0),MATCH(G752,BSFC!$D$2:$AD$2,0))</f>
        <v>920.25590927999997</v>
      </c>
      <c r="W752" s="60">
        <f t="shared" si="227"/>
        <v>0.18316327423417753</v>
      </c>
      <c r="X752" s="60">
        <f t="shared" si="224"/>
        <v>0.18316327423417753</v>
      </c>
      <c r="Y752" s="60">
        <f t="shared" si="225"/>
        <v>0.56597451738360849</v>
      </c>
      <c r="Z752" s="79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x14ac:dyDescent="0.3">
      <c r="A753" s="55">
        <v>3</v>
      </c>
      <c r="B753" s="60" t="s">
        <v>112</v>
      </c>
      <c r="C753" s="60">
        <f t="shared" si="234"/>
        <v>750</v>
      </c>
      <c r="D753" s="60">
        <f t="shared" si="218"/>
        <v>29.998170000000002</v>
      </c>
      <c r="E753" s="60">
        <v>13.41</v>
      </c>
      <c r="F753" s="89">
        <f>($C$4/E753)+F752</f>
        <v>96.946097641495669</v>
      </c>
      <c r="G753" s="60">
        <f t="shared" si="236"/>
        <v>7000</v>
      </c>
      <c r="H753" s="60">
        <v>3</v>
      </c>
      <c r="I753" s="89">
        <f>E753-E752</f>
        <v>0</v>
      </c>
      <c r="J753" s="60">
        <f>(0.5*VEHICLE!$C$71*VEHICLE!$C$28*VEHICLE!$C$27*'Drive Cycle'!E753^2)</f>
        <v>159.97581505520998</v>
      </c>
      <c r="K753" s="60">
        <f>IF(A753=1,VEHICLE!$S$5,IF(A753=2,VEHICLE!$Q$5,IF(A753=3,VEHICLE!$R$5,IF(A753=4,VEHICLE!$P$5,1))))</f>
        <v>556.55073000000004</v>
      </c>
      <c r="L753" s="60">
        <f t="shared" si="235"/>
        <v>2.5</v>
      </c>
      <c r="M753" s="60">
        <f t="shared" si="226"/>
        <v>0</v>
      </c>
      <c r="N753" s="60">
        <f t="shared" si="219"/>
        <v>0</v>
      </c>
      <c r="O753" s="60">
        <f t="shared" si="220"/>
        <v>0</v>
      </c>
      <c r="P753" s="60">
        <f t="shared" si="221"/>
        <v>716.52654505521002</v>
      </c>
      <c r="Q753" s="60">
        <f>IF(H753=1,I753*VEHICLE!$C$69,IF(H753=2,VEHICLE!$C$70*I753,IF(H753=3,VEHICLE!$C$71*I753,0)))</f>
        <v>0</v>
      </c>
      <c r="R753" s="60">
        <f>(J753+K753+O753+Q753)</f>
        <v>716.52654505521002</v>
      </c>
      <c r="S753" s="60">
        <f t="shared" si="222"/>
        <v>716.52654505521002</v>
      </c>
      <c r="T753" s="60">
        <f>ABS((R753)/((2*PI()*G753)/60))</f>
        <v>0.97747492716080864</v>
      </c>
      <c r="U753" s="60">
        <f t="shared" si="223"/>
        <v>1</v>
      </c>
      <c r="V753" s="60">
        <f>INDEX(BSFC!$D$4:$AD$26,MATCH(U753,BSFC!$B$4:$B$26,0),MATCH(G753,BSFC!$D$2:$AD$2,0))</f>
        <v>920.25590927999997</v>
      </c>
      <c r="W753" s="60">
        <f t="shared" si="227"/>
        <v>0.18316327423417753</v>
      </c>
      <c r="X753" s="60">
        <f t="shared" si="224"/>
        <v>0.18316327423417753</v>
      </c>
      <c r="Y753" s="60">
        <f t="shared" si="225"/>
        <v>0.56597451738360849</v>
      </c>
      <c r="Z753" s="79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x14ac:dyDescent="0.3">
      <c r="A754" s="55">
        <v>3</v>
      </c>
      <c r="B754" s="60" t="s">
        <v>112</v>
      </c>
      <c r="C754" s="60">
        <f t="shared" si="234"/>
        <v>751</v>
      </c>
      <c r="D754" s="60">
        <f t="shared" si="218"/>
        <v>29.998170000000002</v>
      </c>
      <c r="E754" s="60">
        <v>13.41</v>
      </c>
      <c r="F754" s="89">
        <f>($C$4/E754)+F753</f>
        <v>97.020668857006484</v>
      </c>
      <c r="G754" s="60">
        <f t="shared" si="236"/>
        <v>7000</v>
      </c>
      <c r="H754" s="60">
        <v>3</v>
      </c>
      <c r="I754" s="89">
        <f>E754-E753</f>
        <v>0</v>
      </c>
      <c r="J754" s="60">
        <f>(0.5*VEHICLE!$C$71*VEHICLE!$C$28*VEHICLE!$C$27*'Drive Cycle'!E754^2)</f>
        <v>159.97581505520998</v>
      </c>
      <c r="K754" s="60">
        <f>IF(A754=1,VEHICLE!$S$5,IF(A754=2,VEHICLE!$Q$5,IF(A754=3,VEHICLE!$R$5,IF(A754=4,VEHICLE!$P$5,1))))</f>
        <v>556.55073000000004</v>
      </c>
      <c r="L754" s="60">
        <f t="shared" si="235"/>
        <v>2.5</v>
      </c>
      <c r="M754" s="60">
        <f t="shared" si="226"/>
        <v>0</v>
      </c>
      <c r="N754" s="60">
        <f t="shared" si="219"/>
        <v>0</v>
      </c>
      <c r="O754" s="60">
        <f t="shared" si="220"/>
        <v>0</v>
      </c>
      <c r="P754" s="60">
        <f t="shared" si="221"/>
        <v>716.52654505521002</v>
      </c>
      <c r="Q754" s="60">
        <f>IF(H754=1,I754*VEHICLE!$C$69,IF(H754=2,VEHICLE!$C$70*I754,IF(H754=3,VEHICLE!$C$71*I754,0)))</f>
        <v>0</v>
      </c>
      <c r="R754" s="60">
        <f>(J754+K754+O754+Q754)</f>
        <v>716.52654505521002</v>
      </c>
      <c r="S754" s="60">
        <f t="shared" si="222"/>
        <v>716.52654505521002</v>
      </c>
      <c r="T754" s="60">
        <f>ABS((R754)/((2*PI()*G754)/60))</f>
        <v>0.97747492716080864</v>
      </c>
      <c r="U754" s="60">
        <f t="shared" si="223"/>
        <v>1</v>
      </c>
      <c r="V754" s="60">
        <f>INDEX(BSFC!$D$4:$AD$26,MATCH(U754,BSFC!$B$4:$B$26,0),MATCH(G754,BSFC!$D$2:$AD$2,0))</f>
        <v>920.25590927999997</v>
      </c>
      <c r="W754" s="60">
        <f t="shared" si="227"/>
        <v>0.18316327423417753</v>
      </c>
      <c r="X754" s="60">
        <f t="shared" si="224"/>
        <v>0.18316327423417753</v>
      </c>
      <c r="Y754" s="60">
        <f t="shared" si="225"/>
        <v>0.56597451738360849</v>
      </c>
      <c r="Z754" s="79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x14ac:dyDescent="0.3">
      <c r="A755" s="55">
        <v>3</v>
      </c>
      <c r="B755" s="60" t="s">
        <v>112</v>
      </c>
      <c r="C755" s="60">
        <f t="shared" si="234"/>
        <v>752</v>
      </c>
      <c r="D755" s="60">
        <f t="shared" si="218"/>
        <v>29.998170000000002</v>
      </c>
      <c r="E755" s="60">
        <v>13.41</v>
      </c>
      <c r="F755" s="89">
        <f>($C$4/E755)+F754</f>
        <v>97.095240072517299</v>
      </c>
      <c r="G755" s="60">
        <f t="shared" si="236"/>
        <v>7000</v>
      </c>
      <c r="H755" s="60">
        <v>3</v>
      </c>
      <c r="I755" s="89">
        <f>E755-E754</f>
        <v>0</v>
      </c>
      <c r="J755" s="60">
        <f>(0.5*VEHICLE!$C$71*VEHICLE!$C$28*VEHICLE!$C$27*'Drive Cycle'!E755^2)</f>
        <v>159.97581505520998</v>
      </c>
      <c r="K755" s="60">
        <f>IF(A755=1,VEHICLE!$S$5,IF(A755=2,VEHICLE!$Q$5,IF(A755=3,VEHICLE!$R$5,IF(A755=4,VEHICLE!$P$5,1))))</f>
        <v>556.55073000000004</v>
      </c>
      <c r="L755" s="60">
        <f t="shared" si="235"/>
        <v>2.5</v>
      </c>
      <c r="M755" s="60">
        <f t="shared" si="226"/>
        <v>0</v>
      </c>
      <c r="N755" s="60">
        <f t="shared" si="219"/>
        <v>0</v>
      </c>
      <c r="O755" s="60">
        <f t="shared" si="220"/>
        <v>0</v>
      </c>
      <c r="P755" s="60">
        <f t="shared" si="221"/>
        <v>716.52654505521002</v>
      </c>
      <c r="Q755" s="60">
        <f>IF(H755=1,I755*VEHICLE!$C$69,IF(H755=2,VEHICLE!$C$70*I755,IF(H755=3,VEHICLE!$C$71*I755,0)))</f>
        <v>0</v>
      </c>
      <c r="R755" s="60">
        <f>(J755+K755+O755+Q755)</f>
        <v>716.52654505521002</v>
      </c>
      <c r="S755" s="60">
        <f t="shared" si="222"/>
        <v>716.52654505521002</v>
      </c>
      <c r="T755" s="60">
        <f>ABS((R755)/((2*PI()*G755)/60))</f>
        <v>0.97747492716080864</v>
      </c>
      <c r="U755" s="60">
        <f t="shared" si="223"/>
        <v>1</v>
      </c>
      <c r="V755" s="60">
        <f>INDEX(BSFC!$D$4:$AD$26,MATCH(U755,BSFC!$B$4:$B$26,0),MATCH(G755,BSFC!$D$2:$AD$2,0))</f>
        <v>920.25590927999997</v>
      </c>
      <c r="W755" s="60">
        <f t="shared" si="227"/>
        <v>0.18316327423417753</v>
      </c>
      <c r="X755" s="60">
        <f t="shared" si="224"/>
        <v>0.18316327423417753</v>
      </c>
      <c r="Y755" s="60">
        <f t="shared" si="225"/>
        <v>0.56597451738360849</v>
      </c>
      <c r="Z755" s="79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x14ac:dyDescent="0.3">
      <c r="A756" s="55">
        <v>3</v>
      </c>
      <c r="B756" s="60" t="s">
        <v>112</v>
      </c>
      <c r="C756" s="60">
        <f t="shared" si="234"/>
        <v>753</v>
      </c>
      <c r="D756" s="60">
        <f t="shared" si="218"/>
        <v>29.998170000000002</v>
      </c>
      <c r="E756" s="60">
        <v>13.41</v>
      </c>
      <c r="F756" s="89">
        <f>($C$4/E756)+F755</f>
        <v>97.169811288028114</v>
      </c>
      <c r="G756" s="60">
        <f t="shared" si="236"/>
        <v>7000</v>
      </c>
      <c r="H756" s="60">
        <v>3</v>
      </c>
      <c r="I756" s="89">
        <f>E756-E755</f>
        <v>0</v>
      </c>
      <c r="J756" s="60">
        <f>(0.5*VEHICLE!$C$71*VEHICLE!$C$28*VEHICLE!$C$27*'Drive Cycle'!E756^2)</f>
        <v>159.97581505520998</v>
      </c>
      <c r="K756" s="60">
        <f>IF(A756=1,VEHICLE!$S$5,IF(A756=2,VEHICLE!$Q$5,IF(A756=3,VEHICLE!$R$5,IF(A756=4,VEHICLE!$P$5,1))))</f>
        <v>556.55073000000004</v>
      </c>
      <c r="L756" s="60">
        <f t="shared" si="235"/>
        <v>2.5</v>
      </c>
      <c r="M756" s="60">
        <f t="shared" si="226"/>
        <v>0</v>
      </c>
      <c r="N756" s="60">
        <f t="shared" si="219"/>
        <v>0</v>
      </c>
      <c r="O756" s="60">
        <f t="shared" si="220"/>
        <v>0</v>
      </c>
      <c r="P756" s="60">
        <f t="shared" si="221"/>
        <v>716.52654505521002</v>
      </c>
      <c r="Q756" s="60">
        <f>IF(H756=1,I756*VEHICLE!$C$69,IF(H756=2,VEHICLE!$C$70*I756,IF(H756=3,VEHICLE!$C$71*I756,0)))</f>
        <v>0</v>
      </c>
      <c r="R756" s="60">
        <f>(J756+K756+O756+Q756)</f>
        <v>716.52654505521002</v>
      </c>
      <c r="S756" s="60">
        <f t="shared" si="222"/>
        <v>716.52654505521002</v>
      </c>
      <c r="T756" s="60">
        <f>ABS((R756)/((2*PI()*G756)/60))</f>
        <v>0.97747492716080864</v>
      </c>
      <c r="U756" s="60">
        <f t="shared" si="223"/>
        <v>1</v>
      </c>
      <c r="V756" s="60">
        <f>INDEX(BSFC!$D$4:$AD$26,MATCH(U756,BSFC!$B$4:$B$26,0),MATCH(G756,BSFC!$D$2:$AD$2,0))</f>
        <v>920.25590927999997</v>
      </c>
      <c r="W756" s="60">
        <f t="shared" si="227"/>
        <v>0.18316327423417753</v>
      </c>
      <c r="X756" s="60">
        <f t="shared" si="224"/>
        <v>0.18316327423417753</v>
      </c>
      <c r="Y756" s="60">
        <f t="shared" si="225"/>
        <v>0.56597451738360849</v>
      </c>
      <c r="Z756" s="79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x14ac:dyDescent="0.3">
      <c r="A757" s="55">
        <v>3</v>
      </c>
      <c r="B757" s="60" t="s">
        <v>112</v>
      </c>
      <c r="C757" s="60">
        <f t="shared" si="234"/>
        <v>754</v>
      </c>
      <c r="D757" s="60">
        <f t="shared" si="218"/>
        <v>29.998170000000002</v>
      </c>
      <c r="E757" s="60">
        <v>13.41</v>
      </c>
      <c r="F757" s="89">
        <f>($C$4/E757)+F756</f>
        <v>97.24438250353893</v>
      </c>
      <c r="G757" s="60">
        <f t="shared" si="236"/>
        <v>7000</v>
      </c>
      <c r="H757" s="60">
        <v>3</v>
      </c>
      <c r="I757" s="89">
        <f>E757-E756</f>
        <v>0</v>
      </c>
      <c r="J757" s="60">
        <f>(0.5*VEHICLE!$C$71*VEHICLE!$C$28*VEHICLE!$C$27*'Drive Cycle'!E757^2)</f>
        <v>159.97581505520998</v>
      </c>
      <c r="K757" s="60">
        <f>IF(A757=1,VEHICLE!$S$5,IF(A757=2,VEHICLE!$Q$5,IF(A757=3,VEHICLE!$R$5,IF(A757=4,VEHICLE!$P$5,1))))</f>
        <v>556.55073000000004</v>
      </c>
      <c r="L757" s="60">
        <f t="shared" si="235"/>
        <v>2.5</v>
      </c>
      <c r="M757" s="60">
        <f t="shared" si="226"/>
        <v>0</v>
      </c>
      <c r="N757" s="60">
        <f t="shared" si="219"/>
        <v>0</v>
      </c>
      <c r="O757" s="60">
        <f t="shared" si="220"/>
        <v>0</v>
      </c>
      <c r="P757" s="60">
        <f t="shared" si="221"/>
        <v>716.52654505521002</v>
      </c>
      <c r="Q757" s="60">
        <f>IF(H757=1,I757*VEHICLE!$C$69,IF(H757=2,VEHICLE!$C$70*I757,IF(H757=3,VEHICLE!$C$71*I757,0)))</f>
        <v>0</v>
      </c>
      <c r="R757" s="60">
        <f>(J757+K757+O757+Q757)</f>
        <v>716.52654505521002</v>
      </c>
      <c r="S757" s="60">
        <f t="shared" si="222"/>
        <v>716.52654505521002</v>
      </c>
      <c r="T757" s="60">
        <f>ABS((R757)/((2*PI()*G757)/60))</f>
        <v>0.97747492716080864</v>
      </c>
      <c r="U757" s="60">
        <f t="shared" si="223"/>
        <v>1</v>
      </c>
      <c r="V757" s="60">
        <f>INDEX(BSFC!$D$4:$AD$26,MATCH(U757,BSFC!$B$4:$B$26,0),MATCH(G757,BSFC!$D$2:$AD$2,0))</f>
        <v>920.25590927999997</v>
      </c>
      <c r="W757" s="60">
        <f t="shared" si="227"/>
        <v>0.18316327423417753</v>
      </c>
      <c r="X757" s="60">
        <f t="shared" si="224"/>
        <v>0.18316327423417753</v>
      </c>
      <c r="Y757" s="60">
        <f t="shared" si="225"/>
        <v>0.56597451738360849</v>
      </c>
      <c r="Z757" s="79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x14ac:dyDescent="0.3">
      <c r="A758" s="55">
        <v>3</v>
      </c>
      <c r="B758" s="60" t="s">
        <v>112</v>
      </c>
      <c r="C758" s="60">
        <f t="shared" si="234"/>
        <v>755</v>
      </c>
      <c r="D758" s="60">
        <f t="shared" si="218"/>
        <v>28.879670000000001</v>
      </c>
      <c r="E758" s="60">
        <f t="shared" ref="E758:E760" si="237">E757-0.5</f>
        <v>12.91</v>
      </c>
      <c r="F758" s="89">
        <f>($C$4/E758)+F757</f>
        <v>97.321841837388661</v>
      </c>
      <c r="G758" s="60">
        <f>G757-500</f>
        <v>6500</v>
      </c>
      <c r="H758" s="60">
        <v>3</v>
      </c>
      <c r="I758" s="89">
        <f>E758-E757</f>
        <v>-0.5</v>
      </c>
      <c r="J758" s="60">
        <f>(0.5*VEHICLE!$C$71*VEHICLE!$C$28*VEHICLE!$C$27*'Drive Cycle'!E758^2)</f>
        <v>148.26862509921</v>
      </c>
      <c r="K758" s="60">
        <f>IF(A758=1,VEHICLE!$S$5,IF(A758=2,VEHICLE!$Q$5,IF(A758=3,VEHICLE!$R$5,IF(A758=4,VEHICLE!$P$5,1))))</f>
        <v>556.55073000000004</v>
      </c>
      <c r="L758" s="60">
        <f t="shared" si="235"/>
        <v>2.5</v>
      </c>
      <c r="M758" s="60">
        <f t="shared" si="226"/>
        <v>0</v>
      </c>
      <c r="N758" s="60">
        <f t="shared" si="219"/>
        <v>0</v>
      </c>
      <c r="O758" s="60">
        <f t="shared" si="220"/>
        <v>0</v>
      </c>
      <c r="P758" s="60">
        <f t="shared" si="221"/>
        <v>704.81935509921004</v>
      </c>
      <c r="Q758" s="60">
        <f>IF(H758=1,I758*VEHICLE!$C$69,IF(H758=2,VEHICLE!$C$70*I758,IF(H758=3,VEHICLE!$C$71*I758,0)))</f>
        <v>-0.58350000000000002</v>
      </c>
      <c r="R758" s="60">
        <f>(J758+K758+O758+Q758)</f>
        <v>704.23585509921008</v>
      </c>
      <c r="S758" s="60">
        <f t="shared" si="222"/>
        <v>704.23585509921008</v>
      </c>
      <c r="T758" s="60">
        <f>ABS((R758)/((2*PI()*G758)/60))</f>
        <v>1.0346087763838803</v>
      </c>
      <c r="U758" s="60">
        <f t="shared" si="223"/>
        <v>2</v>
      </c>
      <c r="V758" s="60">
        <f>INDEX(BSFC!$D$4:$AD$26,MATCH(U758,BSFC!$B$4:$B$26,0),MATCH(G758,BSFC!$D$2:$AD$2,0))</f>
        <v>894.55972883999993</v>
      </c>
      <c r="W758" s="60">
        <f t="shared" si="227"/>
        <v>0.17499473210470967</v>
      </c>
      <c r="X758" s="60">
        <f t="shared" si="224"/>
        <v>0.17499473210470967</v>
      </c>
      <c r="Y758" s="60">
        <f t="shared" si="225"/>
        <v>0.54073372220355287</v>
      </c>
      <c r="Z758" s="79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x14ac:dyDescent="0.3">
      <c r="A759" s="55">
        <v>3</v>
      </c>
      <c r="B759" s="60" t="s">
        <v>112</v>
      </c>
      <c r="C759" s="60">
        <f t="shared" si="234"/>
        <v>756</v>
      </c>
      <c r="D759" s="60">
        <f t="shared" si="218"/>
        <v>27.76117</v>
      </c>
      <c r="E759" s="60">
        <f t="shared" si="237"/>
        <v>12.41</v>
      </c>
      <c r="F759" s="89">
        <f>($C$4/E759)+F758</f>
        <v>97.402422014665049</v>
      </c>
      <c r="G759" s="60">
        <f t="shared" ref="G759:G767" si="238">G758-500</f>
        <v>6000</v>
      </c>
      <c r="H759" s="60">
        <v>3</v>
      </c>
      <c r="I759" s="89">
        <f>E759-E758</f>
        <v>-0.5</v>
      </c>
      <c r="J759" s="60">
        <f>(0.5*VEHICLE!$C$71*VEHICLE!$C$28*VEHICLE!$C$27*'Drive Cycle'!E759^2)</f>
        <v>137.00623719320998</v>
      </c>
      <c r="K759" s="60">
        <f>IF(A759=1,VEHICLE!$S$5,IF(A759=2,VEHICLE!$Q$5,IF(A759=3,VEHICLE!$R$5,IF(A759=4,VEHICLE!$P$5,1))))</f>
        <v>556.55073000000004</v>
      </c>
      <c r="L759" s="60">
        <f t="shared" si="235"/>
        <v>2.5</v>
      </c>
      <c r="M759" s="60">
        <f t="shared" si="226"/>
        <v>0</v>
      </c>
      <c r="N759" s="60">
        <f t="shared" si="219"/>
        <v>0</v>
      </c>
      <c r="O759" s="60">
        <f t="shared" si="220"/>
        <v>0</v>
      </c>
      <c r="P759" s="60">
        <f t="shared" si="221"/>
        <v>693.55696719321008</v>
      </c>
      <c r="Q759" s="60">
        <f>IF(H759=1,I759*VEHICLE!$C$69,IF(H759=2,VEHICLE!$C$70*I759,IF(H759=3,VEHICLE!$C$71*I759,0)))</f>
        <v>-0.58350000000000002</v>
      </c>
      <c r="R759" s="60">
        <f>(J759+K759+O759+Q759)</f>
        <v>692.97346719321013</v>
      </c>
      <c r="S759" s="60">
        <f t="shared" si="222"/>
        <v>692.97346719321013</v>
      </c>
      <c r="T759" s="60">
        <f>ABS((R759)/((2*PI()*G759)/60))</f>
        <v>1.1029015273532876</v>
      </c>
      <c r="U759" s="60">
        <f t="shared" si="223"/>
        <v>2</v>
      </c>
      <c r="V759" s="60">
        <f>INDEX(BSFC!$D$4:$AD$26,MATCH(U759,BSFC!$B$4:$B$26,0),MATCH(G759,BSFC!$D$2:$AD$2,0))</f>
        <v>881.66816232000019</v>
      </c>
      <c r="W759" s="60">
        <f t="shared" si="227"/>
        <v>0.16971462315465458</v>
      </c>
      <c r="X759" s="60">
        <f t="shared" si="224"/>
        <v>0.16971462315465458</v>
      </c>
      <c r="Y759" s="60">
        <f t="shared" si="225"/>
        <v>0.52441818554788266</v>
      </c>
      <c r="Z759" s="79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x14ac:dyDescent="0.3">
      <c r="A760" s="55">
        <v>3</v>
      </c>
      <c r="B760" s="60" t="s">
        <v>112</v>
      </c>
      <c r="C760" s="60">
        <f t="shared" si="234"/>
        <v>757</v>
      </c>
      <c r="D760" s="60">
        <f t="shared" si="218"/>
        <v>26.642670000000003</v>
      </c>
      <c r="E760" s="60">
        <f t="shared" si="237"/>
        <v>11.91</v>
      </c>
      <c r="F760" s="89">
        <f>($C$4/E760)+F759</f>
        <v>97.486385070920292</v>
      </c>
      <c r="G760" s="60">
        <f t="shared" si="238"/>
        <v>5500</v>
      </c>
      <c r="H760" s="60">
        <v>2</v>
      </c>
      <c r="I760" s="89">
        <f>E760-E759</f>
        <v>-0.5</v>
      </c>
      <c r="J760" s="60">
        <f>(0.5*VEHICLE!$C$71*VEHICLE!$C$28*VEHICLE!$C$27*'Drive Cycle'!E760^2)</f>
        <v>126.18865133721</v>
      </c>
      <c r="K760" s="60">
        <f>IF(A760=1,VEHICLE!$S$5,IF(A760=2,VEHICLE!$Q$5,IF(A760=3,VEHICLE!$R$5,IF(A760=4,VEHICLE!$P$5,1))))</f>
        <v>556.55073000000004</v>
      </c>
      <c r="L760" s="60">
        <f t="shared" si="235"/>
        <v>2.5</v>
      </c>
      <c r="M760" s="60">
        <f t="shared" si="226"/>
        <v>0</v>
      </c>
      <c r="N760" s="60">
        <f t="shared" si="219"/>
        <v>0</v>
      </c>
      <c r="O760" s="60">
        <f t="shared" si="220"/>
        <v>0</v>
      </c>
      <c r="P760" s="60">
        <f t="shared" si="221"/>
        <v>682.73938133721003</v>
      </c>
      <c r="Q760" s="60">
        <f>IF(H760=1,I760*VEHICLE!$C$69,IF(H760=2,VEHICLE!$C$70*I760,IF(H760=3,VEHICLE!$C$71*I760,0)))</f>
        <v>-292.57424326505867</v>
      </c>
      <c r="R760" s="60">
        <f>(J760+K760+O760+Q760)</f>
        <v>390.16513807215136</v>
      </c>
      <c r="S760" s="60">
        <f t="shared" si="222"/>
        <v>390.16513807215136</v>
      </c>
      <c r="T760" s="60">
        <f>ABS((R760)/((2*PI()*G760)/60))</f>
        <v>0.67741865832343362</v>
      </c>
      <c r="U760" s="60">
        <f t="shared" si="223"/>
        <v>1</v>
      </c>
      <c r="V760" s="60">
        <f>INDEX(BSFC!$D$4:$AD$26,MATCH(U760,BSFC!$B$4:$B$26,0),MATCH(G760,BSFC!$D$2:$AD$2,0))</f>
        <v>937.88833920000002</v>
      </c>
      <c r="W760" s="60">
        <f t="shared" si="227"/>
        <v>0.10164759260006355</v>
      </c>
      <c r="X760" s="60">
        <f t="shared" si="224"/>
        <v>0.10164759260006355</v>
      </c>
      <c r="Y760" s="60">
        <f t="shared" si="225"/>
        <v>0.31409106113419633</v>
      </c>
      <c r="Z760" s="79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x14ac:dyDescent="0.3">
      <c r="A761" s="55">
        <v>3</v>
      </c>
      <c r="B761" s="60" t="s">
        <v>112</v>
      </c>
      <c r="C761" s="60">
        <f t="shared" si="234"/>
        <v>758</v>
      </c>
      <c r="D761" s="60">
        <f t="shared" si="218"/>
        <v>25.524170000000002</v>
      </c>
      <c r="E761" s="60">
        <f t="shared" ref="E761:E762" si="239">E760-0.5</f>
        <v>11.41</v>
      </c>
      <c r="F761" s="89">
        <f>($C$4/E761)+F760</f>
        <v>97.574027489851048</v>
      </c>
      <c r="G761" s="60">
        <f t="shared" si="238"/>
        <v>5000</v>
      </c>
      <c r="H761" s="60">
        <v>2</v>
      </c>
      <c r="I761" s="89">
        <f>E761-E760</f>
        <v>-0.5</v>
      </c>
      <c r="J761" s="60">
        <f>(0.5*VEHICLE!$C$71*VEHICLE!$C$28*VEHICLE!$C$27*'Drive Cycle'!E761^2)</f>
        <v>115.81586753120997</v>
      </c>
      <c r="K761" s="60">
        <f>IF(A761=1,VEHICLE!$S$5,IF(A761=2,VEHICLE!$Q$5,IF(A761=3,VEHICLE!$R$5,IF(A761=4,VEHICLE!$P$5,1))))</f>
        <v>556.55073000000004</v>
      </c>
      <c r="L761" s="60">
        <f t="shared" si="235"/>
        <v>2.5</v>
      </c>
      <c r="M761" s="60">
        <f t="shared" si="226"/>
        <v>0</v>
      </c>
      <c r="N761" s="60">
        <f t="shared" si="219"/>
        <v>0</v>
      </c>
      <c r="O761" s="60">
        <f t="shared" si="220"/>
        <v>0</v>
      </c>
      <c r="P761" s="60">
        <f t="shared" si="221"/>
        <v>672.36659753121</v>
      </c>
      <c r="Q761" s="60">
        <f>IF(H761=1,I761*VEHICLE!$C$69,IF(H761=2,VEHICLE!$C$70*I761,IF(H761=3,VEHICLE!$C$71*I761,0)))</f>
        <v>-292.57424326505867</v>
      </c>
      <c r="R761" s="60">
        <f>(J761+K761+O761+Q761)</f>
        <v>379.79235426615134</v>
      </c>
      <c r="S761" s="60">
        <f t="shared" si="222"/>
        <v>379.79235426615134</v>
      </c>
      <c r="T761" s="60">
        <f>ABS((R761)/((2*PI()*G761)/60))</f>
        <v>0.72534996635959526</v>
      </c>
      <c r="U761" s="60">
        <f t="shared" si="223"/>
        <v>1</v>
      </c>
      <c r="V761" s="60">
        <f>INDEX(BSFC!$D$4:$AD$26,MATCH(U761,BSFC!$B$4:$B$26,0),MATCH(G761,BSFC!$D$2:$AD$2,0))</f>
        <v>967.30583135999973</v>
      </c>
      <c r="W761" s="60">
        <f t="shared" si="227"/>
        <v>0.1020487108298864</v>
      </c>
      <c r="X761" s="60">
        <f t="shared" si="224"/>
        <v>0.1020487108298864</v>
      </c>
      <c r="Y761" s="60">
        <f t="shared" si="225"/>
        <v>0.31533051646434895</v>
      </c>
      <c r="Z761" s="79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x14ac:dyDescent="0.3">
      <c r="A762" s="55">
        <v>3</v>
      </c>
      <c r="B762" s="60" t="s">
        <v>112</v>
      </c>
      <c r="C762" s="60">
        <f t="shared" si="234"/>
        <v>759</v>
      </c>
      <c r="D762" s="60">
        <f t="shared" si="218"/>
        <v>24.405670000000001</v>
      </c>
      <c r="E762" s="60">
        <f t="shared" si="239"/>
        <v>10.91</v>
      </c>
      <c r="F762" s="89">
        <f>($C$4/E762)+F761</f>
        <v>97.665686518265346</v>
      </c>
      <c r="G762" s="60">
        <f t="shared" si="238"/>
        <v>4500</v>
      </c>
      <c r="H762" s="60">
        <v>2</v>
      </c>
      <c r="I762" s="89">
        <f>E762-E761</f>
        <v>-0.5</v>
      </c>
      <c r="J762" s="60">
        <f>(0.5*VEHICLE!$C$71*VEHICLE!$C$28*VEHICLE!$C$27*'Drive Cycle'!E762^2)</f>
        <v>105.88788577520999</v>
      </c>
      <c r="K762" s="60">
        <f>IF(A762=1,VEHICLE!$S$5,IF(A762=2,VEHICLE!$Q$5,IF(A762=3,VEHICLE!$R$5,IF(A762=4,VEHICLE!$P$5,1))))</f>
        <v>556.55073000000004</v>
      </c>
      <c r="L762" s="60">
        <f t="shared" si="235"/>
        <v>2.5</v>
      </c>
      <c r="M762" s="60">
        <f t="shared" si="226"/>
        <v>0</v>
      </c>
      <c r="N762" s="60">
        <f t="shared" si="219"/>
        <v>0</v>
      </c>
      <c r="O762" s="60">
        <f t="shared" si="220"/>
        <v>0</v>
      </c>
      <c r="P762" s="60">
        <f t="shared" si="221"/>
        <v>662.43861577521</v>
      </c>
      <c r="Q762" s="60">
        <f>IF(H762=1,I762*VEHICLE!$C$69,IF(H762=2,VEHICLE!$C$70*I762,IF(H762=3,VEHICLE!$C$71*I762,0)))</f>
        <v>-292.57424326505867</v>
      </c>
      <c r="R762" s="60">
        <f>(J762+K762+O762+Q762)</f>
        <v>369.86437251015133</v>
      </c>
      <c r="S762" s="60">
        <f t="shared" si="222"/>
        <v>369.86437251015133</v>
      </c>
      <c r="T762" s="60">
        <f>ABS((R762)/((2*PI()*G762)/60))</f>
        <v>0.78487657544763612</v>
      </c>
      <c r="U762" s="60">
        <f t="shared" si="223"/>
        <v>1</v>
      </c>
      <c r="V762" s="60">
        <f>INDEX(BSFC!$D$4:$AD$26,MATCH(U762,BSFC!$B$4:$B$26,0),MATCH(G762,BSFC!$D$2:$AD$2,0))</f>
        <v>996.72332351999967</v>
      </c>
      <c r="W762" s="60">
        <f t="shared" si="227"/>
        <v>0.10240345739443256</v>
      </c>
      <c r="X762" s="60">
        <f t="shared" si="224"/>
        <v>0.10240345739443256</v>
      </c>
      <c r="Y762" s="60">
        <f t="shared" si="225"/>
        <v>0.31642668334879659</v>
      </c>
      <c r="Z762" s="79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x14ac:dyDescent="0.3">
      <c r="A763" s="55">
        <v>3</v>
      </c>
      <c r="B763" s="60" t="s">
        <v>112</v>
      </c>
      <c r="C763" s="60">
        <f t="shared" si="234"/>
        <v>760</v>
      </c>
      <c r="D763" s="60">
        <f t="shared" si="218"/>
        <v>23.28717</v>
      </c>
      <c r="E763" s="60">
        <f>E762-0.5</f>
        <v>10.41</v>
      </c>
      <c r="F763" s="89">
        <f>($C$4/E763)+F762</f>
        <v>97.761747997612133</v>
      </c>
      <c r="G763" s="60">
        <f t="shared" si="238"/>
        <v>4000</v>
      </c>
      <c r="H763" s="60">
        <v>2</v>
      </c>
      <c r="I763" s="89">
        <f>E763-E762</f>
        <v>-0.5</v>
      </c>
      <c r="J763" s="60">
        <f>(0.5*VEHICLE!$C$71*VEHICLE!$C$28*VEHICLE!$C$27*'Drive Cycle'!E763^2)</f>
        <v>96.404706069209993</v>
      </c>
      <c r="K763" s="60">
        <f>IF(A763=1,VEHICLE!$S$5,IF(A763=2,VEHICLE!$Q$5,IF(A763=3,VEHICLE!$R$5,IF(A763=4,VEHICLE!$P$5,1))))</f>
        <v>556.55073000000004</v>
      </c>
      <c r="L763" s="60">
        <f t="shared" si="235"/>
        <v>2.5</v>
      </c>
      <c r="M763" s="60">
        <f t="shared" si="226"/>
        <v>0</v>
      </c>
      <c r="N763" s="60">
        <f t="shared" si="219"/>
        <v>0</v>
      </c>
      <c r="O763" s="60">
        <f t="shared" si="220"/>
        <v>0</v>
      </c>
      <c r="P763" s="60">
        <f t="shared" si="221"/>
        <v>652.95543606921001</v>
      </c>
      <c r="Q763" s="60">
        <f>IF(H763=1,I763*VEHICLE!$C$69,IF(H763=2,VEHICLE!$C$70*I763,IF(H763=3,VEHICLE!$C$71*I763,0)))</f>
        <v>-292.57424326505867</v>
      </c>
      <c r="R763" s="60">
        <f>(J763+K763+O763+Q763)</f>
        <v>360.38119280415134</v>
      </c>
      <c r="S763" s="60">
        <f t="shared" si="222"/>
        <v>360.38119280415134</v>
      </c>
      <c r="T763" s="60">
        <f>ABS((R763)/((2*PI()*G763)/60))</f>
        <v>0.86034672348201113</v>
      </c>
      <c r="U763" s="60">
        <f t="shared" si="223"/>
        <v>1</v>
      </c>
      <c r="V763" s="60">
        <f>INDEX(BSFC!$D$4:$AD$26,MATCH(U763,BSFC!$B$4:$B$26,0),MATCH(G763,BSFC!$D$2:$AD$2,0))</f>
        <v>1026.1408156799998</v>
      </c>
      <c r="W763" s="60">
        <f t="shared" si="227"/>
        <v>0.10272273642771755</v>
      </c>
      <c r="X763" s="60">
        <f t="shared" si="224"/>
        <v>0.10272273642771755</v>
      </c>
      <c r="Y763" s="60">
        <f t="shared" si="225"/>
        <v>0.31741325556164723</v>
      </c>
      <c r="Z763" s="79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x14ac:dyDescent="0.3">
      <c r="A764" s="55">
        <v>3</v>
      </c>
      <c r="B764" s="60" t="s">
        <v>112</v>
      </c>
      <c r="C764" s="60">
        <f t="shared" si="234"/>
        <v>761</v>
      </c>
      <c r="D764" s="60">
        <f t="shared" si="218"/>
        <v>22.168670000000002</v>
      </c>
      <c r="E764" s="60">
        <f t="shared" ref="E764:E775" si="240">E763-0.5</f>
        <v>9.91</v>
      </c>
      <c r="F764" s="89">
        <f>($C$4/E764)+F763</f>
        <v>97.862656171174194</v>
      </c>
      <c r="G764" s="60">
        <f t="shared" si="238"/>
        <v>3500</v>
      </c>
      <c r="H764" s="60">
        <v>2</v>
      </c>
      <c r="I764" s="89">
        <f>E764-E763</f>
        <v>-0.5</v>
      </c>
      <c r="J764" s="60">
        <f>(0.5*VEHICLE!$C$71*VEHICLE!$C$28*VEHICLE!$C$27*'Drive Cycle'!E764^2)</f>
        <v>87.366328413209985</v>
      </c>
      <c r="K764" s="60">
        <f>IF(A764=1,VEHICLE!$S$5,IF(A764=2,VEHICLE!$Q$5,IF(A764=3,VEHICLE!$R$5,IF(A764=4,VEHICLE!$P$5,1))))</f>
        <v>556.55073000000004</v>
      </c>
      <c r="L764" s="60">
        <f t="shared" si="235"/>
        <v>2.5</v>
      </c>
      <c r="M764" s="60">
        <f t="shared" si="226"/>
        <v>0</v>
      </c>
      <c r="N764" s="60">
        <f t="shared" si="219"/>
        <v>0</v>
      </c>
      <c r="O764" s="60">
        <f t="shared" si="220"/>
        <v>0</v>
      </c>
      <c r="P764" s="60">
        <f t="shared" si="221"/>
        <v>643.91705841321004</v>
      </c>
      <c r="Q764" s="60">
        <f>IF(H764=1,I764*VEHICLE!$C$69,IF(H764=2,VEHICLE!$C$70*I764,IF(H764=3,VEHICLE!$C$71*I764,0)))</f>
        <v>-292.57424326505867</v>
      </c>
      <c r="R764" s="60">
        <f>(J764+K764+O764+Q764)</f>
        <v>351.34281514815137</v>
      </c>
      <c r="S764" s="60">
        <f t="shared" si="222"/>
        <v>351.34281514815137</v>
      </c>
      <c r="T764" s="60">
        <f>ABS((R764)/((2*PI()*G764)/60))</f>
        <v>0.95859335572543447</v>
      </c>
      <c r="U764" s="60">
        <f t="shared" si="223"/>
        <v>1</v>
      </c>
      <c r="V764" s="60">
        <f>INDEX(BSFC!$D$4:$AD$26,MATCH(U764,BSFC!$B$4:$B$26,0),MATCH(G764,BSFC!$D$2:$AD$2,0))</f>
        <v>1034.2259366399996</v>
      </c>
      <c r="W764" s="60">
        <f t="shared" si="227"/>
        <v>0.10093551446620309</v>
      </c>
      <c r="X764" s="60">
        <f t="shared" si="224"/>
        <v>0.10093551446620309</v>
      </c>
      <c r="Y764" s="60">
        <f t="shared" si="225"/>
        <v>0.31189073970056752</v>
      </c>
      <c r="Z764" s="79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x14ac:dyDescent="0.3">
      <c r="A765" s="55">
        <v>3</v>
      </c>
      <c r="B765" s="60" t="s">
        <v>112</v>
      </c>
      <c r="C765" s="60">
        <f t="shared" si="234"/>
        <v>762</v>
      </c>
      <c r="D765" s="60">
        <f t="shared" si="218"/>
        <v>21.050170000000001</v>
      </c>
      <c r="E765" s="60">
        <f t="shared" si="240"/>
        <v>9.41</v>
      </c>
      <c r="F765" s="89">
        <f>($C$4/E765)+F764</f>
        <v>97.968926096785253</v>
      </c>
      <c r="G765" s="60">
        <f t="shared" si="238"/>
        <v>3000</v>
      </c>
      <c r="H765" s="60">
        <v>2</v>
      </c>
      <c r="I765" s="89">
        <f>E765-E764</f>
        <v>-0.5</v>
      </c>
      <c r="J765" s="60">
        <f>(0.5*VEHICLE!$C$71*VEHICLE!$C$28*VEHICLE!$C$27*'Drive Cycle'!E765^2)</f>
        <v>78.772752807209997</v>
      </c>
      <c r="K765" s="60">
        <f>IF(A765=1,VEHICLE!$S$5,IF(A765=2,VEHICLE!$Q$5,IF(A765=3,VEHICLE!$R$5,IF(A765=4,VEHICLE!$P$5,1))))</f>
        <v>556.55073000000004</v>
      </c>
      <c r="L765" s="60">
        <f t="shared" si="235"/>
        <v>2.5</v>
      </c>
      <c r="M765" s="60">
        <f t="shared" si="226"/>
        <v>0</v>
      </c>
      <c r="N765" s="60">
        <f t="shared" si="219"/>
        <v>0</v>
      </c>
      <c r="O765" s="60">
        <f t="shared" si="220"/>
        <v>0</v>
      </c>
      <c r="P765" s="60">
        <f t="shared" si="221"/>
        <v>635.32348280720998</v>
      </c>
      <c r="Q765" s="60">
        <f>IF(H765=1,I765*VEHICLE!$C$69,IF(H765=2,VEHICLE!$C$70*I765,IF(H765=3,VEHICLE!$C$71*I765,0)))</f>
        <v>-292.57424326505867</v>
      </c>
      <c r="R765" s="60">
        <f>(J765+K765+O765+Q765)</f>
        <v>342.74923954215132</v>
      </c>
      <c r="S765" s="60">
        <f t="shared" si="222"/>
        <v>342.74923954215132</v>
      </c>
      <c r="T765" s="60">
        <f>ABS((R765)/((2*PI()*G765)/60))</f>
        <v>1.09100471428243</v>
      </c>
      <c r="U765" s="60">
        <f t="shared" si="223"/>
        <v>2</v>
      </c>
      <c r="V765" s="60">
        <f>INDEX(BSFC!$D$4:$AD$26,MATCH(U765,BSFC!$B$4:$B$26,0),MATCH(G765,BSFC!$D$2:$AD$2,0))</f>
        <v>929.28963552000016</v>
      </c>
      <c r="W765" s="60">
        <f t="shared" si="227"/>
        <v>8.8475921080245282E-2</v>
      </c>
      <c r="X765" s="60">
        <f t="shared" si="224"/>
        <v>8.8475921080245282E-2</v>
      </c>
      <c r="Y765" s="60">
        <f t="shared" si="225"/>
        <v>0.27339059613795791</v>
      </c>
      <c r="Z765" s="79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x14ac:dyDescent="0.3">
      <c r="A766" s="55">
        <v>3</v>
      </c>
      <c r="B766" s="60" t="s">
        <v>112</v>
      </c>
      <c r="C766" s="60">
        <f t="shared" si="234"/>
        <v>763</v>
      </c>
      <c r="D766" s="60">
        <f t="shared" si="218"/>
        <v>19.93167</v>
      </c>
      <c r="E766" s="60">
        <f t="shared" si="240"/>
        <v>8.91</v>
      </c>
      <c r="F766" s="89">
        <f>($C$4/E766)+F765</f>
        <v>98.081159542352026</v>
      </c>
      <c r="G766" s="60">
        <f t="shared" si="238"/>
        <v>2500</v>
      </c>
      <c r="H766" s="60">
        <v>2</v>
      </c>
      <c r="I766" s="89">
        <f>E766-E765</f>
        <v>-0.5</v>
      </c>
      <c r="J766" s="60">
        <f>(0.5*VEHICLE!$C$71*VEHICLE!$C$28*VEHICLE!$C$27*'Drive Cycle'!E766^2)</f>
        <v>70.623979251210002</v>
      </c>
      <c r="K766" s="60">
        <f>IF(A766=1,VEHICLE!$S$5,IF(A766=2,VEHICLE!$Q$5,IF(A766=3,VEHICLE!$R$5,IF(A766=4,VEHICLE!$P$5,1))))</f>
        <v>556.55073000000004</v>
      </c>
      <c r="L766" s="60">
        <f t="shared" si="235"/>
        <v>2.5</v>
      </c>
      <c r="M766" s="60">
        <f t="shared" si="226"/>
        <v>0</v>
      </c>
      <c r="N766" s="60">
        <f t="shared" si="219"/>
        <v>0</v>
      </c>
      <c r="O766" s="60">
        <f t="shared" si="220"/>
        <v>0</v>
      </c>
      <c r="P766" s="60">
        <f t="shared" si="221"/>
        <v>627.17470925121006</v>
      </c>
      <c r="Q766" s="60">
        <f>IF(H766=1,I766*VEHICLE!$C$69,IF(H766=2,VEHICLE!$C$70*I766,IF(H766=3,VEHICLE!$C$71*I766,0)))</f>
        <v>-292.57424326505867</v>
      </c>
      <c r="R766" s="60">
        <f>(J766+K766+O766+Q766)</f>
        <v>334.60046598615139</v>
      </c>
      <c r="S766" s="60">
        <f t="shared" si="222"/>
        <v>334.60046598615139</v>
      </c>
      <c r="T766" s="60">
        <f>ABS((R766)/((2*PI()*G766)/60))</f>
        <v>1.2780796349411421</v>
      </c>
      <c r="U766" s="60">
        <f t="shared" si="223"/>
        <v>2</v>
      </c>
      <c r="V766" s="60">
        <f>INDEX(BSFC!$D$4:$AD$26,MATCH(U766,BSFC!$B$4:$B$26,0),MATCH(G766,BSFC!$D$2:$AD$2,0))</f>
        <v>952.83484224000051</v>
      </c>
      <c r="W766" s="60">
        <f t="shared" si="227"/>
        <v>8.8560828394818117E-2</v>
      </c>
      <c r="X766" s="60">
        <f t="shared" si="224"/>
        <v>8.8560828394818117E-2</v>
      </c>
      <c r="Y766" s="60">
        <f t="shared" si="225"/>
        <v>0.27365295973998799</v>
      </c>
      <c r="Z766" s="79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x14ac:dyDescent="0.3">
      <c r="A767" s="55">
        <v>3</v>
      </c>
      <c r="B767" s="60" t="s">
        <v>112</v>
      </c>
      <c r="C767" s="60">
        <f t="shared" si="234"/>
        <v>764</v>
      </c>
      <c r="D767" s="60">
        <f t="shared" si="218"/>
        <v>18.81317</v>
      </c>
      <c r="E767" s="60">
        <f t="shared" si="240"/>
        <v>8.41</v>
      </c>
      <c r="F767" s="89">
        <f>($C$4/E767)+F766</f>
        <v>98.200065606561296</v>
      </c>
      <c r="G767" s="60">
        <f t="shared" si="238"/>
        <v>2000</v>
      </c>
      <c r="H767" s="60">
        <v>2</v>
      </c>
      <c r="I767" s="89">
        <f>E767-E766</f>
        <v>-0.5</v>
      </c>
      <c r="J767" s="60">
        <f>(0.5*VEHICLE!$C$71*VEHICLE!$C$28*VEHICLE!$C$27*'Drive Cycle'!E767^2)</f>
        <v>62.920007745209993</v>
      </c>
      <c r="K767" s="60">
        <f>IF(A767=1,VEHICLE!$S$5,IF(A767=2,VEHICLE!$Q$5,IF(A767=3,VEHICLE!$R$5,IF(A767=4,VEHICLE!$P$5,1))))</f>
        <v>556.55073000000004</v>
      </c>
      <c r="L767" s="60">
        <f t="shared" si="235"/>
        <v>2.5</v>
      </c>
      <c r="M767" s="60">
        <f t="shared" si="226"/>
        <v>0</v>
      </c>
      <c r="N767" s="60">
        <f t="shared" si="219"/>
        <v>0</v>
      </c>
      <c r="O767" s="60">
        <f t="shared" si="220"/>
        <v>0</v>
      </c>
      <c r="P767" s="60">
        <f t="shared" si="221"/>
        <v>619.47073774521004</v>
      </c>
      <c r="Q767" s="60">
        <f>IF(H767=1,I767*VEHICLE!$C$69,IF(H767=2,VEHICLE!$C$70*I767,IF(H767=3,VEHICLE!$C$71*I767,0)))</f>
        <v>-292.57424326505867</v>
      </c>
      <c r="R767" s="60">
        <f>(J767+K767+O767+Q767)</f>
        <v>326.89649448015138</v>
      </c>
      <c r="S767" s="60">
        <f t="shared" si="222"/>
        <v>326.89649448015138</v>
      </c>
      <c r="T767" s="60">
        <f>ABS((R767)/((2*PI()*G767)/60))</f>
        <v>1.5608157892778571</v>
      </c>
      <c r="U767" s="60">
        <f t="shared" si="223"/>
        <v>2</v>
      </c>
      <c r="V767" s="60">
        <f>INDEX(BSFC!$D$4:$AD$26,MATCH(U767,BSFC!$B$4:$B$26,0),MATCH(G767,BSFC!$D$2:$AD$2,0))</f>
        <v>976.38004896000075</v>
      </c>
      <c r="W767" s="60">
        <f t="shared" si="227"/>
        <v>8.8659782023717451E-2</v>
      </c>
      <c r="X767" s="60">
        <f t="shared" si="224"/>
        <v>8.8659782023717451E-2</v>
      </c>
      <c r="Y767" s="60">
        <f t="shared" si="225"/>
        <v>0.27395872645328689</v>
      </c>
      <c r="Z767" s="79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x14ac:dyDescent="0.3">
      <c r="A768" s="55">
        <v>3</v>
      </c>
      <c r="B768" s="60" t="s">
        <v>112</v>
      </c>
      <c r="C768" s="60">
        <f t="shared" si="234"/>
        <v>765</v>
      </c>
      <c r="D768" s="60">
        <f t="shared" si="218"/>
        <v>17.694670000000002</v>
      </c>
      <c r="E768" s="60">
        <f t="shared" si="240"/>
        <v>7.91</v>
      </c>
      <c r="F768" s="89">
        <f>($C$4/E768)+F767</f>
        <v>98.32648785687735</v>
      </c>
      <c r="G768" s="60">
        <f>G767</f>
        <v>2000</v>
      </c>
      <c r="H768" s="60">
        <v>2</v>
      </c>
      <c r="I768" s="89">
        <f>E768-E767</f>
        <v>-0.5</v>
      </c>
      <c r="J768" s="60">
        <f>(0.5*VEHICLE!$C$71*VEHICLE!$C$28*VEHICLE!$C$27*'Drive Cycle'!E768^2)</f>
        <v>55.660838289209991</v>
      </c>
      <c r="K768" s="60">
        <f>IF(A768=1,VEHICLE!$S$5,IF(A768=2,VEHICLE!$Q$5,IF(A768=3,VEHICLE!$R$5,IF(A768=4,VEHICLE!$P$5,1))))</f>
        <v>556.55073000000004</v>
      </c>
      <c r="L768" s="60">
        <f t="shared" si="235"/>
        <v>2.5</v>
      </c>
      <c r="M768" s="60">
        <f t="shared" si="226"/>
        <v>0</v>
      </c>
      <c r="N768" s="60">
        <f t="shared" si="219"/>
        <v>0</v>
      </c>
      <c r="O768" s="60">
        <f t="shared" si="220"/>
        <v>0</v>
      </c>
      <c r="P768" s="60">
        <f t="shared" si="221"/>
        <v>612.21156828921005</v>
      </c>
      <c r="Q768" s="60">
        <f>IF(H768=1,I768*VEHICLE!$C$69,IF(H768=2,VEHICLE!$C$70*I768,IF(H768=3,VEHICLE!$C$71*I768,0)))</f>
        <v>-292.57424326505867</v>
      </c>
      <c r="R768" s="60">
        <f>(J768+K768+O768+Q768)</f>
        <v>319.63732502415138</v>
      </c>
      <c r="S768" s="60">
        <f t="shared" si="222"/>
        <v>319.63732502415138</v>
      </c>
      <c r="T768" s="60">
        <f>ABS((R768)/((2*PI()*G768)/60))</f>
        <v>1.5261558082279341</v>
      </c>
      <c r="U768" s="60">
        <f t="shared" si="223"/>
        <v>2</v>
      </c>
      <c r="V768" s="60">
        <f>INDEX(BSFC!$D$4:$AD$26,MATCH(U768,BSFC!$B$4:$B$26,0),MATCH(G768,BSFC!$D$2:$AD$2,0))</f>
        <v>976.38004896000075</v>
      </c>
      <c r="W768" s="60">
        <f t="shared" si="227"/>
        <v>8.6690974182367944E-2</v>
      </c>
      <c r="X768" s="60">
        <f t="shared" si="224"/>
        <v>8.6690974182367944E-2</v>
      </c>
      <c r="Y768" s="60">
        <f t="shared" si="225"/>
        <v>0.26787511022351695</v>
      </c>
      <c r="Z768" s="79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x14ac:dyDescent="0.3">
      <c r="A769" s="55">
        <v>3</v>
      </c>
      <c r="B769" s="60" t="s">
        <v>112</v>
      </c>
      <c r="C769" s="60">
        <f t="shared" si="234"/>
        <v>766</v>
      </c>
      <c r="D769" s="60">
        <f t="shared" si="218"/>
        <v>16.576170000000001</v>
      </c>
      <c r="E769" s="60">
        <f t="shared" si="240"/>
        <v>7.41</v>
      </c>
      <c r="F769" s="89">
        <f>($C$4/E769)+F768</f>
        <v>98.461440623409061</v>
      </c>
      <c r="G769" s="60">
        <f t="shared" ref="G769:G785" si="241">G768</f>
        <v>2000</v>
      </c>
      <c r="H769" s="60">
        <v>2</v>
      </c>
      <c r="I769" s="89">
        <f>E769-E768</f>
        <v>-0.5</v>
      </c>
      <c r="J769" s="60">
        <f>(0.5*VEHICLE!$C$71*VEHICLE!$C$28*VEHICLE!$C$27*'Drive Cycle'!E769^2)</f>
        <v>48.846470883209996</v>
      </c>
      <c r="K769" s="60">
        <f>IF(A769=1,VEHICLE!$S$5,IF(A769=2,VEHICLE!$Q$5,IF(A769=3,VEHICLE!$R$5,IF(A769=4,VEHICLE!$P$5,1))))</f>
        <v>556.55073000000004</v>
      </c>
      <c r="L769" s="60">
        <f t="shared" si="235"/>
        <v>2.5</v>
      </c>
      <c r="M769" s="60">
        <f t="shared" si="226"/>
        <v>0</v>
      </c>
      <c r="N769" s="60">
        <f t="shared" si="219"/>
        <v>0</v>
      </c>
      <c r="O769" s="60">
        <f t="shared" si="220"/>
        <v>0</v>
      </c>
      <c r="P769" s="60">
        <f t="shared" si="221"/>
        <v>605.39720088321008</v>
      </c>
      <c r="Q769" s="60">
        <f>IF(H769=1,I769*VEHICLE!$C$69,IF(H769=2,VEHICLE!$C$70*I769,IF(H769=3,VEHICLE!$C$71*I769,0)))</f>
        <v>-292.57424326505867</v>
      </c>
      <c r="R769" s="60">
        <f>(J769+K769+O769+Q769)</f>
        <v>312.82295761815141</v>
      </c>
      <c r="S769" s="60">
        <f t="shared" si="222"/>
        <v>312.82295761815141</v>
      </c>
      <c r="T769" s="60">
        <f>ABS((R769)/((2*PI()*G769)/60))</f>
        <v>1.4936196005266584</v>
      </c>
      <c r="U769" s="60">
        <f t="shared" si="223"/>
        <v>2</v>
      </c>
      <c r="V769" s="60">
        <f>INDEX(BSFC!$D$4:$AD$26,MATCH(U769,BSFC!$B$4:$B$26,0),MATCH(G769,BSFC!$D$2:$AD$2,0))</f>
        <v>976.38004896000075</v>
      </c>
      <c r="W769" s="60">
        <f t="shared" si="227"/>
        <v>8.4842804076395259E-2</v>
      </c>
      <c r="X769" s="60">
        <f t="shared" si="224"/>
        <v>8.4842804076395259E-2</v>
      </c>
      <c r="Y769" s="60">
        <f t="shared" si="225"/>
        <v>0.26216426459606135</v>
      </c>
      <c r="Z769" s="79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x14ac:dyDescent="0.3">
      <c r="A770" s="55">
        <v>3</v>
      </c>
      <c r="B770" s="60" t="s">
        <v>112</v>
      </c>
      <c r="C770" s="60">
        <f t="shared" si="234"/>
        <v>767</v>
      </c>
      <c r="D770" s="60">
        <f t="shared" si="218"/>
        <v>15.45767</v>
      </c>
      <c r="E770" s="60">
        <f t="shared" si="240"/>
        <v>6.91</v>
      </c>
      <c r="F770" s="89">
        <f>($C$4/E770)+F769</f>
        <v>98.606158423698503</v>
      </c>
      <c r="G770" s="60">
        <f t="shared" si="241"/>
        <v>2000</v>
      </c>
      <c r="H770" s="60">
        <v>2</v>
      </c>
      <c r="I770" s="89">
        <f>E770-E769</f>
        <v>-0.5</v>
      </c>
      <c r="J770" s="60">
        <f>(0.5*VEHICLE!$C$71*VEHICLE!$C$28*VEHICLE!$C$27*'Drive Cycle'!E770^2)</f>
        <v>42.476905527209993</v>
      </c>
      <c r="K770" s="60">
        <f>IF(A770=1,VEHICLE!$S$5,IF(A770=2,VEHICLE!$Q$5,IF(A770=3,VEHICLE!$R$5,IF(A770=4,VEHICLE!$P$5,1))))</f>
        <v>556.55073000000004</v>
      </c>
      <c r="L770" s="60">
        <f t="shared" si="235"/>
        <v>2.5</v>
      </c>
      <c r="M770" s="60">
        <f t="shared" si="226"/>
        <v>0</v>
      </c>
      <c r="N770" s="60">
        <f t="shared" si="219"/>
        <v>0</v>
      </c>
      <c r="O770" s="60">
        <f t="shared" si="220"/>
        <v>0</v>
      </c>
      <c r="P770" s="60">
        <f t="shared" si="221"/>
        <v>599.02763552721001</v>
      </c>
      <c r="Q770" s="60">
        <f>IF(H770=1,I770*VEHICLE!$C$69,IF(H770=2,VEHICLE!$C$70*I770,IF(H770=3,VEHICLE!$C$71*I770,0)))</f>
        <v>-292.57424326505867</v>
      </c>
      <c r="R770" s="60">
        <f>(J770+K770+O770+Q770)</f>
        <v>306.45339226215134</v>
      </c>
      <c r="S770" s="60">
        <f t="shared" si="222"/>
        <v>306.45339226215134</v>
      </c>
      <c r="T770" s="60">
        <f>ABS((R770)/((2*PI()*G770)/60))</f>
        <v>1.4632071661740294</v>
      </c>
      <c r="U770" s="60">
        <f t="shared" si="223"/>
        <v>2</v>
      </c>
      <c r="V770" s="60">
        <f>INDEX(BSFC!$D$4:$AD$26,MATCH(U770,BSFC!$B$4:$B$26,0),MATCH(G770,BSFC!$D$2:$AD$2,0))</f>
        <v>976.38004896000075</v>
      </c>
      <c r="W770" s="60">
        <f t="shared" si="227"/>
        <v>8.311527170579934E-2</v>
      </c>
      <c r="X770" s="60">
        <f t="shared" si="224"/>
        <v>8.311527170579934E-2</v>
      </c>
      <c r="Y770" s="60">
        <f t="shared" si="225"/>
        <v>0.25682618957091996</v>
      </c>
      <c r="Z770" s="79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x14ac:dyDescent="0.3">
      <c r="A771" s="55">
        <v>3</v>
      </c>
      <c r="B771" s="60" t="s">
        <v>112</v>
      </c>
      <c r="C771" s="60">
        <f t="shared" si="234"/>
        <v>768</v>
      </c>
      <c r="D771" s="60">
        <f t="shared" si="218"/>
        <v>14.339170000000001</v>
      </c>
      <c r="E771" s="60">
        <f t="shared" si="240"/>
        <v>6.41</v>
      </c>
      <c r="F771" s="89">
        <f>($C$4/E771)+F770</f>
        <v>98.762164663948113</v>
      </c>
      <c r="G771" s="60">
        <f t="shared" si="241"/>
        <v>2000</v>
      </c>
      <c r="H771" s="60">
        <v>2</v>
      </c>
      <c r="I771" s="89">
        <f>E771-E770</f>
        <v>-0.5</v>
      </c>
      <c r="J771" s="60">
        <f>(0.5*VEHICLE!$C$71*VEHICLE!$C$28*VEHICLE!$C$27*'Drive Cycle'!E771^2)</f>
        <v>36.552142221209998</v>
      </c>
      <c r="K771" s="60">
        <f>IF(A771=1,VEHICLE!$S$5,IF(A771=2,VEHICLE!$Q$5,IF(A771=3,VEHICLE!$R$5,IF(A771=4,VEHICLE!$P$5,1))))</f>
        <v>556.55073000000004</v>
      </c>
      <c r="L771" s="60">
        <f t="shared" si="235"/>
        <v>2.5</v>
      </c>
      <c r="M771" s="60">
        <f t="shared" si="226"/>
        <v>0</v>
      </c>
      <c r="N771" s="60">
        <f t="shared" si="219"/>
        <v>0</v>
      </c>
      <c r="O771" s="60">
        <f t="shared" si="220"/>
        <v>0</v>
      </c>
      <c r="P771" s="60">
        <f t="shared" si="221"/>
        <v>593.10287222121008</v>
      </c>
      <c r="Q771" s="60">
        <f>IF(H771=1,I771*VEHICLE!$C$69,IF(H771=2,VEHICLE!$C$70*I771,IF(H771=3,VEHICLE!$C$71*I771,0)))</f>
        <v>-292.57424326505867</v>
      </c>
      <c r="R771" s="60">
        <f>(J771+K771+O771+Q771)</f>
        <v>300.52862895615141</v>
      </c>
      <c r="S771" s="60">
        <f t="shared" si="222"/>
        <v>300.52862895615141</v>
      </c>
      <c r="T771" s="60">
        <f>ABS((R771)/((2*PI()*G771)/60))</f>
        <v>1.4349185051700484</v>
      </c>
      <c r="U771" s="60">
        <f t="shared" si="223"/>
        <v>2</v>
      </c>
      <c r="V771" s="60">
        <f>INDEX(BSFC!$D$4:$AD$26,MATCH(U771,BSFC!$B$4:$B$26,0),MATCH(G771,BSFC!$D$2:$AD$2,0))</f>
        <v>976.38004896000075</v>
      </c>
      <c r="W771" s="60">
        <f t="shared" si="227"/>
        <v>8.1508377070580285E-2</v>
      </c>
      <c r="X771" s="60">
        <f t="shared" si="224"/>
        <v>8.1508377070580285E-2</v>
      </c>
      <c r="Y771" s="60">
        <f t="shared" si="225"/>
        <v>0.25186088514809307</v>
      </c>
      <c r="Z771" s="79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x14ac:dyDescent="0.3">
      <c r="A772" s="55">
        <v>3</v>
      </c>
      <c r="B772" s="60" t="s">
        <v>112</v>
      </c>
      <c r="C772" s="60">
        <f t="shared" si="234"/>
        <v>769</v>
      </c>
      <c r="D772" s="60">
        <f t="shared" ref="D772:D835" si="242">E772*2.237</f>
        <v>13.22067</v>
      </c>
      <c r="E772" s="60">
        <f t="shared" si="240"/>
        <v>5.91</v>
      </c>
      <c r="F772" s="89">
        <f>($C$4/E772)+F771</f>
        <v>98.931369401680769</v>
      </c>
      <c r="G772" s="60">
        <f t="shared" si="241"/>
        <v>2000</v>
      </c>
      <c r="H772" s="60">
        <v>2</v>
      </c>
      <c r="I772" s="89">
        <f>E772-E771</f>
        <v>-0.5</v>
      </c>
      <c r="J772" s="60">
        <f>(0.5*VEHICLE!$C$71*VEHICLE!$C$28*VEHICLE!$C$27*'Drive Cycle'!E772^2)</f>
        <v>31.072180965209999</v>
      </c>
      <c r="K772" s="60">
        <f>IF(A772=1,VEHICLE!$S$5,IF(A772=2,VEHICLE!$Q$5,IF(A772=3,VEHICLE!$R$5,IF(A772=4,VEHICLE!$P$5,1))))</f>
        <v>556.55073000000004</v>
      </c>
      <c r="L772" s="60">
        <f t="shared" si="235"/>
        <v>2.5</v>
      </c>
      <c r="M772" s="60">
        <f t="shared" si="226"/>
        <v>0</v>
      </c>
      <c r="N772" s="60">
        <f t="shared" ref="N772:N835" si="243">DEGREES(ATAN(M772/$C$4))</f>
        <v>0</v>
      </c>
      <c r="O772" s="60">
        <f t="shared" ref="O772:O835" si="244">9.81*SIN(RADIANS(N772))*($C$47)</f>
        <v>0</v>
      </c>
      <c r="P772" s="60">
        <f t="shared" ref="P772:P835" si="245">J772+K772+O772</f>
        <v>587.62291096521005</v>
      </c>
      <c r="Q772" s="60">
        <f>IF(H772=1,I772*VEHICLE!$C$69,IF(H772=2,VEHICLE!$C$70*I772,IF(H772=3,VEHICLE!$C$71*I772,0)))</f>
        <v>-292.57424326505867</v>
      </c>
      <c r="R772" s="60">
        <f>(J772+K772+O772+Q772)</f>
        <v>295.04866770015138</v>
      </c>
      <c r="S772" s="60">
        <f t="shared" ref="S772:S835" si="246">ABS(R772)</f>
        <v>295.04866770015138</v>
      </c>
      <c r="T772" s="60">
        <f>ABS((R772)/((2*PI()*G772)/60))</f>
        <v>1.408753617514714</v>
      </c>
      <c r="U772" s="60">
        <f t="shared" ref="U772:U835" si="247">ROUNDUP(T772,0)</f>
        <v>2</v>
      </c>
      <c r="V772" s="60">
        <f>INDEX(BSFC!$D$4:$AD$26,MATCH(U772,BSFC!$B$4:$B$26,0),MATCH(G772,BSFC!$D$2:$AD$2,0))</f>
        <v>976.38004896000075</v>
      </c>
      <c r="W772" s="60">
        <f t="shared" si="227"/>
        <v>8.0022120170738009E-2</v>
      </c>
      <c r="X772" s="60">
        <f t="shared" ref="X772:X835" si="248">ABS(W772)</f>
        <v>8.0022120170738009E-2</v>
      </c>
      <c r="Y772" s="60">
        <f t="shared" ref="Y772:Y835" si="249">W772*3.09</f>
        <v>0.24726835132758043</v>
      </c>
      <c r="Z772" s="79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x14ac:dyDescent="0.3">
      <c r="A773" s="55">
        <v>3</v>
      </c>
      <c r="B773" s="60" t="s">
        <v>112</v>
      </c>
      <c r="C773" s="60">
        <f t="shared" si="234"/>
        <v>770</v>
      </c>
      <c r="D773" s="60">
        <f t="shared" si="242"/>
        <v>12.102170000000001</v>
      </c>
      <c r="E773" s="60">
        <f t="shared" si="240"/>
        <v>5.41</v>
      </c>
      <c r="F773" s="89">
        <f>($C$4/E773)+F772</f>
        <v>99.11621228522975</v>
      </c>
      <c r="G773" s="60">
        <f t="shared" si="241"/>
        <v>2000</v>
      </c>
      <c r="H773" s="60">
        <v>2</v>
      </c>
      <c r="I773" s="89">
        <f>E773-E772</f>
        <v>-0.5</v>
      </c>
      <c r="J773" s="60">
        <f>(0.5*VEHICLE!$C$71*VEHICLE!$C$28*VEHICLE!$C$27*'Drive Cycle'!E773^2)</f>
        <v>26.037021759209999</v>
      </c>
      <c r="K773" s="60">
        <f>IF(A773=1,VEHICLE!$S$5,IF(A773=2,VEHICLE!$Q$5,IF(A773=3,VEHICLE!$R$5,IF(A773=4,VEHICLE!$P$5,1))))</f>
        <v>556.55073000000004</v>
      </c>
      <c r="L773" s="60">
        <f t="shared" si="235"/>
        <v>2.5</v>
      </c>
      <c r="M773" s="60">
        <f t="shared" ref="M773:M836" si="250">L773-L772</f>
        <v>0</v>
      </c>
      <c r="N773" s="60">
        <f t="shared" si="243"/>
        <v>0</v>
      </c>
      <c r="O773" s="60">
        <f t="shared" si="244"/>
        <v>0</v>
      </c>
      <c r="P773" s="60">
        <f t="shared" si="245"/>
        <v>582.58775175921005</v>
      </c>
      <c r="Q773" s="60">
        <f>IF(H773=1,I773*VEHICLE!$C$69,IF(H773=2,VEHICLE!$C$70*I773,IF(H773=3,VEHICLE!$C$71*I773,0)))</f>
        <v>-292.57424326505867</v>
      </c>
      <c r="R773" s="60">
        <f>(J773+K773+O773+Q773)</f>
        <v>290.01350849415138</v>
      </c>
      <c r="S773" s="60">
        <f t="shared" si="246"/>
        <v>290.01350849415138</v>
      </c>
      <c r="T773" s="60">
        <f>ABS((R773)/((2*PI()*G773)/60))</f>
        <v>1.3847125032080272</v>
      </c>
      <c r="U773" s="60">
        <f t="shared" si="247"/>
        <v>2</v>
      </c>
      <c r="V773" s="60">
        <f>INDEX(BSFC!$D$4:$AD$26,MATCH(U773,BSFC!$B$4:$B$26,0),MATCH(G773,BSFC!$D$2:$AD$2,0))</f>
        <v>976.38004896000075</v>
      </c>
      <c r="W773" s="60">
        <f t="shared" ref="W773:W836" si="251">(R773*V773/3600)/1000</f>
        <v>7.8656501006272514E-2</v>
      </c>
      <c r="X773" s="60">
        <f t="shared" si="248"/>
        <v>7.8656501006272514E-2</v>
      </c>
      <c r="Y773" s="60">
        <f t="shared" si="249"/>
        <v>0.24304858810938207</v>
      </c>
      <c r="Z773" s="79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x14ac:dyDescent="0.3">
      <c r="A774" s="55">
        <v>3</v>
      </c>
      <c r="B774" s="60" t="s">
        <v>112</v>
      </c>
      <c r="C774" s="60">
        <f t="shared" si="234"/>
        <v>771</v>
      </c>
      <c r="D774" s="60">
        <f t="shared" si="242"/>
        <v>10.98367</v>
      </c>
      <c r="E774" s="60">
        <f t="shared" si="240"/>
        <v>4.91</v>
      </c>
      <c r="F774" s="89">
        <f>($C$4/E774)+F773</f>
        <v>99.319878273009792</v>
      </c>
      <c r="G774" s="60">
        <f t="shared" si="241"/>
        <v>2000</v>
      </c>
      <c r="H774" s="60">
        <v>2</v>
      </c>
      <c r="I774" s="89">
        <f>E774-E773</f>
        <v>-0.5</v>
      </c>
      <c r="J774" s="60">
        <f>(0.5*VEHICLE!$C$71*VEHICLE!$C$28*VEHICLE!$C$27*'Drive Cycle'!E774^2)</f>
        <v>21.446664603209999</v>
      </c>
      <c r="K774" s="60">
        <f>IF(A774=1,VEHICLE!$S$5,IF(A774=2,VEHICLE!$Q$5,IF(A774=3,VEHICLE!$R$5,IF(A774=4,VEHICLE!$P$5,1))))</f>
        <v>556.55073000000004</v>
      </c>
      <c r="L774" s="60">
        <f t="shared" si="235"/>
        <v>2.5</v>
      </c>
      <c r="M774" s="60">
        <f t="shared" si="250"/>
        <v>0</v>
      </c>
      <c r="N774" s="60">
        <f t="shared" si="243"/>
        <v>0</v>
      </c>
      <c r="O774" s="60">
        <f t="shared" si="244"/>
        <v>0</v>
      </c>
      <c r="P774" s="60">
        <f t="shared" si="245"/>
        <v>577.99739460321007</v>
      </c>
      <c r="Q774" s="60">
        <f>IF(H774=1,I774*VEHICLE!$C$69,IF(H774=2,VEHICLE!$C$70*I774,IF(H774=3,VEHICLE!$C$71*I774,0)))</f>
        <v>-292.57424326505867</v>
      </c>
      <c r="R774" s="60">
        <f>(J774+K774+O774+Q774)</f>
        <v>285.4231513381514</v>
      </c>
      <c r="S774" s="60">
        <f t="shared" si="246"/>
        <v>285.4231513381514</v>
      </c>
      <c r="T774" s="60">
        <f>ABS((R774)/((2*PI()*G774)/60))</f>
        <v>1.3627951622499876</v>
      </c>
      <c r="U774" s="60">
        <f t="shared" si="247"/>
        <v>2</v>
      </c>
      <c r="V774" s="60">
        <f>INDEX(BSFC!$D$4:$AD$26,MATCH(U774,BSFC!$B$4:$B$26,0),MATCH(G774,BSFC!$D$2:$AD$2,0))</f>
        <v>976.38004896000075</v>
      </c>
      <c r="W774" s="60">
        <f t="shared" si="251"/>
        <v>7.7411519577183882E-2</v>
      </c>
      <c r="X774" s="60">
        <f t="shared" si="248"/>
        <v>7.7411519577183882E-2</v>
      </c>
      <c r="Y774" s="60">
        <f t="shared" si="249"/>
        <v>0.23920159549349818</v>
      </c>
      <c r="Z774" s="79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x14ac:dyDescent="0.3">
      <c r="A775" s="55">
        <v>3</v>
      </c>
      <c r="B775" s="60" t="s">
        <v>112</v>
      </c>
      <c r="C775" s="60">
        <f t="shared" si="234"/>
        <v>772</v>
      </c>
      <c r="D775" s="60">
        <f t="shared" si="242"/>
        <v>9.8651700000000009</v>
      </c>
      <c r="E775" s="60">
        <f t="shared" si="240"/>
        <v>4.41</v>
      </c>
      <c r="F775" s="89">
        <f>($C$4/E775)+F774</f>
        <v>99.54663564262431</v>
      </c>
      <c r="G775" s="60">
        <f t="shared" si="241"/>
        <v>2000</v>
      </c>
      <c r="H775" s="60">
        <v>2</v>
      </c>
      <c r="I775" s="89">
        <f>E775-E774</f>
        <v>-0.5</v>
      </c>
      <c r="J775" s="60">
        <f>(0.5*VEHICLE!$C$71*VEHICLE!$C$28*VEHICLE!$C$27*'Drive Cycle'!E775^2)</f>
        <v>17.30110949721</v>
      </c>
      <c r="K775" s="60">
        <f>IF(A775=1,VEHICLE!$S$5,IF(A775=2,VEHICLE!$Q$5,IF(A775=3,VEHICLE!$R$5,IF(A775=4,VEHICLE!$P$5,1))))</f>
        <v>556.55073000000004</v>
      </c>
      <c r="L775" s="60">
        <f t="shared" si="235"/>
        <v>2.5</v>
      </c>
      <c r="M775" s="60">
        <f t="shared" si="250"/>
        <v>0</v>
      </c>
      <c r="N775" s="60">
        <f t="shared" si="243"/>
        <v>0</v>
      </c>
      <c r="O775" s="60">
        <f t="shared" si="244"/>
        <v>0</v>
      </c>
      <c r="P775" s="60">
        <f t="shared" si="245"/>
        <v>573.85183949720999</v>
      </c>
      <c r="Q775" s="60">
        <f>IF(H775=1,I775*VEHICLE!$C$69,IF(H775=2,VEHICLE!$C$70*I775,IF(H775=3,VEHICLE!$C$71*I775,0)))</f>
        <v>-292.57424326505867</v>
      </c>
      <c r="R775" s="60">
        <f>(J775+K775+O775+Q775)</f>
        <v>281.27759623215132</v>
      </c>
      <c r="S775" s="60">
        <f t="shared" si="246"/>
        <v>281.27759623215132</v>
      </c>
      <c r="T775" s="60">
        <f>ABS((R775)/((2*PI()*G775)/60))</f>
        <v>1.3430015946405949</v>
      </c>
      <c r="U775" s="60">
        <f t="shared" si="247"/>
        <v>2</v>
      </c>
      <c r="V775" s="60">
        <f>INDEX(BSFC!$D$4:$AD$26,MATCH(U775,BSFC!$B$4:$B$26,0),MATCH(G775,BSFC!$D$2:$AD$2,0))</f>
        <v>976.38004896000075</v>
      </c>
      <c r="W775" s="60">
        <f t="shared" si="251"/>
        <v>7.6287175883472003E-2</v>
      </c>
      <c r="X775" s="60">
        <f t="shared" si="248"/>
        <v>7.6287175883472003E-2</v>
      </c>
      <c r="Y775" s="60">
        <f t="shared" si="249"/>
        <v>0.23572737347992848</v>
      </c>
      <c r="Z775" s="79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x14ac:dyDescent="0.3">
      <c r="A776" s="55">
        <v>3</v>
      </c>
      <c r="B776" s="61" t="s">
        <v>127</v>
      </c>
      <c r="C776" s="61">
        <f t="shared" si="234"/>
        <v>773</v>
      </c>
      <c r="D776" s="61">
        <f t="shared" si="242"/>
        <v>9.8651700000000009</v>
      </c>
      <c r="E776" s="61">
        <f>E775</f>
        <v>4.41</v>
      </c>
      <c r="F776" s="88">
        <f>($C$4/E776)+F775</f>
        <v>99.773393012238827</v>
      </c>
      <c r="G776" s="61">
        <f t="shared" si="241"/>
        <v>2000</v>
      </c>
      <c r="H776" s="61">
        <v>2</v>
      </c>
      <c r="I776" s="88">
        <f>E776-E775</f>
        <v>0</v>
      </c>
      <c r="J776" s="61">
        <f>(0.5*VEHICLE!$C$71*VEHICLE!$C$28*VEHICLE!$C$27*'Drive Cycle'!E776^2)</f>
        <v>17.30110949721</v>
      </c>
      <c r="K776" s="61">
        <f>IF(A776=1,VEHICLE!$S$5,IF(A776=2,VEHICLE!$Q$5,IF(A776=3,VEHICLE!$R$5,IF(A776=4,VEHICLE!$P$5,1))))</f>
        <v>556.55073000000004</v>
      </c>
      <c r="L776" s="61">
        <f t="shared" si="235"/>
        <v>2.5</v>
      </c>
      <c r="M776" s="61">
        <f t="shared" si="250"/>
        <v>0</v>
      </c>
      <c r="N776" s="61">
        <f t="shared" si="243"/>
        <v>0</v>
      </c>
      <c r="O776" s="61">
        <f t="shared" si="244"/>
        <v>0</v>
      </c>
      <c r="P776" s="61">
        <f t="shared" si="245"/>
        <v>573.85183949720999</v>
      </c>
      <c r="Q776" s="61">
        <f>IF(H776=1,I776*VEHICLE!$C$69,IF(H776=2,VEHICLE!$C$70*I776,IF(H776=3,VEHICLE!$C$71*I776,0)))</f>
        <v>0</v>
      </c>
      <c r="R776" s="61">
        <f>(J776+K776+O776+Q776)</f>
        <v>573.85183949720999</v>
      </c>
      <c r="S776" s="61">
        <f t="shared" si="246"/>
        <v>573.85183949720999</v>
      </c>
      <c r="T776" s="61">
        <f>ABS((R776)/((2*PI()*G776)/60))</f>
        <v>2.7399407057507377</v>
      </c>
      <c r="U776" s="61">
        <f t="shared" si="247"/>
        <v>3</v>
      </c>
      <c r="V776" s="61">
        <f>INDEX(BSFC!$D$4:$AD$26,MATCH(U776,BSFC!$B$4:$B$26,0),MATCH(G776,BSFC!$D$2:$AD$2,0))</f>
        <v>871.70053920000043</v>
      </c>
      <c r="W776" s="61">
        <f t="shared" si="251"/>
        <v>0.13895193275295278</v>
      </c>
      <c r="X776" s="61">
        <f t="shared" si="248"/>
        <v>0.13895193275295278</v>
      </c>
      <c r="Y776" s="61">
        <f t="shared" si="249"/>
        <v>0.42936147220662407</v>
      </c>
      <c r="Z776" s="79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x14ac:dyDescent="0.3">
      <c r="A777" s="55">
        <v>3</v>
      </c>
      <c r="B777" s="61" t="s">
        <v>127</v>
      </c>
      <c r="C777" s="61">
        <f t="shared" si="234"/>
        <v>774</v>
      </c>
      <c r="D777" s="61">
        <f t="shared" si="242"/>
        <v>9.8651700000000009</v>
      </c>
      <c r="E777" s="61">
        <f t="shared" ref="E777:E785" si="252">E776</f>
        <v>4.41</v>
      </c>
      <c r="F777" s="88">
        <f>($C$4/E777)+F776</f>
        <v>100.00015038185335</v>
      </c>
      <c r="G777" s="61">
        <f t="shared" si="241"/>
        <v>2000</v>
      </c>
      <c r="H777" s="61">
        <v>2</v>
      </c>
      <c r="I777" s="88">
        <f>E777-E776</f>
        <v>0</v>
      </c>
      <c r="J777" s="61">
        <f>(0.5*VEHICLE!$C$71*VEHICLE!$C$28*VEHICLE!$C$27*'Drive Cycle'!E777^2)</f>
        <v>17.30110949721</v>
      </c>
      <c r="K777" s="61">
        <f>IF(A777=1,VEHICLE!$S$5,IF(A777=2,VEHICLE!$Q$5,IF(A777=3,VEHICLE!$R$5,IF(A777=4,VEHICLE!$P$5,1))))</f>
        <v>556.55073000000004</v>
      </c>
      <c r="L777" s="61">
        <f t="shared" si="235"/>
        <v>2.5</v>
      </c>
      <c r="M777" s="61">
        <f t="shared" si="250"/>
        <v>0</v>
      </c>
      <c r="N777" s="61">
        <f t="shared" si="243"/>
        <v>0</v>
      </c>
      <c r="O777" s="61">
        <f t="shared" si="244"/>
        <v>0</v>
      </c>
      <c r="P777" s="61">
        <f t="shared" si="245"/>
        <v>573.85183949720999</v>
      </c>
      <c r="Q777" s="61">
        <f>IF(H777=1,I777*VEHICLE!$C$69,IF(H777=2,VEHICLE!$C$70*I777,IF(H777=3,VEHICLE!$C$71*I777,0)))</f>
        <v>0</v>
      </c>
      <c r="R777" s="61">
        <f>(J777+K777+O777+Q777)</f>
        <v>573.85183949720999</v>
      </c>
      <c r="S777" s="61">
        <f t="shared" si="246"/>
        <v>573.85183949720999</v>
      </c>
      <c r="T777" s="61">
        <f>ABS((R777)/((2*PI()*G777)/60))</f>
        <v>2.7399407057507377</v>
      </c>
      <c r="U777" s="61">
        <f t="shared" si="247"/>
        <v>3</v>
      </c>
      <c r="V777" s="61">
        <f>INDEX(BSFC!$D$4:$AD$26,MATCH(U777,BSFC!$B$4:$B$26,0),MATCH(G777,BSFC!$D$2:$AD$2,0))</f>
        <v>871.70053920000043</v>
      </c>
      <c r="W777" s="61">
        <f t="shared" si="251"/>
        <v>0.13895193275295278</v>
      </c>
      <c r="X777" s="61">
        <f t="shared" si="248"/>
        <v>0.13895193275295278</v>
      </c>
      <c r="Y777" s="61">
        <f t="shared" si="249"/>
        <v>0.42936147220662407</v>
      </c>
      <c r="Z777" s="79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x14ac:dyDescent="0.3">
      <c r="A778" s="55">
        <v>3</v>
      </c>
      <c r="B778" s="61" t="s">
        <v>127</v>
      </c>
      <c r="C778" s="61">
        <f t="shared" si="234"/>
        <v>775</v>
      </c>
      <c r="D778" s="61">
        <f t="shared" si="242"/>
        <v>9.8651700000000009</v>
      </c>
      <c r="E778" s="61">
        <f t="shared" si="252"/>
        <v>4.41</v>
      </c>
      <c r="F778" s="88">
        <f>($C$4/E778)+F777</f>
        <v>100.22690775146786</v>
      </c>
      <c r="G778" s="61">
        <f t="shared" si="241"/>
        <v>2000</v>
      </c>
      <c r="H778" s="61">
        <v>2</v>
      </c>
      <c r="I778" s="88">
        <f>E778-E777</f>
        <v>0</v>
      </c>
      <c r="J778" s="61">
        <f>(0.5*VEHICLE!$C$71*VEHICLE!$C$28*VEHICLE!$C$27*'Drive Cycle'!E778^2)</f>
        <v>17.30110949721</v>
      </c>
      <c r="K778" s="61">
        <f>IF(A778=1,VEHICLE!$S$5,IF(A778=2,VEHICLE!$Q$5,IF(A778=3,VEHICLE!$R$5,IF(A778=4,VEHICLE!$P$5,1))))</f>
        <v>556.55073000000004</v>
      </c>
      <c r="L778" s="61">
        <f t="shared" si="235"/>
        <v>2.5</v>
      </c>
      <c r="M778" s="61">
        <f t="shared" si="250"/>
        <v>0</v>
      </c>
      <c r="N778" s="61">
        <f t="shared" si="243"/>
        <v>0</v>
      </c>
      <c r="O778" s="61">
        <f t="shared" si="244"/>
        <v>0</v>
      </c>
      <c r="P778" s="61">
        <f t="shared" si="245"/>
        <v>573.85183949720999</v>
      </c>
      <c r="Q778" s="61">
        <f>IF(H778=1,I778*VEHICLE!$C$69,IF(H778=2,VEHICLE!$C$70*I778,IF(H778=3,VEHICLE!$C$71*I778,0)))</f>
        <v>0</v>
      </c>
      <c r="R778" s="61">
        <f>(J778+K778+O778+Q778)</f>
        <v>573.85183949720999</v>
      </c>
      <c r="S778" s="61">
        <f t="shared" si="246"/>
        <v>573.85183949720999</v>
      </c>
      <c r="T778" s="61">
        <f>ABS((R778)/((2*PI()*G778)/60))</f>
        <v>2.7399407057507377</v>
      </c>
      <c r="U778" s="61">
        <f t="shared" si="247"/>
        <v>3</v>
      </c>
      <c r="V778" s="61">
        <f>INDEX(BSFC!$D$4:$AD$26,MATCH(U778,BSFC!$B$4:$B$26,0),MATCH(G778,BSFC!$D$2:$AD$2,0))</f>
        <v>871.70053920000043</v>
      </c>
      <c r="W778" s="61">
        <f t="shared" si="251"/>
        <v>0.13895193275295278</v>
      </c>
      <c r="X778" s="61">
        <f t="shared" si="248"/>
        <v>0.13895193275295278</v>
      </c>
      <c r="Y778" s="61">
        <f t="shared" si="249"/>
        <v>0.42936147220662407</v>
      </c>
      <c r="Z778" s="79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x14ac:dyDescent="0.3">
      <c r="A779" s="55">
        <v>3</v>
      </c>
      <c r="B779" s="61" t="s">
        <v>127</v>
      </c>
      <c r="C779" s="61">
        <f t="shared" si="234"/>
        <v>776</v>
      </c>
      <c r="D779" s="61">
        <f t="shared" si="242"/>
        <v>9.8651700000000009</v>
      </c>
      <c r="E779" s="61">
        <f t="shared" si="252"/>
        <v>4.41</v>
      </c>
      <c r="F779" s="88">
        <f>($C$4/E779)+F778</f>
        <v>100.45366512108238</v>
      </c>
      <c r="G779" s="61">
        <f t="shared" si="241"/>
        <v>2000</v>
      </c>
      <c r="H779" s="61">
        <v>2</v>
      </c>
      <c r="I779" s="88">
        <f>E779-E778</f>
        <v>0</v>
      </c>
      <c r="J779" s="61">
        <f>(0.5*VEHICLE!$C$71*VEHICLE!$C$28*VEHICLE!$C$27*'Drive Cycle'!E779^2)</f>
        <v>17.30110949721</v>
      </c>
      <c r="K779" s="61">
        <f>IF(A779=1,VEHICLE!$S$5,IF(A779=2,VEHICLE!$Q$5,IF(A779=3,VEHICLE!$R$5,IF(A779=4,VEHICLE!$P$5,1))))</f>
        <v>556.55073000000004</v>
      </c>
      <c r="L779" s="61">
        <f t="shared" si="235"/>
        <v>2.5</v>
      </c>
      <c r="M779" s="61">
        <f t="shared" si="250"/>
        <v>0</v>
      </c>
      <c r="N779" s="61">
        <f t="shared" si="243"/>
        <v>0</v>
      </c>
      <c r="O779" s="61">
        <f t="shared" si="244"/>
        <v>0</v>
      </c>
      <c r="P779" s="61">
        <f t="shared" si="245"/>
        <v>573.85183949720999</v>
      </c>
      <c r="Q779" s="61">
        <f>IF(H779=1,I779*VEHICLE!$C$69,IF(H779=2,VEHICLE!$C$70*I779,IF(H779=3,VEHICLE!$C$71*I779,0)))</f>
        <v>0</v>
      </c>
      <c r="R779" s="61">
        <f>(J779+K779+O779+Q779)</f>
        <v>573.85183949720999</v>
      </c>
      <c r="S779" s="61">
        <f t="shared" si="246"/>
        <v>573.85183949720999</v>
      </c>
      <c r="T779" s="61">
        <f>ABS((R779)/((2*PI()*G779)/60))</f>
        <v>2.7399407057507377</v>
      </c>
      <c r="U779" s="61">
        <f t="shared" si="247"/>
        <v>3</v>
      </c>
      <c r="V779" s="61">
        <f>INDEX(BSFC!$D$4:$AD$26,MATCH(U779,BSFC!$B$4:$B$26,0),MATCH(G779,BSFC!$D$2:$AD$2,0))</f>
        <v>871.70053920000043</v>
      </c>
      <c r="W779" s="61">
        <f t="shared" si="251"/>
        <v>0.13895193275295278</v>
      </c>
      <c r="X779" s="61">
        <f t="shared" si="248"/>
        <v>0.13895193275295278</v>
      </c>
      <c r="Y779" s="61">
        <f t="shared" si="249"/>
        <v>0.42936147220662407</v>
      </c>
      <c r="Z779" s="79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x14ac:dyDescent="0.3">
      <c r="A780" s="55">
        <v>3</v>
      </c>
      <c r="B780" s="61" t="s">
        <v>127</v>
      </c>
      <c r="C780" s="61">
        <f t="shared" si="234"/>
        <v>777</v>
      </c>
      <c r="D780" s="61">
        <f t="shared" si="242"/>
        <v>9.8651700000000009</v>
      </c>
      <c r="E780" s="61">
        <f t="shared" si="252"/>
        <v>4.41</v>
      </c>
      <c r="F780" s="88">
        <f>($C$4/E780)+F779</f>
        <v>100.6804224906969</v>
      </c>
      <c r="G780" s="61">
        <f t="shared" si="241"/>
        <v>2000</v>
      </c>
      <c r="H780" s="61">
        <v>2</v>
      </c>
      <c r="I780" s="88">
        <f>E780-E779</f>
        <v>0</v>
      </c>
      <c r="J780" s="61">
        <f>(0.5*VEHICLE!$C$71*VEHICLE!$C$28*VEHICLE!$C$27*'Drive Cycle'!E780^2)</f>
        <v>17.30110949721</v>
      </c>
      <c r="K780" s="61">
        <f>IF(A780=1,VEHICLE!$S$5,IF(A780=2,VEHICLE!$Q$5,IF(A780=3,VEHICLE!$R$5,IF(A780=4,VEHICLE!$P$5,1))))</f>
        <v>556.55073000000004</v>
      </c>
      <c r="L780" s="61">
        <f t="shared" si="235"/>
        <v>2.5</v>
      </c>
      <c r="M780" s="61">
        <f t="shared" si="250"/>
        <v>0</v>
      </c>
      <c r="N780" s="61">
        <f t="shared" si="243"/>
        <v>0</v>
      </c>
      <c r="O780" s="61">
        <f t="shared" si="244"/>
        <v>0</v>
      </c>
      <c r="P780" s="61">
        <f t="shared" si="245"/>
        <v>573.85183949720999</v>
      </c>
      <c r="Q780" s="61">
        <f>IF(H780=1,I780*VEHICLE!$C$69,IF(H780=2,VEHICLE!$C$70*I780,IF(H780=3,VEHICLE!$C$71*I780,0)))</f>
        <v>0</v>
      </c>
      <c r="R780" s="61">
        <f>(J780+K780+O780+Q780)</f>
        <v>573.85183949720999</v>
      </c>
      <c r="S780" s="61">
        <f t="shared" si="246"/>
        <v>573.85183949720999</v>
      </c>
      <c r="T780" s="61">
        <f>ABS((R780)/((2*PI()*G780)/60))</f>
        <v>2.7399407057507377</v>
      </c>
      <c r="U780" s="61">
        <f t="shared" si="247"/>
        <v>3</v>
      </c>
      <c r="V780" s="61">
        <f>INDEX(BSFC!$D$4:$AD$26,MATCH(U780,BSFC!$B$4:$B$26,0),MATCH(G780,BSFC!$D$2:$AD$2,0))</f>
        <v>871.70053920000043</v>
      </c>
      <c r="W780" s="61">
        <f t="shared" si="251"/>
        <v>0.13895193275295278</v>
      </c>
      <c r="X780" s="61">
        <f t="shared" si="248"/>
        <v>0.13895193275295278</v>
      </c>
      <c r="Y780" s="61">
        <f t="shared" si="249"/>
        <v>0.42936147220662407</v>
      </c>
      <c r="Z780" s="79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x14ac:dyDescent="0.3">
      <c r="A781" s="55">
        <v>3</v>
      </c>
      <c r="B781" s="61" t="s">
        <v>127</v>
      </c>
      <c r="C781" s="61">
        <f t="shared" si="234"/>
        <v>778</v>
      </c>
      <c r="D781" s="61">
        <f t="shared" si="242"/>
        <v>9.8651700000000009</v>
      </c>
      <c r="E781" s="61">
        <f t="shared" si="252"/>
        <v>4.41</v>
      </c>
      <c r="F781" s="88">
        <f>($C$4/E781)+F780</f>
        <v>100.90717986031142</v>
      </c>
      <c r="G781" s="61">
        <f t="shared" si="241"/>
        <v>2000</v>
      </c>
      <c r="H781" s="61">
        <v>2</v>
      </c>
      <c r="I781" s="88">
        <f>E781-E780</f>
        <v>0</v>
      </c>
      <c r="J781" s="61">
        <f>(0.5*VEHICLE!$C$71*VEHICLE!$C$28*VEHICLE!$C$27*'Drive Cycle'!E781^2)</f>
        <v>17.30110949721</v>
      </c>
      <c r="K781" s="61">
        <f>IF(A781=1,VEHICLE!$S$5,IF(A781=2,VEHICLE!$Q$5,IF(A781=3,VEHICLE!$R$5,IF(A781=4,VEHICLE!$P$5,1))))</f>
        <v>556.55073000000004</v>
      </c>
      <c r="L781" s="61">
        <f t="shared" si="235"/>
        <v>2.5</v>
      </c>
      <c r="M781" s="61">
        <f t="shared" si="250"/>
        <v>0</v>
      </c>
      <c r="N781" s="61">
        <f t="shared" si="243"/>
        <v>0</v>
      </c>
      <c r="O781" s="61">
        <f t="shared" si="244"/>
        <v>0</v>
      </c>
      <c r="P781" s="61">
        <f t="shared" si="245"/>
        <v>573.85183949720999</v>
      </c>
      <c r="Q781" s="61">
        <f>IF(H781=1,I781*VEHICLE!$C$69,IF(H781=2,VEHICLE!$C$70*I781,IF(H781=3,VEHICLE!$C$71*I781,0)))</f>
        <v>0</v>
      </c>
      <c r="R781" s="61">
        <f>(J781+K781+O781+Q781)</f>
        <v>573.85183949720999</v>
      </c>
      <c r="S781" s="61">
        <f t="shared" si="246"/>
        <v>573.85183949720999</v>
      </c>
      <c r="T781" s="61">
        <f>ABS((R781)/((2*PI()*G781)/60))</f>
        <v>2.7399407057507377</v>
      </c>
      <c r="U781" s="61">
        <f t="shared" si="247"/>
        <v>3</v>
      </c>
      <c r="V781" s="61">
        <f>INDEX(BSFC!$D$4:$AD$26,MATCH(U781,BSFC!$B$4:$B$26,0),MATCH(G781,BSFC!$D$2:$AD$2,0))</f>
        <v>871.70053920000043</v>
      </c>
      <c r="W781" s="61">
        <f t="shared" si="251"/>
        <v>0.13895193275295278</v>
      </c>
      <c r="X781" s="61">
        <f t="shared" si="248"/>
        <v>0.13895193275295278</v>
      </c>
      <c r="Y781" s="61">
        <f t="shared" si="249"/>
        <v>0.42936147220662407</v>
      </c>
      <c r="Z781" s="79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x14ac:dyDescent="0.3">
      <c r="A782" s="55">
        <v>3</v>
      </c>
      <c r="B782" s="61" t="s">
        <v>127</v>
      </c>
      <c r="C782" s="61">
        <f t="shared" si="234"/>
        <v>779</v>
      </c>
      <c r="D782" s="61">
        <f t="shared" si="242"/>
        <v>9.8651700000000009</v>
      </c>
      <c r="E782" s="61">
        <f t="shared" si="252"/>
        <v>4.41</v>
      </c>
      <c r="F782" s="88">
        <f>($C$4/E782)+F781</f>
        <v>101.13393722992593</v>
      </c>
      <c r="G782" s="61">
        <f t="shared" si="241"/>
        <v>2000</v>
      </c>
      <c r="H782" s="61">
        <v>2</v>
      </c>
      <c r="I782" s="88">
        <f>E782-E781</f>
        <v>0</v>
      </c>
      <c r="J782" s="61">
        <f>(0.5*VEHICLE!$C$71*VEHICLE!$C$28*VEHICLE!$C$27*'Drive Cycle'!E782^2)</f>
        <v>17.30110949721</v>
      </c>
      <c r="K782" s="61">
        <f>IF(A782=1,VEHICLE!$S$5,IF(A782=2,VEHICLE!$Q$5,IF(A782=3,VEHICLE!$R$5,IF(A782=4,VEHICLE!$P$5,1))))</f>
        <v>556.55073000000004</v>
      </c>
      <c r="L782" s="61">
        <f t="shared" si="235"/>
        <v>2.5</v>
      </c>
      <c r="M782" s="61">
        <f t="shared" si="250"/>
        <v>0</v>
      </c>
      <c r="N782" s="61">
        <f t="shared" si="243"/>
        <v>0</v>
      </c>
      <c r="O782" s="61">
        <f t="shared" si="244"/>
        <v>0</v>
      </c>
      <c r="P782" s="61">
        <f t="shared" si="245"/>
        <v>573.85183949720999</v>
      </c>
      <c r="Q782" s="61">
        <f>IF(H782=1,I782*VEHICLE!$C$69,IF(H782=2,VEHICLE!$C$70*I782,IF(H782=3,VEHICLE!$C$71*I782,0)))</f>
        <v>0</v>
      </c>
      <c r="R782" s="61">
        <f>(J782+K782+O782+Q782)</f>
        <v>573.85183949720999</v>
      </c>
      <c r="S782" s="61">
        <f t="shared" si="246"/>
        <v>573.85183949720999</v>
      </c>
      <c r="T782" s="61">
        <f>ABS((R782)/((2*PI()*G782)/60))</f>
        <v>2.7399407057507377</v>
      </c>
      <c r="U782" s="61">
        <f t="shared" si="247"/>
        <v>3</v>
      </c>
      <c r="V782" s="61">
        <f>INDEX(BSFC!$D$4:$AD$26,MATCH(U782,BSFC!$B$4:$B$26,0),MATCH(G782,BSFC!$D$2:$AD$2,0))</f>
        <v>871.70053920000043</v>
      </c>
      <c r="W782" s="61">
        <f t="shared" si="251"/>
        <v>0.13895193275295278</v>
      </c>
      <c r="X782" s="61">
        <f t="shared" si="248"/>
        <v>0.13895193275295278</v>
      </c>
      <c r="Y782" s="61">
        <f t="shared" si="249"/>
        <v>0.42936147220662407</v>
      </c>
      <c r="Z782" s="79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x14ac:dyDescent="0.3">
      <c r="A783" s="55">
        <v>3</v>
      </c>
      <c r="B783" s="61" t="s">
        <v>127</v>
      </c>
      <c r="C783" s="61">
        <f t="shared" si="234"/>
        <v>780</v>
      </c>
      <c r="D783" s="61">
        <f t="shared" si="242"/>
        <v>9.8651700000000009</v>
      </c>
      <c r="E783" s="61">
        <f t="shared" si="252"/>
        <v>4.41</v>
      </c>
      <c r="F783" s="88">
        <f>($C$4/E783)+F782</f>
        <v>101.36069459954045</v>
      </c>
      <c r="G783" s="61">
        <f t="shared" si="241"/>
        <v>2000</v>
      </c>
      <c r="H783" s="61">
        <v>2</v>
      </c>
      <c r="I783" s="88">
        <f>E783-E782</f>
        <v>0</v>
      </c>
      <c r="J783" s="61">
        <f>(0.5*VEHICLE!$C$71*VEHICLE!$C$28*VEHICLE!$C$27*'Drive Cycle'!E783^2)</f>
        <v>17.30110949721</v>
      </c>
      <c r="K783" s="61">
        <f>IF(A783=1,VEHICLE!$S$5,IF(A783=2,VEHICLE!$Q$5,IF(A783=3,VEHICLE!$R$5,IF(A783=4,VEHICLE!$P$5,1))))</f>
        <v>556.55073000000004</v>
      </c>
      <c r="L783" s="61">
        <f t="shared" si="235"/>
        <v>2.5</v>
      </c>
      <c r="M783" s="61">
        <f t="shared" si="250"/>
        <v>0</v>
      </c>
      <c r="N783" s="61">
        <f t="shared" si="243"/>
        <v>0</v>
      </c>
      <c r="O783" s="61">
        <f t="shared" si="244"/>
        <v>0</v>
      </c>
      <c r="P783" s="61">
        <f t="shared" si="245"/>
        <v>573.85183949720999</v>
      </c>
      <c r="Q783" s="61">
        <f>IF(H783=1,I783*VEHICLE!$C$69,IF(H783=2,VEHICLE!$C$70*I783,IF(H783=3,VEHICLE!$C$71*I783,0)))</f>
        <v>0</v>
      </c>
      <c r="R783" s="61">
        <f>(J783+K783+O783+Q783)</f>
        <v>573.85183949720999</v>
      </c>
      <c r="S783" s="61">
        <f t="shared" si="246"/>
        <v>573.85183949720999</v>
      </c>
      <c r="T783" s="61">
        <f>ABS((R783)/((2*PI()*G783)/60))</f>
        <v>2.7399407057507377</v>
      </c>
      <c r="U783" s="61">
        <f t="shared" si="247"/>
        <v>3</v>
      </c>
      <c r="V783" s="61">
        <f>INDEX(BSFC!$D$4:$AD$26,MATCH(U783,BSFC!$B$4:$B$26,0),MATCH(G783,BSFC!$D$2:$AD$2,0))</f>
        <v>871.70053920000043</v>
      </c>
      <c r="W783" s="61">
        <f t="shared" si="251"/>
        <v>0.13895193275295278</v>
      </c>
      <c r="X783" s="61">
        <f t="shared" si="248"/>
        <v>0.13895193275295278</v>
      </c>
      <c r="Y783" s="61">
        <f t="shared" si="249"/>
        <v>0.42936147220662407</v>
      </c>
      <c r="Z783" s="79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x14ac:dyDescent="0.3">
      <c r="A784" s="55">
        <v>3</v>
      </c>
      <c r="B784" s="61" t="s">
        <v>127</v>
      </c>
      <c r="C784" s="61">
        <f t="shared" si="234"/>
        <v>781</v>
      </c>
      <c r="D784" s="61">
        <f t="shared" si="242"/>
        <v>9.8651700000000009</v>
      </c>
      <c r="E784" s="61">
        <f t="shared" si="252"/>
        <v>4.41</v>
      </c>
      <c r="F784" s="88">
        <f>($C$4/E784)+F783</f>
        <v>101.58745196915497</v>
      </c>
      <c r="G784" s="61">
        <f t="shared" si="241"/>
        <v>2000</v>
      </c>
      <c r="H784" s="61">
        <v>2</v>
      </c>
      <c r="I784" s="88">
        <f>E784-E783</f>
        <v>0</v>
      </c>
      <c r="J784" s="61">
        <f>(0.5*VEHICLE!$C$71*VEHICLE!$C$28*VEHICLE!$C$27*'Drive Cycle'!E784^2)</f>
        <v>17.30110949721</v>
      </c>
      <c r="K784" s="61">
        <f>IF(A784=1,VEHICLE!$S$5,IF(A784=2,VEHICLE!$Q$5,IF(A784=3,VEHICLE!$R$5,IF(A784=4,VEHICLE!$P$5,1))))</f>
        <v>556.55073000000004</v>
      </c>
      <c r="L784" s="61">
        <f t="shared" si="235"/>
        <v>2.5</v>
      </c>
      <c r="M784" s="61">
        <f t="shared" si="250"/>
        <v>0</v>
      </c>
      <c r="N784" s="61">
        <f t="shared" si="243"/>
        <v>0</v>
      </c>
      <c r="O784" s="61">
        <f t="shared" si="244"/>
        <v>0</v>
      </c>
      <c r="P784" s="61">
        <f t="shared" si="245"/>
        <v>573.85183949720999</v>
      </c>
      <c r="Q784" s="61">
        <f>IF(H784=1,I784*VEHICLE!$C$69,IF(H784=2,VEHICLE!$C$70*I784,IF(H784=3,VEHICLE!$C$71*I784,0)))</f>
        <v>0</v>
      </c>
      <c r="R784" s="61">
        <f>(J784+K784+O784+Q784)</f>
        <v>573.85183949720999</v>
      </c>
      <c r="S784" s="61">
        <f t="shared" si="246"/>
        <v>573.85183949720999</v>
      </c>
      <c r="T784" s="61">
        <f>ABS((R784)/((2*PI()*G784)/60))</f>
        <v>2.7399407057507377</v>
      </c>
      <c r="U784" s="61">
        <f t="shared" si="247"/>
        <v>3</v>
      </c>
      <c r="V784" s="61">
        <f>INDEX(BSFC!$D$4:$AD$26,MATCH(U784,BSFC!$B$4:$B$26,0),MATCH(G784,BSFC!$D$2:$AD$2,0))</f>
        <v>871.70053920000043</v>
      </c>
      <c r="W784" s="61">
        <f t="shared" si="251"/>
        <v>0.13895193275295278</v>
      </c>
      <c r="X784" s="61">
        <f t="shared" si="248"/>
        <v>0.13895193275295278</v>
      </c>
      <c r="Y784" s="61">
        <f t="shared" si="249"/>
        <v>0.42936147220662407</v>
      </c>
      <c r="Z784" s="79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x14ac:dyDescent="0.3">
      <c r="A785" s="55">
        <v>3</v>
      </c>
      <c r="B785" s="61" t="s">
        <v>127</v>
      </c>
      <c r="C785" s="61">
        <f t="shared" si="234"/>
        <v>782</v>
      </c>
      <c r="D785" s="61">
        <f t="shared" si="242"/>
        <v>9.8651700000000009</v>
      </c>
      <c r="E785" s="61">
        <f t="shared" si="252"/>
        <v>4.41</v>
      </c>
      <c r="F785" s="88">
        <f>($C$4/E785)+F784</f>
        <v>101.81420933876949</v>
      </c>
      <c r="G785" s="61">
        <f t="shared" si="241"/>
        <v>2000</v>
      </c>
      <c r="H785" s="61">
        <v>2</v>
      </c>
      <c r="I785" s="88">
        <f>E785-E784</f>
        <v>0</v>
      </c>
      <c r="J785" s="61">
        <f>(0.5*VEHICLE!$C$71*VEHICLE!$C$28*VEHICLE!$C$27*'Drive Cycle'!E785^2)</f>
        <v>17.30110949721</v>
      </c>
      <c r="K785" s="61">
        <f>IF(A785=1,VEHICLE!$S$5,IF(A785=2,VEHICLE!$Q$5,IF(A785=3,VEHICLE!$R$5,IF(A785=4,VEHICLE!$P$5,1))))</f>
        <v>556.55073000000004</v>
      </c>
      <c r="L785" s="61">
        <f t="shared" si="235"/>
        <v>2.5</v>
      </c>
      <c r="M785" s="61">
        <f t="shared" si="250"/>
        <v>0</v>
      </c>
      <c r="N785" s="61">
        <f t="shared" si="243"/>
        <v>0</v>
      </c>
      <c r="O785" s="61">
        <f t="shared" si="244"/>
        <v>0</v>
      </c>
      <c r="P785" s="61">
        <f t="shared" si="245"/>
        <v>573.85183949720999</v>
      </c>
      <c r="Q785" s="61">
        <f>IF(H785=1,I785*VEHICLE!$C$69,IF(H785=2,VEHICLE!$C$70*I785,IF(H785=3,VEHICLE!$C$71*I785,0)))</f>
        <v>0</v>
      </c>
      <c r="R785" s="61">
        <f>(J785+K785+O785+Q785)</f>
        <v>573.85183949720999</v>
      </c>
      <c r="S785" s="61">
        <f t="shared" si="246"/>
        <v>573.85183949720999</v>
      </c>
      <c r="T785" s="61">
        <f>ABS((R785)/((2*PI()*G785)/60))</f>
        <v>2.7399407057507377</v>
      </c>
      <c r="U785" s="61">
        <f t="shared" si="247"/>
        <v>3</v>
      </c>
      <c r="V785" s="61">
        <f>INDEX(BSFC!$D$4:$AD$26,MATCH(U785,BSFC!$B$4:$B$26,0),MATCH(G785,BSFC!$D$2:$AD$2,0))</f>
        <v>871.70053920000043</v>
      </c>
      <c r="W785" s="61">
        <f t="shared" si="251"/>
        <v>0.13895193275295278</v>
      </c>
      <c r="X785" s="61">
        <f t="shared" si="248"/>
        <v>0.13895193275295278</v>
      </c>
      <c r="Y785" s="61">
        <f t="shared" si="249"/>
        <v>0.42936147220662407</v>
      </c>
      <c r="Z785" s="79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x14ac:dyDescent="0.3">
      <c r="A786" s="55">
        <v>3</v>
      </c>
      <c r="B786" s="61" t="s">
        <v>127</v>
      </c>
      <c r="C786" s="61">
        <f t="shared" si="234"/>
        <v>783</v>
      </c>
      <c r="D786" s="61">
        <f t="shared" si="242"/>
        <v>10.53627</v>
      </c>
      <c r="E786" s="61">
        <f>E785+0.3</f>
        <v>4.71</v>
      </c>
      <c r="F786" s="88">
        <f>($C$4/E786)+F785</f>
        <v>102.02652356382256</v>
      </c>
      <c r="G786" s="61">
        <f>G785+250</f>
        <v>2250</v>
      </c>
      <c r="H786" s="61">
        <v>2</v>
      </c>
      <c r="I786" s="88">
        <f>E786-E785</f>
        <v>0.29999999999999982</v>
      </c>
      <c r="J786" s="61">
        <f>(0.5*VEHICLE!$C$71*VEHICLE!$C$28*VEHICLE!$C$27*'Drive Cycle'!E786^2)</f>
        <v>19.735066314809998</v>
      </c>
      <c r="K786" s="61">
        <f>IF(A786=1,VEHICLE!$S$5,IF(A786=2,VEHICLE!$Q$5,IF(A786=3,VEHICLE!$R$5,IF(A786=4,VEHICLE!$P$5,1))))</f>
        <v>556.55073000000004</v>
      </c>
      <c r="L786" s="61">
        <f t="shared" si="235"/>
        <v>2.5</v>
      </c>
      <c r="M786" s="61">
        <f t="shared" si="250"/>
        <v>0</v>
      </c>
      <c r="N786" s="61">
        <f t="shared" si="243"/>
        <v>0</v>
      </c>
      <c r="O786" s="61">
        <f t="shared" si="244"/>
        <v>0</v>
      </c>
      <c r="P786" s="61">
        <f t="shared" si="245"/>
        <v>576.28579631481</v>
      </c>
      <c r="Q786" s="61">
        <f>IF(H786=1,I786*VEHICLE!$C$69,IF(H786=2,VEHICLE!$C$70*I786,IF(H786=3,VEHICLE!$C$71*I786,0)))</f>
        <v>175.5445459590351</v>
      </c>
      <c r="R786" s="61">
        <f>(J786+K786+O786+Q786)</f>
        <v>751.83034227384508</v>
      </c>
      <c r="S786" s="61">
        <f t="shared" si="246"/>
        <v>751.83034227384508</v>
      </c>
      <c r="T786" s="61">
        <f>ABS((R786)/((2*PI()*G786)/60))</f>
        <v>3.1908670757161066</v>
      </c>
      <c r="U786" s="61">
        <f t="shared" si="247"/>
        <v>4</v>
      </c>
      <c r="V786" s="61">
        <f>INDEX(BSFC!$D$4:$AD$26,MATCH(U786,BSFC!$B$4:$B$26,0),MATCH(G786,BSFC!$D$2:$AD$2,0))</f>
        <v>867.11329824000018</v>
      </c>
      <c r="W786" s="61">
        <f t="shared" si="251"/>
        <v>0.18108946883499499</v>
      </c>
      <c r="X786" s="61">
        <f t="shared" si="248"/>
        <v>0.18108946883499499</v>
      </c>
      <c r="Y786" s="61">
        <f t="shared" si="249"/>
        <v>0.55956645870013455</v>
      </c>
      <c r="Z786" s="79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x14ac:dyDescent="0.3">
      <c r="A787" s="55">
        <v>3</v>
      </c>
      <c r="B787" s="61" t="s">
        <v>127</v>
      </c>
      <c r="C787" s="61">
        <f t="shared" si="234"/>
        <v>784</v>
      </c>
      <c r="D787" s="61">
        <f t="shared" si="242"/>
        <v>11.207369999999999</v>
      </c>
      <c r="E787" s="61">
        <f t="shared" ref="E787:E790" si="253">E786+0.3</f>
        <v>5.01</v>
      </c>
      <c r="F787" s="88">
        <f>($C$4/E787)+F786</f>
        <v>102.22612436222576</v>
      </c>
      <c r="G787" s="61">
        <f t="shared" ref="G787:G805" si="254">G786+250</f>
        <v>2500</v>
      </c>
      <c r="H787" s="61">
        <v>2</v>
      </c>
      <c r="I787" s="88">
        <f>E787-E786</f>
        <v>0.29999999999999982</v>
      </c>
      <c r="J787" s="61">
        <f>(0.5*VEHICLE!$C$71*VEHICLE!$C$28*VEHICLE!$C$27*'Drive Cycle'!E787^2)</f>
        <v>22.329151870409994</v>
      </c>
      <c r="K787" s="61">
        <f>IF(A787=1,VEHICLE!$S$5,IF(A787=2,VEHICLE!$Q$5,IF(A787=3,VEHICLE!$R$5,IF(A787=4,VEHICLE!$P$5,1))))</f>
        <v>556.55073000000004</v>
      </c>
      <c r="L787" s="61">
        <f t="shared" si="235"/>
        <v>2.5</v>
      </c>
      <c r="M787" s="61">
        <f t="shared" si="250"/>
        <v>0</v>
      </c>
      <c r="N787" s="61">
        <f t="shared" si="243"/>
        <v>0</v>
      </c>
      <c r="O787" s="61">
        <f t="shared" si="244"/>
        <v>0</v>
      </c>
      <c r="P787" s="61">
        <f t="shared" si="245"/>
        <v>578.87988187041003</v>
      </c>
      <c r="Q787" s="61">
        <f>IF(H787=1,I787*VEHICLE!$C$69,IF(H787=2,VEHICLE!$C$70*I787,IF(H787=3,VEHICLE!$C$71*I787,0)))</f>
        <v>175.5445459590351</v>
      </c>
      <c r="R787" s="61">
        <f>(J787+K787+O787+Q787)</f>
        <v>754.42442782944511</v>
      </c>
      <c r="S787" s="61">
        <f t="shared" si="246"/>
        <v>754.42442782944511</v>
      </c>
      <c r="T787" s="61">
        <f>ABS((R787)/((2*PI()*G787)/60))</f>
        <v>2.8816890450799448</v>
      </c>
      <c r="U787" s="61">
        <f t="shared" si="247"/>
        <v>3</v>
      </c>
      <c r="V787" s="61">
        <f>INDEX(BSFC!$D$4:$AD$26,MATCH(U787,BSFC!$B$4:$B$26,0),MATCH(G787,BSFC!$D$2:$AD$2,0))</f>
        <v>898.36185024000031</v>
      </c>
      <c r="W787" s="61">
        <f t="shared" si="251"/>
        <v>0.18826281245864274</v>
      </c>
      <c r="X787" s="61">
        <f t="shared" si="248"/>
        <v>0.18826281245864274</v>
      </c>
      <c r="Y787" s="61">
        <f t="shared" si="249"/>
        <v>0.58173209049720598</v>
      </c>
      <c r="Z787" s="79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x14ac:dyDescent="0.3">
      <c r="A788" s="55">
        <v>3</v>
      </c>
      <c r="B788" s="61" t="s">
        <v>127</v>
      </c>
      <c r="C788" s="61">
        <f t="shared" si="234"/>
        <v>785</v>
      </c>
      <c r="D788" s="61">
        <f t="shared" si="242"/>
        <v>11.87847</v>
      </c>
      <c r="E788" s="61">
        <f t="shared" si="253"/>
        <v>5.31</v>
      </c>
      <c r="F788" s="88">
        <f>($C$4/E788)+F787</f>
        <v>102.41444827936324</v>
      </c>
      <c r="G788" s="61">
        <f t="shared" si="254"/>
        <v>2750</v>
      </c>
      <c r="H788" s="61">
        <v>2</v>
      </c>
      <c r="I788" s="88">
        <f>E788-E787</f>
        <v>0.29999999999999982</v>
      </c>
      <c r="J788" s="61">
        <f>(0.5*VEHICLE!$C$71*VEHICLE!$C$28*VEHICLE!$C$27*'Drive Cycle'!E788^2)</f>
        <v>25.083366164009991</v>
      </c>
      <c r="K788" s="61">
        <f>IF(A788=1,VEHICLE!$S$5,IF(A788=2,VEHICLE!$Q$5,IF(A788=3,VEHICLE!$R$5,IF(A788=4,VEHICLE!$P$5,1))))</f>
        <v>556.55073000000004</v>
      </c>
      <c r="L788" s="61">
        <f t="shared" si="235"/>
        <v>2.5</v>
      </c>
      <c r="M788" s="61">
        <f t="shared" si="250"/>
        <v>0</v>
      </c>
      <c r="N788" s="61">
        <f t="shared" si="243"/>
        <v>0</v>
      </c>
      <c r="O788" s="61">
        <f t="shared" si="244"/>
        <v>0</v>
      </c>
      <c r="P788" s="61">
        <f t="shared" si="245"/>
        <v>581.63409616401009</v>
      </c>
      <c r="Q788" s="61">
        <f>IF(H788=1,I788*VEHICLE!$C$69,IF(H788=2,VEHICLE!$C$70*I788,IF(H788=3,VEHICLE!$C$71*I788,0)))</f>
        <v>175.5445459590351</v>
      </c>
      <c r="R788" s="61">
        <f>(J788+K788+O788+Q788)</f>
        <v>757.17864212304517</v>
      </c>
      <c r="S788" s="61">
        <f t="shared" si="246"/>
        <v>757.17864212304517</v>
      </c>
      <c r="T788" s="61">
        <f>ABS((R788)/((2*PI()*G788)/60))</f>
        <v>2.6292812443089133</v>
      </c>
      <c r="U788" s="61">
        <f t="shared" si="247"/>
        <v>3</v>
      </c>
      <c r="V788" s="61">
        <f>INDEX(BSFC!$D$4:$AD$26,MATCH(U788,BSFC!$B$4:$B$26,0),MATCH(G788,BSFC!$D$2:$AD$2,0))</f>
        <v>892.76689024000029</v>
      </c>
      <c r="W788" s="61">
        <f t="shared" si="251"/>
        <v>0.18777333935676033</v>
      </c>
      <c r="X788" s="61">
        <f t="shared" si="248"/>
        <v>0.18777333935676033</v>
      </c>
      <c r="Y788" s="61">
        <f t="shared" si="249"/>
        <v>0.58021961861238935</v>
      </c>
      <c r="Z788" s="79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x14ac:dyDescent="0.3">
      <c r="A789" s="55">
        <v>3</v>
      </c>
      <c r="B789" s="61" t="s">
        <v>127</v>
      </c>
      <c r="C789" s="61">
        <f t="shared" si="234"/>
        <v>786</v>
      </c>
      <c r="D789" s="61">
        <f t="shared" si="242"/>
        <v>12.549569999999999</v>
      </c>
      <c r="E789" s="61">
        <f t="shared" si="253"/>
        <v>5.6099999999999994</v>
      </c>
      <c r="F789" s="88">
        <f>($C$4/E789)+F788</f>
        <v>102.59270139879283</v>
      </c>
      <c r="G789" s="61">
        <f t="shared" si="254"/>
        <v>3000</v>
      </c>
      <c r="H789" s="61">
        <v>2</v>
      </c>
      <c r="I789" s="88">
        <f>E789-E788</f>
        <v>0.29999999999999982</v>
      </c>
      <c r="J789" s="61">
        <f>(0.5*VEHICLE!$C$71*VEHICLE!$C$28*VEHICLE!$C$27*'Drive Cycle'!E789^2)</f>
        <v>27.997709195609993</v>
      </c>
      <c r="K789" s="61">
        <f>IF(A789=1,VEHICLE!$S$5,IF(A789=2,VEHICLE!$Q$5,IF(A789=3,VEHICLE!$R$5,IF(A789=4,VEHICLE!$P$5,1))))</f>
        <v>556.55073000000004</v>
      </c>
      <c r="L789" s="61">
        <f t="shared" si="235"/>
        <v>2.5</v>
      </c>
      <c r="M789" s="61">
        <f t="shared" si="250"/>
        <v>0</v>
      </c>
      <c r="N789" s="61">
        <f t="shared" si="243"/>
        <v>0</v>
      </c>
      <c r="O789" s="61">
        <f t="shared" si="244"/>
        <v>0</v>
      </c>
      <c r="P789" s="61">
        <f t="shared" si="245"/>
        <v>584.54843919561006</v>
      </c>
      <c r="Q789" s="61">
        <f>IF(H789=1,I789*VEHICLE!$C$69,IF(H789=2,VEHICLE!$C$70*I789,IF(H789=3,VEHICLE!$C$71*I789,0)))</f>
        <v>175.5445459590351</v>
      </c>
      <c r="R789" s="61">
        <f>(J789+K789+O789+Q789)</f>
        <v>760.09298515464513</v>
      </c>
      <c r="S789" s="61">
        <f t="shared" si="246"/>
        <v>760.09298515464513</v>
      </c>
      <c r="T789" s="61">
        <f>ABS((R789)/((2*PI()*G789)/60))</f>
        <v>2.4194511159367278</v>
      </c>
      <c r="U789" s="61">
        <f t="shared" si="247"/>
        <v>3</v>
      </c>
      <c r="V789" s="61">
        <f>INDEX(BSFC!$D$4:$AD$26,MATCH(U789,BSFC!$B$4:$B$26,0),MATCH(G789,BSFC!$D$2:$AD$2,0))</f>
        <v>875.83654128000001</v>
      </c>
      <c r="W789" s="61">
        <f t="shared" si="251"/>
        <v>0.18492144754695411</v>
      </c>
      <c r="X789" s="61">
        <f t="shared" si="248"/>
        <v>0.18492144754695411</v>
      </c>
      <c r="Y789" s="61">
        <f t="shared" si="249"/>
        <v>0.57140727292008819</v>
      </c>
      <c r="Z789" s="79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x14ac:dyDescent="0.3">
      <c r="A790" s="55">
        <v>3</v>
      </c>
      <c r="B790" s="61" t="s">
        <v>127</v>
      </c>
      <c r="C790" s="61">
        <f t="shared" si="234"/>
        <v>787</v>
      </c>
      <c r="D790" s="61">
        <f t="shared" si="242"/>
        <v>13.220669999999998</v>
      </c>
      <c r="E790" s="61">
        <f t="shared" si="253"/>
        <v>5.9099999999999993</v>
      </c>
      <c r="F790" s="88">
        <f>($C$4/E790)+F789</f>
        <v>102.76190613652548</v>
      </c>
      <c r="G790" s="61">
        <f t="shared" si="254"/>
        <v>3250</v>
      </c>
      <c r="H790" s="61">
        <v>2</v>
      </c>
      <c r="I790" s="88">
        <f>E790-E789</f>
        <v>0.29999999999999982</v>
      </c>
      <c r="J790" s="61">
        <f>(0.5*VEHICLE!$C$71*VEHICLE!$C$28*VEHICLE!$C$27*'Drive Cycle'!E790^2)</f>
        <v>31.072180965209991</v>
      </c>
      <c r="K790" s="61">
        <f>IF(A790=1,VEHICLE!$S$5,IF(A790=2,VEHICLE!$Q$5,IF(A790=3,VEHICLE!$R$5,IF(A790=4,VEHICLE!$P$5,1))))</f>
        <v>556.55073000000004</v>
      </c>
      <c r="L790" s="61">
        <f t="shared" si="235"/>
        <v>2.5</v>
      </c>
      <c r="M790" s="61">
        <f t="shared" si="250"/>
        <v>0</v>
      </c>
      <c r="N790" s="61">
        <f t="shared" si="243"/>
        <v>0</v>
      </c>
      <c r="O790" s="61">
        <f t="shared" si="244"/>
        <v>0</v>
      </c>
      <c r="P790" s="61">
        <f t="shared" si="245"/>
        <v>587.62291096521005</v>
      </c>
      <c r="Q790" s="61">
        <f>IF(H790=1,I790*VEHICLE!$C$69,IF(H790=2,VEHICLE!$C$70*I790,IF(H790=3,VEHICLE!$C$71*I790,0)))</f>
        <v>175.5445459590351</v>
      </c>
      <c r="R790" s="61">
        <f>(J790+K790+O790+Q790)</f>
        <v>763.16745692424513</v>
      </c>
      <c r="S790" s="61">
        <f t="shared" si="246"/>
        <v>763.16745692424513</v>
      </c>
      <c r="T790" s="61">
        <f>ABS((R790)/((2*PI()*G790)/60))</f>
        <v>2.2423730432559639</v>
      </c>
      <c r="U790" s="61">
        <f t="shared" si="247"/>
        <v>3</v>
      </c>
      <c r="V790" s="61">
        <f>INDEX(BSFC!$D$4:$AD$26,MATCH(U790,BSFC!$B$4:$B$26,0),MATCH(G790,BSFC!$D$2:$AD$2,0))</f>
        <v>829.80227336000007</v>
      </c>
      <c r="W790" s="61">
        <f t="shared" si="251"/>
        <v>0.17591058075280794</v>
      </c>
      <c r="X790" s="61">
        <f t="shared" si="248"/>
        <v>0.17591058075280794</v>
      </c>
      <c r="Y790" s="61">
        <f t="shared" si="249"/>
        <v>0.54356369452617648</v>
      </c>
      <c r="Z790" s="79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x14ac:dyDescent="0.3">
      <c r="A791" s="55">
        <v>3</v>
      </c>
      <c r="B791" s="60" t="s">
        <v>113</v>
      </c>
      <c r="C791" s="60">
        <f t="shared" si="234"/>
        <v>788</v>
      </c>
      <c r="D791" s="60">
        <f t="shared" si="242"/>
        <v>15.010269999999998</v>
      </c>
      <c r="E791" s="60">
        <f>E790+0.8</f>
        <v>6.7099999999999991</v>
      </c>
      <c r="F791" s="89">
        <f>($C$4/E791)+F790</f>
        <v>102.91093743309776</v>
      </c>
      <c r="G791" s="60">
        <f t="shared" si="254"/>
        <v>3500</v>
      </c>
      <c r="H791" s="60">
        <v>2</v>
      </c>
      <c r="I791" s="89">
        <f>E791-E790</f>
        <v>0.79999999999999982</v>
      </c>
      <c r="J791" s="60">
        <f>(0.5*VEHICLE!$C$71*VEHICLE!$C$28*VEHICLE!$C$27*'Drive Cycle'!E791^2)</f>
        <v>40.053623958809986</v>
      </c>
      <c r="K791" s="60">
        <f>IF(A791=1,VEHICLE!$S$5,IF(A791=2,VEHICLE!$Q$5,IF(A791=3,VEHICLE!$R$5,IF(A791=4,VEHICLE!$P$5,1))))</f>
        <v>556.55073000000004</v>
      </c>
      <c r="L791" s="60">
        <f t="shared" si="235"/>
        <v>2.5</v>
      </c>
      <c r="M791" s="60">
        <f t="shared" si="250"/>
        <v>0</v>
      </c>
      <c r="N791" s="60">
        <f t="shared" si="243"/>
        <v>0</v>
      </c>
      <c r="O791" s="60">
        <f t="shared" si="244"/>
        <v>0</v>
      </c>
      <c r="P791" s="60">
        <f t="shared" si="245"/>
        <v>596.60435395881007</v>
      </c>
      <c r="Q791" s="60">
        <f>IF(H791=1,I791*VEHICLE!$C$69,IF(H791=2,VEHICLE!$C$70*I791,IF(H791=3,VEHICLE!$C$71*I791,0)))</f>
        <v>468.11878922409375</v>
      </c>
      <c r="R791" s="60">
        <f>(J791+K791+O791+Q791)</f>
        <v>1064.7231431829039</v>
      </c>
      <c r="S791" s="60">
        <f t="shared" si="246"/>
        <v>1064.7231431829039</v>
      </c>
      <c r="T791" s="60">
        <f>ABS((R791)/((2*PI()*G791)/60))</f>
        <v>2.9049591644896973</v>
      </c>
      <c r="U791" s="60">
        <f t="shared" si="247"/>
        <v>3</v>
      </c>
      <c r="V791" s="60">
        <f>INDEX(BSFC!$D$4:$AD$26,MATCH(U791,BSFC!$B$4:$B$26,0),MATCH(G791,BSFC!$D$2:$AD$2,0))</f>
        <v>819.92766336000011</v>
      </c>
      <c r="W791" s="60">
        <f t="shared" si="251"/>
        <v>0.24249887747646476</v>
      </c>
      <c r="X791" s="60">
        <f t="shared" si="248"/>
        <v>0.24249887747646476</v>
      </c>
      <c r="Y791" s="60">
        <f t="shared" si="249"/>
        <v>0.74932153140227609</v>
      </c>
      <c r="Z791" s="79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x14ac:dyDescent="0.3">
      <c r="A792" s="55">
        <v>3</v>
      </c>
      <c r="B792" s="60" t="s">
        <v>113</v>
      </c>
      <c r="C792" s="60">
        <f t="shared" si="234"/>
        <v>789</v>
      </c>
      <c r="D792" s="60">
        <f t="shared" si="242"/>
        <v>16.799869999999999</v>
      </c>
      <c r="E792" s="60">
        <f t="shared" ref="E792:E799" si="255">E791+0.8</f>
        <v>7.5099999999999989</v>
      </c>
      <c r="F792" s="89">
        <f>($C$4/E792)+F791</f>
        <v>103.04409322537472</v>
      </c>
      <c r="G792" s="60">
        <f t="shared" si="254"/>
        <v>3750</v>
      </c>
      <c r="H792" s="60">
        <v>2</v>
      </c>
      <c r="I792" s="89">
        <f>E792-E791</f>
        <v>0.79999999999999982</v>
      </c>
      <c r="J792" s="60">
        <f>(0.5*VEHICLE!$C$71*VEHICLE!$C$28*VEHICLE!$C$27*'Drive Cycle'!E792^2)</f>
        <v>50.17376020040998</v>
      </c>
      <c r="K792" s="60">
        <f>IF(A792=1,VEHICLE!$S$5,IF(A792=2,VEHICLE!$Q$5,IF(A792=3,VEHICLE!$R$5,IF(A792=4,VEHICLE!$P$5,1))))</f>
        <v>556.55073000000004</v>
      </c>
      <c r="L792" s="60">
        <f t="shared" si="235"/>
        <v>2.5</v>
      </c>
      <c r="M792" s="60">
        <f t="shared" si="250"/>
        <v>0</v>
      </c>
      <c r="N792" s="60">
        <f t="shared" si="243"/>
        <v>0</v>
      </c>
      <c r="O792" s="60">
        <f t="shared" si="244"/>
        <v>0</v>
      </c>
      <c r="P792" s="60">
        <f t="shared" si="245"/>
        <v>606.72449020041006</v>
      </c>
      <c r="Q792" s="60">
        <f>IF(H792=1,I792*VEHICLE!$C$69,IF(H792=2,VEHICLE!$C$70*I792,IF(H792=3,VEHICLE!$C$71*I792,0)))</f>
        <v>468.11878922409375</v>
      </c>
      <c r="R792" s="60">
        <f>(J792+K792+O792+Q792)</f>
        <v>1074.8432794245039</v>
      </c>
      <c r="S792" s="60">
        <f t="shared" si="246"/>
        <v>1074.8432794245039</v>
      </c>
      <c r="T792" s="60">
        <f>ABS((R792)/((2*PI()*G792)/60))</f>
        <v>2.7370659355122089</v>
      </c>
      <c r="U792" s="60">
        <f t="shared" si="247"/>
        <v>3</v>
      </c>
      <c r="V792" s="60">
        <f>INDEX(BSFC!$D$4:$AD$26,MATCH(U792,BSFC!$B$4:$B$26,0),MATCH(G792,BSFC!$D$2:$AD$2,0))</f>
        <v>821.18653759999995</v>
      </c>
      <c r="W792" s="60">
        <f t="shared" si="251"/>
        <v>0.24517967530367712</v>
      </c>
      <c r="X792" s="60">
        <f t="shared" si="248"/>
        <v>0.24517967530367712</v>
      </c>
      <c r="Y792" s="60">
        <f t="shared" si="249"/>
        <v>0.75760519668836224</v>
      </c>
      <c r="Z792" s="79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x14ac:dyDescent="0.3">
      <c r="A793" s="55">
        <v>3</v>
      </c>
      <c r="B793" s="60" t="s">
        <v>113</v>
      </c>
      <c r="C793" s="60">
        <f t="shared" si="234"/>
        <v>790</v>
      </c>
      <c r="D793" s="60">
        <f t="shared" si="242"/>
        <v>18.589469999999999</v>
      </c>
      <c r="E793" s="60">
        <f t="shared" si="255"/>
        <v>8.3099999999999987</v>
      </c>
      <c r="F793" s="89">
        <f>($C$4/E793)+F792</f>
        <v>103.16443016881637</v>
      </c>
      <c r="G793" s="60">
        <f t="shared" si="254"/>
        <v>4000</v>
      </c>
      <c r="H793" s="60">
        <v>2</v>
      </c>
      <c r="I793" s="89">
        <f>E793-E792</f>
        <v>0.79999999999999982</v>
      </c>
      <c r="J793" s="60">
        <f>(0.5*VEHICLE!$C$71*VEHICLE!$C$28*VEHICLE!$C$27*'Drive Cycle'!E793^2)</f>
        <v>61.432589690009969</v>
      </c>
      <c r="K793" s="60">
        <f>IF(A793=1,VEHICLE!$S$5,IF(A793=2,VEHICLE!$Q$5,IF(A793=3,VEHICLE!$R$5,IF(A793=4,VEHICLE!$P$5,1))))</f>
        <v>556.55073000000004</v>
      </c>
      <c r="L793" s="60">
        <f t="shared" si="235"/>
        <v>2.5</v>
      </c>
      <c r="M793" s="60">
        <f t="shared" si="250"/>
        <v>0</v>
      </c>
      <c r="N793" s="60">
        <f t="shared" si="243"/>
        <v>0</v>
      </c>
      <c r="O793" s="60">
        <f t="shared" si="244"/>
        <v>0</v>
      </c>
      <c r="P793" s="60">
        <f t="shared" si="245"/>
        <v>617.98331969001003</v>
      </c>
      <c r="Q793" s="60">
        <f>IF(H793=1,I793*VEHICLE!$C$69,IF(H793=2,VEHICLE!$C$70*I793,IF(H793=3,VEHICLE!$C$71*I793,0)))</f>
        <v>468.11878922409375</v>
      </c>
      <c r="R793" s="60">
        <f>(J793+K793+O793+Q793)</f>
        <v>1086.1021089141038</v>
      </c>
      <c r="S793" s="60">
        <f t="shared" si="246"/>
        <v>1086.1021089141038</v>
      </c>
      <c r="T793" s="60">
        <f>ABS((R793)/((2*PI()*G793)/60))</f>
        <v>2.5928777900431759</v>
      </c>
      <c r="U793" s="60">
        <f t="shared" si="247"/>
        <v>3</v>
      </c>
      <c r="V793" s="60">
        <f>INDEX(BSFC!$D$4:$AD$26,MATCH(U793,BSFC!$B$4:$B$26,0),MATCH(G793,BSFC!$D$2:$AD$2,0))</f>
        <v>811.6487376</v>
      </c>
      <c r="W793" s="60">
        <f t="shared" si="251"/>
        <v>0.24487039044578615</v>
      </c>
      <c r="X793" s="60">
        <f t="shared" si="248"/>
        <v>0.24487039044578615</v>
      </c>
      <c r="Y793" s="60">
        <f t="shared" si="249"/>
        <v>0.75664950647747919</v>
      </c>
      <c r="Z793" s="79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x14ac:dyDescent="0.3">
      <c r="A794" s="55">
        <v>3</v>
      </c>
      <c r="B794" s="60" t="s">
        <v>113</v>
      </c>
      <c r="C794" s="60">
        <f t="shared" si="234"/>
        <v>791</v>
      </c>
      <c r="D794" s="60">
        <f t="shared" si="242"/>
        <v>20.379069999999999</v>
      </c>
      <c r="E794" s="60">
        <f t="shared" si="255"/>
        <v>9.11</v>
      </c>
      <c r="F794" s="89">
        <f>($C$4/E794)+F793</f>
        <v>103.2741996528998</v>
      </c>
      <c r="G794" s="60">
        <f t="shared" si="254"/>
        <v>4250</v>
      </c>
      <c r="H794" s="60">
        <v>3</v>
      </c>
      <c r="I794" s="89">
        <f>E794-E793</f>
        <v>0.80000000000000071</v>
      </c>
      <c r="J794" s="60">
        <f>(0.5*VEHICLE!$C$71*VEHICLE!$C$28*VEHICLE!$C$27*'Drive Cycle'!E794^2)</f>
        <v>73.83011242760999</v>
      </c>
      <c r="K794" s="60">
        <f>IF(A794=1,VEHICLE!$S$5,IF(A794=2,VEHICLE!$Q$5,IF(A794=3,VEHICLE!$R$5,IF(A794=4,VEHICLE!$P$5,1))))</f>
        <v>556.55073000000004</v>
      </c>
      <c r="L794" s="60">
        <f t="shared" si="235"/>
        <v>2.5</v>
      </c>
      <c r="M794" s="60">
        <f t="shared" si="250"/>
        <v>0</v>
      </c>
      <c r="N794" s="60">
        <f t="shared" si="243"/>
        <v>0</v>
      </c>
      <c r="O794" s="60">
        <f t="shared" si="244"/>
        <v>0</v>
      </c>
      <c r="P794" s="60">
        <f t="shared" si="245"/>
        <v>630.38084242760999</v>
      </c>
      <c r="Q794" s="60">
        <f>IF(H794=1,I794*VEHICLE!$C$69,IF(H794=2,VEHICLE!$C$70*I794,IF(H794=3,VEHICLE!$C$71*I794,0)))</f>
        <v>0.93360000000000087</v>
      </c>
      <c r="R794" s="60">
        <f>(J794+K794+O794+Q794)</f>
        <v>631.31444242760995</v>
      </c>
      <c r="S794" s="60">
        <f t="shared" si="246"/>
        <v>631.31444242760995</v>
      </c>
      <c r="T794" s="60">
        <f>ABS((R794)/((2*PI()*G794)/60))</f>
        <v>1.4184961998728174</v>
      </c>
      <c r="U794" s="60">
        <f t="shared" si="247"/>
        <v>2</v>
      </c>
      <c r="V794" s="60">
        <f>INDEX(BSFC!$D$4:$AD$26,MATCH(U794,BSFC!$B$4:$B$26,0),MATCH(G794,BSFC!$D$2:$AD$2,0))</f>
        <v>913.43656767999983</v>
      </c>
      <c r="W794" s="60">
        <f t="shared" si="251"/>
        <v>0.16018491594941359</v>
      </c>
      <c r="X794" s="60">
        <f t="shared" si="248"/>
        <v>0.16018491594941359</v>
      </c>
      <c r="Y794" s="60">
        <f t="shared" si="249"/>
        <v>0.49497139028368797</v>
      </c>
      <c r="Z794" s="79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x14ac:dyDescent="0.3">
      <c r="A795" s="55">
        <v>3</v>
      </c>
      <c r="B795" s="60" t="s">
        <v>113</v>
      </c>
      <c r="C795" s="60">
        <f t="shared" si="234"/>
        <v>792</v>
      </c>
      <c r="D795" s="60">
        <f t="shared" si="242"/>
        <v>22.168670000000002</v>
      </c>
      <c r="E795" s="60">
        <f t="shared" si="255"/>
        <v>9.91</v>
      </c>
      <c r="F795" s="89">
        <f>($C$4/E795)+F794</f>
        <v>103.37510782646186</v>
      </c>
      <c r="G795" s="60">
        <f t="shared" si="254"/>
        <v>4500</v>
      </c>
      <c r="H795" s="60">
        <v>3</v>
      </c>
      <c r="I795" s="89">
        <f>E795-E794</f>
        <v>0.80000000000000071</v>
      </c>
      <c r="J795" s="60">
        <f>(0.5*VEHICLE!$C$71*VEHICLE!$C$28*VEHICLE!$C$27*'Drive Cycle'!E795^2)</f>
        <v>87.366328413209985</v>
      </c>
      <c r="K795" s="60">
        <f>IF(A795=1,VEHICLE!$S$5,IF(A795=2,VEHICLE!$Q$5,IF(A795=3,VEHICLE!$R$5,IF(A795=4,VEHICLE!$P$5,1))))</f>
        <v>556.55073000000004</v>
      </c>
      <c r="L795" s="60">
        <f t="shared" si="235"/>
        <v>2.5</v>
      </c>
      <c r="M795" s="60">
        <f t="shared" si="250"/>
        <v>0</v>
      </c>
      <c r="N795" s="60">
        <f t="shared" si="243"/>
        <v>0</v>
      </c>
      <c r="O795" s="60">
        <f t="shared" si="244"/>
        <v>0</v>
      </c>
      <c r="P795" s="60">
        <f t="shared" si="245"/>
        <v>643.91705841321004</v>
      </c>
      <c r="Q795" s="60">
        <f>IF(H795=1,I795*VEHICLE!$C$69,IF(H795=2,VEHICLE!$C$70*I795,IF(H795=3,VEHICLE!$C$71*I795,0)))</f>
        <v>0.93360000000000087</v>
      </c>
      <c r="R795" s="60">
        <f>(J795+K795+O795+Q795)</f>
        <v>644.85065841321</v>
      </c>
      <c r="S795" s="60">
        <f t="shared" si="246"/>
        <v>644.85065841321</v>
      </c>
      <c r="T795" s="60">
        <f>ABS((R795)/((2*PI()*G795)/60))</f>
        <v>1.3684155979003423</v>
      </c>
      <c r="U795" s="60">
        <f t="shared" si="247"/>
        <v>2</v>
      </c>
      <c r="V795" s="60">
        <f>INDEX(BSFC!$D$4:$AD$26,MATCH(U795,BSFC!$B$4:$B$26,0),MATCH(G795,BSFC!$D$2:$AD$2,0))</f>
        <v>900.04656767999984</v>
      </c>
      <c r="W795" s="60">
        <f t="shared" si="251"/>
        <v>0.16122100604749934</v>
      </c>
      <c r="X795" s="60">
        <f t="shared" si="248"/>
        <v>0.16122100604749934</v>
      </c>
      <c r="Y795" s="60">
        <f t="shared" si="249"/>
        <v>0.49817290868677294</v>
      </c>
      <c r="Z795" s="79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x14ac:dyDescent="0.3">
      <c r="A796" s="55">
        <v>3</v>
      </c>
      <c r="B796" s="60" t="s">
        <v>113</v>
      </c>
      <c r="C796" s="60">
        <f t="shared" si="234"/>
        <v>793</v>
      </c>
      <c r="D796" s="60">
        <f t="shared" si="242"/>
        <v>23.958270000000002</v>
      </c>
      <c r="E796" s="60">
        <f t="shared" si="255"/>
        <v>10.71</v>
      </c>
      <c r="F796" s="89">
        <f>($C$4/E796)+F795</f>
        <v>103.46847850806783</v>
      </c>
      <c r="G796" s="60">
        <f t="shared" si="254"/>
        <v>4750</v>
      </c>
      <c r="H796" s="60">
        <v>3</v>
      </c>
      <c r="I796" s="89">
        <f>E796-E795</f>
        <v>0.80000000000000071</v>
      </c>
      <c r="J796" s="60">
        <f>(0.5*VEHICLE!$C$71*VEHICLE!$C$28*VEHICLE!$C$27*'Drive Cycle'!E796^2)</f>
        <v>102.04123764681002</v>
      </c>
      <c r="K796" s="60">
        <f>IF(A796=1,VEHICLE!$S$5,IF(A796=2,VEHICLE!$Q$5,IF(A796=3,VEHICLE!$R$5,IF(A796=4,VEHICLE!$P$5,1))))</f>
        <v>556.55073000000004</v>
      </c>
      <c r="L796" s="60">
        <f t="shared" si="235"/>
        <v>2.5</v>
      </c>
      <c r="M796" s="60">
        <f t="shared" si="250"/>
        <v>0</v>
      </c>
      <c r="N796" s="60">
        <f t="shared" si="243"/>
        <v>0</v>
      </c>
      <c r="O796" s="60">
        <f t="shared" si="244"/>
        <v>0</v>
      </c>
      <c r="P796" s="60">
        <f t="shared" si="245"/>
        <v>658.59196764681008</v>
      </c>
      <c r="Q796" s="60">
        <f>IF(H796=1,I796*VEHICLE!$C$69,IF(H796=2,VEHICLE!$C$70*I796,IF(H796=3,VEHICLE!$C$71*I796,0)))</f>
        <v>0.93360000000000087</v>
      </c>
      <c r="R796" s="60">
        <f>(J796+K796+O796+Q796)</f>
        <v>659.52556764681003</v>
      </c>
      <c r="S796" s="60">
        <f t="shared" si="246"/>
        <v>659.52556764681003</v>
      </c>
      <c r="T796" s="60">
        <f>ABS((R796)/((2*PI()*G796)/60))</f>
        <v>1.3258958423555118</v>
      </c>
      <c r="U796" s="60">
        <f t="shared" si="247"/>
        <v>2</v>
      </c>
      <c r="V796" s="60">
        <f>INDEX(BSFC!$D$4:$AD$26,MATCH(U796,BSFC!$B$4:$B$26,0),MATCH(G796,BSFC!$D$2:$AD$2,0))</f>
        <v>892.42868767999994</v>
      </c>
      <c r="W796" s="60">
        <f t="shared" si="251"/>
        <v>0.16349431578512491</v>
      </c>
      <c r="X796" s="60">
        <f t="shared" si="248"/>
        <v>0.16349431578512491</v>
      </c>
      <c r="Y796" s="60">
        <f t="shared" si="249"/>
        <v>0.50519743577603593</v>
      </c>
      <c r="Z796" s="79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x14ac:dyDescent="0.3">
      <c r="A797" s="55">
        <v>3</v>
      </c>
      <c r="B797" s="60" t="s">
        <v>113</v>
      </c>
      <c r="C797" s="60">
        <f t="shared" si="234"/>
        <v>794</v>
      </c>
      <c r="D797" s="60">
        <f t="shared" si="242"/>
        <v>25.747870000000006</v>
      </c>
      <c r="E797" s="60">
        <f>E796+0.8</f>
        <v>11.510000000000002</v>
      </c>
      <c r="F797" s="89">
        <f>($C$4/E797)+F796</f>
        <v>103.55535948113473</v>
      </c>
      <c r="G797" s="60">
        <f t="shared" si="254"/>
        <v>5000</v>
      </c>
      <c r="H797" s="60">
        <v>3</v>
      </c>
      <c r="I797" s="89">
        <f>E797-E796</f>
        <v>0.80000000000000071</v>
      </c>
      <c r="J797" s="60">
        <f>(0.5*VEHICLE!$C$71*VEHICLE!$C$28*VEHICLE!$C$27*'Drive Cycle'!E797^2)</f>
        <v>117.85484012841003</v>
      </c>
      <c r="K797" s="60">
        <f>IF(A797=1,VEHICLE!$S$5,IF(A797=2,VEHICLE!$Q$5,IF(A797=3,VEHICLE!$R$5,IF(A797=4,VEHICLE!$P$5,1))))</f>
        <v>556.55073000000004</v>
      </c>
      <c r="L797" s="60">
        <f t="shared" si="235"/>
        <v>2.5</v>
      </c>
      <c r="M797" s="60">
        <f t="shared" si="250"/>
        <v>0</v>
      </c>
      <c r="N797" s="60">
        <f t="shared" si="243"/>
        <v>0</v>
      </c>
      <c r="O797" s="60">
        <f t="shared" si="244"/>
        <v>0</v>
      </c>
      <c r="P797" s="60">
        <f t="shared" si="245"/>
        <v>674.40557012841009</v>
      </c>
      <c r="Q797" s="60">
        <f>IF(H797=1,I797*VEHICLE!$C$69,IF(H797=2,VEHICLE!$C$70*I797,IF(H797=3,VEHICLE!$C$71*I797,0)))</f>
        <v>0.93360000000000087</v>
      </c>
      <c r="R797" s="60">
        <f>(J797+K797+O797+Q797)</f>
        <v>675.33917012841005</v>
      </c>
      <c r="S797" s="60">
        <f t="shared" si="246"/>
        <v>675.33917012841005</v>
      </c>
      <c r="T797" s="60">
        <f>ABS((R797)/((2*PI()*G797)/60))</f>
        <v>1.2898028062741791</v>
      </c>
      <c r="U797" s="60">
        <f t="shared" si="247"/>
        <v>2</v>
      </c>
      <c r="V797" s="60">
        <f>INDEX(BSFC!$D$4:$AD$26,MATCH(U797,BSFC!$B$4:$B$26,0),MATCH(G797,BSFC!$D$2:$AD$2,0))</f>
        <v>881.19835871999999</v>
      </c>
      <c r="W797" s="60">
        <f t="shared" si="251"/>
        <v>0.16530771341568939</v>
      </c>
      <c r="X797" s="60">
        <f t="shared" si="248"/>
        <v>0.16530771341568939</v>
      </c>
      <c r="Y797" s="60">
        <f t="shared" si="249"/>
        <v>0.51080083445448021</v>
      </c>
      <c r="Z797" s="79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x14ac:dyDescent="0.3">
      <c r="A798" s="55">
        <v>3</v>
      </c>
      <c r="B798" s="60" t="s">
        <v>113</v>
      </c>
      <c r="C798" s="60">
        <f t="shared" si="234"/>
        <v>795</v>
      </c>
      <c r="D798" s="60">
        <f t="shared" si="242"/>
        <v>27.537470000000006</v>
      </c>
      <c r="E798" s="60">
        <f t="shared" si="255"/>
        <v>12.310000000000002</v>
      </c>
      <c r="F798" s="89">
        <f>($C$4/E798)+F797</f>
        <v>103.63659424961564</v>
      </c>
      <c r="G798" s="60">
        <f t="shared" si="254"/>
        <v>5250</v>
      </c>
      <c r="H798" s="60">
        <v>3</v>
      </c>
      <c r="I798" s="89">
        <f>E798-E797</f>
        <v>0.80000000000000071</v>
      </c>
      <c r="J798" s="60">
        <f>(0.5*VEHICLE!$C$71*VEHICLE!$C$28*VEHICLE!$C$27*'Drive Cycle'!E798^2)</f>
        <v>134.80713585801004</v>
      </c>
      <c r="K798" s="60">
        <f>IF(A798=1,VEHICLE!$S$5,IF(A798=2,VEHICLE!$Q$5,IF(A798=3,VEHICLE!$R$5,IF(A798=4,VEHICLE!$P$5,1))))</f>
        <v>556.55073000000004</v>
      </c>
      <c r="L798" s="60">
        <f t="shared" si="235"/>
        <v>2.5</v>
      </c>
      <c r="M798" s="60">
        <f t="shared" si="250"/>
        <v>0</v>
      </c>
      <c r="N798" s="60">
        <f t="shared" si="243"/>
        <v>0</v>
      </c>
      <c r="O798" s="60">
        <f t="shared" si="244"/>
        <v>0</v>
      </c>
      <c r="P798" s="60">
        <f t="shared" si="245"/>
        <v>691.35786585801009</v>
      </c>
      <c r="Q798" s="60">
        <f>IF(H798=1,I798*VEHICLE!$C$69,IF(H798=2,VEHICLE!$C$70*I798,IF(H798=3,VEHICLE!$C$71*I798,0)))</f>
        <v>0.93360000000000087</v>
      </c>
      <c r="R798" s="60">
        <f>(J798+K798+O798+Q798)</f>
        <v>692.29146585801004</v>
      </c>
      <c r="S798" s="60">
        <f t="shared" si="246"/>
        <v>692.29146585801004</v>
      </c>
      <c r="T798" s="60">
        <f>ABS((R798)/((2*PI()*G798)/60))</f>
        <v>1.2592183868758446</v>
      </c>
      <c r="U798" s="60">
        <f t="shared" si="247"/>
        <v>2</v>
      </c>
      <c r="V798" s="60">
        <f>INDEX(BSFC!$D$4:$AD$26,MATCH(U798,BSFC!$B$4:$B$26,0),MATCH(G798,BSFC!$D$2:$AD$2,0))</f>
        <v>873.71643872000004</v>
      </c>
      <c r="W798" s="60">
        <f t="shared" si="251"/>
        <v>0.16801845391825254</v>
      </c>
      <c r="X798" s="60">
        <f t="shared" si="248"/>
        <v>0.16801845391825254</v>
      </c>
      <c r="Y798" s="60">
        <f t="shared" si="249"/>
        <v>0.51917702260740028</v>
      </c>
      <c r="Z798" s="79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x14ac:dyDescent="0.3">
      <c r="A799" s="55">
        <v>3</v>
      </c>
      <c r="B799" s="60" t="s">
        <v>113</v>
      </c>
      <c r="C799" s="60">
        <f t="shared" si="234"/>
        <v>796</v>
      </c>
      <c r="D799" s="60">
        <f t="shared" si="242"/>
        <v>29.32707000000001</v>
      </c>
      <c r="E799" s="60">
        <f t="shared" si="255"/>
        <v>13.110000000000003</v>
      </c>
      <c r="F799" s="89">
        <f>($C$4/E799)+F798</f>
        <v>103.71287190026401</v>
      </c>
      <c r="G799" s="60">
        <f t="shared" si="254"/>
        <v>5500</v>
      </c>
      <c r="H799" s="60">
        <v>3</v>
      </c>
      <c r="I799" s="89">
        <f>E799-E798</f>
        <v>0.80000000000000071</v>
      </c>
      <c r="J799" s="60">
        <f>(0.5*VEHICLE!$C$71*VEHICLE!$C$28*VEHICLE!$C$27*'Drive Cycle'!E799^2)</f>
        <v>152.89812483561005</v>
      </c>
      <c r="K799" s="60">
        <f>IF(A799=1,VEHICLE!$S$5,IF(A799=2,VEHICLE!$Q$5,IF(A799=3,VEHICLE!$R$5,IF(A799=4,VEHICLE!$P$5,1))))</f>
        <v>556.55073000000004</v>
      </c>
      <c r="L799" s="60">
        <f>L798-0.3</f>
        <v>2.2000000000000002</v>
      </c>
      <c r="M799" s="60">
        <f t="shared" si="250"/>
        <v>-0.29999999999999982</v>
      </c>
      <c r="N799" s="60">
        <f t="shared" si="243"/>
        <v>-16.699244233993614</v>
      </c>
      <c r="O799" s="60">
        <f t="shared" si="244"/>
        <v>-124.03084132585728</v>
      </c>
      <c r="P799" s="60">
        <f t="shared" si="245"/>
        <v>585.41801350975277</v>
      </c>
      <c r="Q799" s="60">
        <f>IF(H799=1,I799*VEHICLE!$C$69,IF(H799=2,VEHICLE!$C$70*I799,IF(H799=3,VEHICLE!$C$71*I799,0)))</f>
        <v>0.93360000000000087</v>
      </c>
      <c r="R799" s="60">
        <f>(J799+K799+O799+Q799)</f>
        <v>586.35161350975272</v>
      </c>
      <c r="S799" s="60">
        <f t="shared" si="246"/>
        <v>586.35161350975272</v>
      </c>
      <c r="T799" s="60">
        <f>ABS((R799)/((2*PI()*G799)/60))</f>
        <v>1.018044629236208</v>
      </c>
      <c r="U799" s="60">
        <f t="shared" si="247"/>
        <v>2</v>
      </c>
      <c r="V799" s="60">
        <f>INDEX(BSFC!$D$4:$AD$26,MATCH(U799,BSFC!$B$4:$B$26,0),MATCH(G799,BSFC!$D$2:$AD$2,0))</f>
        <v>862.35014976000002</v>
      </c>
      <c r="W799" s="60">
        <f t="shared" si="251"/>
        <v>0.14045566714504246</v>
      </c>
      <c r="X799" s="60">
        <f t="shared" si="248"/>
        <v>0.14045566714504246</v>
      </c>
      <c r="Y799" s="60">
        <f t="shared" si="249"/>
        <v>0.43400801147818119</v>
      </c>
      <c r="Z799" s="79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x14ac:dyDescent="0.3">
      <c r="A800" s="55">
        <v>3</v>
      </c>
      <c r="B800" s="60" t="s">
        <v>113</v>
      </c>
      <c r="C800" s="60">
        <f t="shared" si="234"/>
        <v>797</v>
      </c>
      <c r="D800" s="60">
        <f t="shared" si="242"/>
        <v>29.998170000000002</v>
      </c>
      <c r="E800" s="60">
        <v>13.41</v>
      </c>
      <c r="F800" s="89">
        <f>($C$4/E800)+F799</f>
        <v>103.78744311577482</v>
      </c>
      <c r="G800" s="60">
        <f>G799+250</f>
        <v>5750</v>
      </c>
      <c r="H800" s="60">
        <v>3</v>
      </c>
      <c r="I800" s="89">
        <f>E800-E799</f>
        <v>0.29999999999999716</v>
      </c>
      <c r="J800" s="60">
        <f>(0.5*VEHICLE!$C$71*VEHICLE!$C$28*VEHICLE!$C$27*'Drive Cycle'!E800^2)</f>
        <v>159.97581505520998</v>
      </c>
      <c r="K800" s="60">
        <f>IF(A800=1,VEHICLE!$S$5,IF(A800=2,VEHICLE!$Q$5,IF(A800=3,VEHICLE!$R$5,IF(A800=4,VEHICLE!$P$5,1))))</f>
        <v>556.55073000000004</v>
      </c>
      <c r="L800" s="60">
        <f t="shared" ref="L800:L806" si="256">L799-0.3</f>
        <v>1.9000000000000001</v>
      </c>
      <c r="M800" s="60">
        <f t="shared" si="250"/>
        <v>-0.30000000000000004</v>
      </c>
      <c r="N800" s="60">
        <f t="shared" si="243"/>
        <v>-16.699244233993625</v>
      </c>
      <c r="O800" s="60">
        <f t="shared" si="244"/>
        <v>-124.03084132585738</v>
      </c>
      <c r="P800" s="60">
        <f t="shared" si="245"/>
        <v>592.49570372935261</v>
      </c>
      <c r="Q800" s="60">
        <f>IF(H800=1,I800*VEHICLE!$C$69,IF(H800=2,VEHICLE!$C$70*I800,IF(H800=3,VEHICLE!$C$71*I800,0)))</f>
        <v>0.35009999999999669</v>
      </c>
      <c r="R800" s="60">
        <f>(J800+K800+O800+Q800)</f>
        <v>592.84580372935261</v>
      </c>
      <c r="S800" s="60">
        <f t="shared" si="246"/>
        <v>592.84580372935261</v>
      </c>
      <c r="T800" s="60">
        <f>ABS((R800)/((2*PI()*G800)/60))</f>
        <v>0.98456702770240756</v>
      </c>
      <c r="U800" s="60">
        <f t="shared" si="247"/>
        <v>1</v>
      </c>
      <c r="V800" s="60">
        <f>INDEX(BSFC!$D$4:$AD$26,MATCH(U800,BSFC!$B$4:$B$26,0),MATCH(G800,BSFC!$D$2:$AD$2,0))</f>
        <v>963.78871919999995</v>
      </c>
      <c r="W800" s="60">
        <f t="shared" si="251"/>
        <v>0.1587161382942798</v>
      </c>
      <c r="X800" s="60">
        <f t="shared" si="248"/>
        <v>0.1587161382942798</v>
      </c>
      <c r="Y800" s="60">
        <f t="shared" si="249"/>
        <v>0.49043286732932456</v>
      </c>
      <c r="Z800" s="79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x14ac:dyDescent="0.3">
      <c r="A801" s="55">
        <v>3</v>
      </c>
      <c r="B801" s="60" t="s">
        <v>113</v>
      </c>
      <c r="C801" s="60">
        <f t="shared" si="234"/>
        <v>798</v>
      </c>
      <c r="D801" s="60">
        <f t="shared" si="242"/>
        <v>29.998170000000002</v>
      </c>
      <c r="E801" s="60">
        <v>13.41</v>
      </c>
      <c r="F801" s="89">
        <f>($C$4/E801)+F800</f>
        <v>103.86201433128564</v>
      </c>
      <c r="G801" s="60">
        <f t="shared" si="254"/>
        <v>6000</v>
      </c>
      <c r="H801" s="60">
        <v>3</v>
      </c>
      <c r="I801" s="89">
        <f>E801-E800</f>
        <v>0</v>
      </c>
      <c r="J801" s="60">
        <f>(0.5*VEHICLE!$C$71*VEHICLE!$C$28*VEHICLE!$C$27*'Drive Cycle'!E801^2)</f>
        <v>159.97581505520998</v>
      </c>
      <c r="K801" s="60">
        <f>IF(A801=1,VEHICLE!$S$5,IF(A801=2,VEHICLE!$Q$5,IF(A801=3,VEHICLE!$R$5,IF(A801=4,VEHICLE!$P$5,1))))</f>
        <v>556.55073000000004</v>
      </c>
      <c r="L801" s="60">
        <f t="shared" si="256"/>
        <v>1.6</v>
      </c>
      <c r="M801" s="60">
        <f t="shared" si="250"/>
        <v>-0.30000000000000004</v>
      </c>
      <c r="N801" s="60">
        <f t="shared" si="243"/>
        <v>-16.699244233993625</v>
      </c>
      <c r="O801" s="60">
        <f t="shared" si="244"/>
        <v>-124.03084132585738</v>
      </c>
      <c r="P801" s="60">
        <f t="shared" si="245"/>
        <v>592.49570372935261</v>
      </c>
      <c r="Q801" s="60">
        <f>IF(H801=1,I801*VEHICLE!$C$69,IF(H801=2,VEHICLE!$C$70*I801,IF(H801=3,VEHICLE!$C$71*I801,0)))</f>
        <v>0</v>
      </c>
      <c r="R801" s="60">
        <f>(J801+K801+O801+Q801)</f>
        <v>592.49570372935261</v>
      </c>
      <c r="S801" s="60">
        <f t="shared" si="246"/>
        <v>592.49570372935261</v>
      </c>
      <c r="T801" s="60">
        <f>ABS((R801)/((2*PI()*G801)/60))</f>
        <v>0.94298620009237588</v>
      </c>
      <c r="U801" s="60">
        <f t="shared" si="247"/>
        <v>1</v>
      </c>
      <c r="V801" s="60">
        <f>INDEX(BSFC!$D$4:$AD$26,MATCH(U801,BSFC!$B$4:$B$26,0),MATCH(G801,BSFC!$D$2:$AD$2,0))</f>
        <v>933.91499472000044</v>
      </c>
      <c r="W801" s="60">
        <f t="shared" si="251"/>
        <v>0.15370572833889479</v>
      </c>
      <c r="X801" s="60">
        <f t="shared" si="248"/>
        <v>0.15370572833889479</v>
      </c>
      <c r="Y801" s="60">
        <f t="shared" si="249"/>
        <v>0.47495070056718486</v>
      </c>
      <c r="Z801" s="79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x14ac:dyDescent="0.3">
      <c r="A802" s="55">
        <v>3</v>
      </c>
      <c r="B802" s="60" t="s">
        <v>113</v>
      </c>
      <c r="C802" s="60">
        <f t="shared" si="234"/>
        <v>799</v>
      </c>
      <c r="D802" s="60">
        <f t="shared" si="242"/>
        <v>29.998170000000002</v>
      </c>
      <c r="E802" s="60">
        <v>13.41</v>
      </c>
      <c r="F802" s="89">
        <f>($C$4/E802)+F801</f>
        <v>103.93658554679645</v>
      </c>
      <c r="G802" s="60">
        <f t="shared" si="254"/>
        <v>6250</v>
      </c>
      <c r="H802" s="60">
        <v>3</v>
      </c>
      <c r="I802" s="89">
        <f>E802-E801</f>
        <v>0</v>
      </c>
      <c r="J802" s="60">
        <f>(0.5*VEHICLE!$C$71*VEHICLE!$C$28*VEHICLE!$C$27*'Drive Cycle'!E802^2)</f>
        <v>159.97581505520998</v>
      </c>
      <c r="K802" s="60">
        <f>IF(A802=1,VEHICLE!$S$5,IF(A802=2,VEHICLE!$Q$5,IF(A802=3,VEHICLE!$R$5,IF(A802=4,VEHICLE!$P$5,1))))</f>
        <v>556.55073000000004</v>
      </c>
      <c r="L802" s="60">
        <f t="shared" si="256"/>
        <v>1.3</v>
      </c>
      <c r="M802" s="60">
        <f t="shared" si="250"/>
        <v>-0.30000000000000004</v>
      </c>
      <c r="N802" s="60">
        <f t="shared" si="243"/>
        <v>-16.699244233993625</v>
      </c>
      <c r="O802" s="60">
        <f t="shared" si="244"/>
        <v>-124.03084132585738</v>
      </c>
      <c r="P802" s="60">
        <f t="shared" si="245"/>
        <v>592.49570372935261</v>
      </c>
      <c r="Q802" s="60">
        <f>IF(H802=1,I802*VEHICLE!$C$69,IF(H802=2,VEHICLE!$C$70*I802,IF(H802=3,VEHICLE!$C$71*I802,0)))</f>
        <v>0</v>
      </c>
      <c r="R802" s="60">
        <f>(J802+K802+O802+Q802)</f>
        <v>592.49570372935261</v>
      </c>
      <c r="S802" s="60">
        <f t="shared" si="246"/>
        <v>592.49570372935261</v>
      </c>
      <c r="T802" s="60">
        <f>ABS((R802)/((2*PI()*G802)/60))</f>
        <v>0.90526675208868101</v>
      </c>
      <c r="U802" s="60">
        <f t="shared" si="247"/>
        <v>1</v>
      </c>
      <c r="V802" s="60">
        <f>INDEX(BSFC!$D$4:$AD$26,MATCH(U802,BSFC!$B$4:$B$26,0),MATCH(G802,BSFC!$D$2:$AD$2,0))</f>
        <v>964.16094472000054</v>
      </c>
      <c r="W802" s="60">
        <f t="shared" si="251"/>
        <v>0.15868367151395393</v>
      </c>
      <c r="X802" s="60">
        <f t="shared" si="248"/>
        <v>0.15868367151395393</v>
      </c>
      <c r="Y802" s="60">
        <f t="shared" si="249"/>
        <v>0.49033254497811762</v>
      </c>
      <c r="Z802" s="79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x14ac:dyDescent="0.3">
      <c r="A803" s="55">
        <v>3</v>
      </c>
      <c r="B803" s="60" t="s">
        <v>113</v>
      </c>
      <c r="C803" s="60">
        <f t="shared" si="234"/>
        <v>800</v>
      </c>
      <c r="D803" s="60">
        <f t="shared" si="242"/>
        <v>29.998170000000002</v>
      </c>
      <c r="E803" s="60">
        <v>13.41</v>
      </c>
      <c r="F803" s="89">
        <f>($C$4/E803)+F802</f>
        <v>104.01115676230727</v>
      </c>
      <c r="G803" s="60">
        <f>G802+250</f>
        <v>6500</v>
      </c>
      <c r="H803" s="60">
        <v>3</v>
      </c>
      <c r="I803" s="89">
        <f>E803-E802</f>
        <v>0</v>
      </c>
      <c r="J803" s="60">
        <f>(0.5*VEHICLE!$C$71*VEHICLE!$C$28*VEHICLE!$C$27*'Drive Cycle'!E803^2)</f>
        <v>159.97581505520998</v>
      </c>
      <c r="K803" s="60">
        <f>IF(A803=1,VEHICLE!$S$5,IF(A803=2,VEHICLE!$Q$5,IF(A803=3,VEHICLE!$R$5,IF(A803=4,VEHICLE!$P$5,1))))</f>
        <v>556.55073000000004</v>
      </c>
      <c r="L803" s="60">
        <f t="shared" si="256"/>
        <v>1</v>
      </c>
      <c r="M803" s="60">
        <f t="shared" si="250"/>
        <v>-0.30000000000000004</v>
      </c>
      <c r="N803" s="60">
        <f t="shared" si="243"/>
        <v>-16.699244233993625</v>
      </c>
      <c r="O803" s="60">
        <f t="shared" si="244"/>
        <v>-124.03084132585738</v>
      </c>
      <c r="P803" s="60">
        <f t="shared" si="245"/>
        <v>592.49570372935261</v>
      </c>
      <c r="Q803" s="60">
        <f>IF(H803=1,I803*VEHICLE!$C$69,IF(H803=2,VEHICLE!$C$70*I803,IF(H803=3,VEHICLE!$C$71*I803,0)))</f>
        <v>0</v>
      </c>
      <c r="R803" s="60">
        <f>(J803+K803+O803+Q803)</f>
        <v>592.49570372935261</v>
      </c>
      <c r="S803" s="60">
        <f t="shared" si="246"/>
        <v>592.49570372935261</v>
      </c>
      <c r="T803" s="60">
        <f>ABS((R803)/((2*PI()*G803)/60))</f>
        <v>0.87044880008527004</v>
      </c>
      <c r="U803" s="60">
        <f t="shared" si="247"/>
        <v>1</v>
      </c>
      <c r="V803" s="60">
        <f>INDEX(BSFC!$D$4:$AD$26,MATCH(U803,BSFC!$B$4:$B$26,0),MATCH(G803,BSFC!$D$2:$AD$2,0))</f>
        <v>925.65735288000019</v>
      </c>
      <c r="W803" s="60">
        <f t="shared" si="251"/>
        <v>0.15234666797413485</v>
      </c>
      <c r="X803" s="60">
        <f t="shared" si="248"/>
        <v>0.15234666797413485</v>
      </c>
      <c r="Y803" s="60">
        <f t="shared" si="249"/>
        <v>0.47075120404007664</v>
      </c>
      <c r="Z803" s="79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x14ac:dyDescent="0.3">
      <c r="A804" s="55">
        <v>3</v>
      </c>
      <c r="B804" s="60" t="s">
        <v>113</v>
      </c>
      <c r="C804" s="60">
        <f t="shared" si="234"/>
        <v>801</v>
      </c>
      <c r="D804" s="60">
        <f t="shared" si="242"/>
        <v>29.998170000000002</v>
      </c>
      <c r="E804" s="60">
        <v>13.41</v>
      </c>
      <c r="F804" s="89">
        <f>($C$4/E804)+F803</f>
        <v>104.08572797781808</v>
      </c>
      <c r="G804" s="60">
        <f t="shared" si="254"/>
        <v>6750</v>
      </c>
      <c r="H804" s="60">
        <v>3</v>
      </c>
      <c r="I804" s="89">
        <f>E804-E803</f>
        <v>0</v>
      </c>
      <c r="J804" s="60">
        <f>(0.5*VEHICLE!$C$71*VEHICLE!$C$28*VEHICLE!$C$27*'Drive Cycle'!E804^2)</f>
        <v>159.97581505520998</v>
      </c>
      <c r="K804" s="60">
        <f>IF(A804=1,VEHICLE!$S$5,IF(A804=2,VEHICLE!$Q$5,IF(A804=3,VEHICLE!$R$5,IF(A804=4,VEHICLE!$P$5,1))))</f>
        <v>556.55073000000004</v>
      </c>
      <c r="L804" s="60">
        <f>L803-0.3</f>
        <v>0.7</v>
      </c>
      <c r="M804" s="60">
        <f t="shared" si="250"/>
        <v>-0.30000000000000004</v>
      </c>
      <c r="N804" s="60">
        <f t="shared" si="243"/>
        <v>-16.699244233993625</v>
      </c>
      <c r="O804" s="60">
        <f t="shared" si="244"/>
        <v>-124.03084132585738</v>
      </c>
      <c r="P804" s="60">
        <f t="shared" si="245"/>
        <v>592.49570372935261</v>
      </c>
      <c r="Q804" s="60">
        <f>IF(H804=1,I804*VEHICLE!$C$69,IF(H804=2,VEHICLE!$C$70*I804,IF(H804=3,VEHICLE!$C$71*I804,0)))</f>
        <v>0</v>
      </c>
      <c r="R804" s="60">
        <f>(J804+K804+O804+Q804)</f>
        <v>592.49570372935261</v>
      </c>
      <c r="S804" s="60">
        <f t="shared" si="246"/>
        <v>592.49570372935261</v>
      </c>
      <c r="T804" s="60">
        <f>ABS((R804)/((2*PI()*G804)/60))</f>
        <v>0.83820995563766754</v>
      </c>
      <c r="U804" s="60">
        <f t="shared" si="247"/>
        <v>1</v>
      </c>
      <c r="V804" s="60">
        <f>INDEX(BSFC!$D$4:$AD$26,MATCH(U804,BSFC!$B$4:$B$26,0),MATCH(G804,BSFC!$D$2:$AD$2,0))</f>
        <v>945.22735288000013</v>
      </c>
      <c r="W804" s="60">
        <f t="shared" si="251"/>
        <v>0.15556754045246357</v>
      </c>
      <c r="X804" s="60">
        <f t="shared" si="248"/>
        <v>0.15556754045246357</v>
      </c>
      <c r="Y804" s="60">
        <f t="shared" si="249"/>
        <v>0.48070369999811241</v>
      </c>
      <c r="Z804" s="79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x14ac:dyDescent="0.3">
      <c r="A805" s="55">
        <v>3</v>
      </c>
      <c r="B805" s="60" t="s">
        <v>113</v>
      </c>
      <c r="C805" s="60">
        <f t="shared" si="234"/>
        <v>802</v>
      </c>
      <c r="D805" s="60">
        <f t="shared" si="242"/>
        <v>29.998170000000002</v>
      </c>
      <c r="E805" s="60">
        <v>13.41</v>
      </c>
      <c r="F805" s="89">
        <f>($C$4/E805)+F804</f>
        <v>104.1602991933289</v>
      </c>
      <c r="G805" s="60">
        <f t="shared" si="254"/>
        <v>7000</v>
      </c>
      <c r="H805" s="60">
        <v>3</v>
      </c>
      <c r="I805" s="89">
        <f>E805-E804</f>
        <v>0</v>
      </c>
      <c r="J805" s="60">
        <f>(0.5*VEHICLE!$C$71*VEHICLE!$C$28*VEHICLE!$C$27*'Drive Cycle'!E805^2)</f>
        <v>159.97581505520998</v>
      </c>
      <c r="K805" s="60">
        <f>IF(A805=1,VEHICLE!$S$5,IF(A805=2,VEHICLE!$Q$5,IF(A805=3,VEHICLE!$R$5,IF(A805=4,VEHICLE!$P$5,1))))</f>
        <v>556.55073000000004</v>
      </c>
      <c r="L805" s="60">
        <f t="shared" si="256"/>
        <v>0.39999999999999997</v>
      </c>
      <c r="M805" s="60">
        <f t="shared" si="250"/>
        <v>-0.3</v>
      </c>
      <c r="N805" s="60">
        <f t="shared" si="243"/>
        <v>-16.699244233993621</v>
      </c>
      <c r="O805" s="60">
        <f t="shared" si="244"/>
        <v>-124.03084132585735</v>
      </c>
      <c r="P805" s="60">
        <f t="shared" si="245"/>
        <v>592.49570372935273</v>
      </c>
      <c r="Q805" s="60">
        <f>IF(H805=1,I805*VEHICLE!$C$69,IF(H805=2,VEHICLE!$C$70*I805,IF(H805=3,VEHICLE!$C$71*I805,0)))</f>
        <v>0</v>
      </c>
      <c r="R805" s="60">
        <f>(J805+K805+O805+Q805)</f>
        <v>592.49570372935273</v>
      </c>
      <c r="S805" s="60">
        <f t="shared" si="246"/>
        <v>592.49570372935273</v>
      </c>
      <c r="T805" s="60">
        <f>ABS((R805)/((2*PI()*G805)/60))</f>
        <v>0.80827388579346537</v>
      </c>
      <c r="U805" s="60">
        <f t="shared" si="247"/>
        <v>1</v>
      </c>
      <c r="V805" s="60">
        <f>INDEX(BSFC!$D$4:$AD$26,MATCH(U805,BSFC!$B$4:$B$26,0),MATCH(G805,BSFC!$D$2:$AD$2,0))</f>
        <v>920.25590927999997</v>
      </c>
      <c r="W805" s="60">
        <f t="shared" si="251"/>
        <v>0.15145768682776359</v>
      </c>
      <c r="X805" s="60">
        <f t="shared" si="248"/>
        <v>0.15145768682776359</v>
      </c>
      <c r="Y805" s="60">
        <f t="shared" si="249"/>
        <v>0.46800425229778947</v>
      </c>
      <c r="Z805" s="79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x14ac:dyDescent="0.3">
      <c r="A806" s="55">
        <v>3</v>
      </c>
      <c r="B806" s="60" t="s">
        <v>113</v>
      </c>
      <c r="C806" s="60">
        <f t="shared" si="234"/>
        <v>803</v>
      </c>
      <c r="D806" s="60">
        <f t="shared" si="242"/>
        <v>29.998170000000002</v>
      </c>
      <c r="E806" s="60">
        <v>13.41</v>
      </c>
      <c r="F806" s="89">
        <f>($C$4/E806)+F805</f>
        <v>104.23487040883971</v>
      </c>
      <c r="G806" s="60">
        <f t="shared" ref="G806:G823" si="257">G805</f>
        <v>7000</v>
      </c>
      <c r="H806" s="60">
        <v>3</v>
      </c>
      <c r="I806" s="89">
        <f>E806-E805</f>
        <v>0</v>
      </c>
      <c r="J806" s="60">
        <f>(0.5*VEHICLE!$C$71*VEHICLE!$C$28*VEHICLE!$C$27*'Drive Cycle'!E806^2)</f>
        <v>159.97581505520998</v>
      </c>
      <c r="K806" s="60">
        <f>IF(A806=1,VEHICLE!$S$5,IF(A806=2,VEHICLE!$Q$5,IF(A806=3,VEHICLE!$R$5,IF(A806=4,VEHICLE!$P$5,1))))</f>
        <v>556.55073000000004</v>
      </c>
      <c r="L806" s="60">
        <f t="shared" si="256"/>
        <v>9.9999999999999978E-2</v>
      </c>
      <c r="M806" s="60">
        <f t="shared" si="250"/>
        <v>-0.3</v>
      </c>
      <c r="N806" s="60">
        <f t="shared" si="243"/>
        <v>-16.699244233993621</v>
      </c>
      <c r="O806" s="60">
        <f t="shared" si="244"/>
        <v>-124.03084132585735</v>
      </c>
      <c r="P806" s="60">
        <f t="shared" si="245"/>
        <v>592.49570372935273</v>
      </c>
      <c r="Q806" s="60">
        <f>IF(H806=1,I806*VEHICLE!$C$69,IF(H806=2,VEHICLE!$C$70*I806,IF(H806=3,VEHICLE!$C$71*I806,0)))</f>
        <v>0</v>
      </c>
      <c r="R806" s="60">
        <f>(J806+K806+O806+Q806)</f>
        <v>592.49570372935273</v>
      </c>
      <c r="S806" s="60">
        <f t="shared" si="246"/>
        <v>592.49570372935273</v>
      </c>
      <c r="T806" s="60">
        <f>ABS((R806)/((2*PI()*G806)/60))</f>
        <v>0.80827388579346537</v>
      </c>
      <c r="U806" s="60">
        <f t="shared" si="247"/>
        <v>1</v>
      </c>
      <c r="V806" s="60">
        <f>INDEX(BSFC!$D$4:$AD$26,MATCH(U806,BSFC!$B$4:$B$26,0),MATCH(G806,BSFC!$D$2:$AD$2,0))</f>
        <v>920.25590927999997</v>
      </c>
      <c r="W806" s="60">
        <f t="shared" si="251"/>
        <v>0.15145768682776359</v>
      </c>
      <c r="X806" s="60">
        <f t="shared" si="248"/>
        <v>0.15145768682776359</v>
      </c>
      <c r="Y806" s="60">
        <f t="shared" si="249"/>
        <v>0.46800425229778947</v>
      </c>
      <c r="Z806" s="79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x14ac:dyDescent="0.3">
      <c r="A807" s="55">
        <v>3</v>
      </c>
      <c r="B807" s="60" t="s">
        <v>113</v>
      </c>
      <c r="C807" s="60">
        <f t="shared" si="234"/>
        <v>804</v>
      </c>
      <c r="D807" s="60">
        <f t="shared" si="242"/>
        <v>29.998170000000002</v>
      </c>
      <c r="E807" s="60">
        <v>13.41</v>
      </c>
      <c r="F807" s="89">
        <f>($C$4/E807)+F806</f>
        <v>104.30944162435053</v>
      </c>
      <c r="G807" s="60">
        <f t="shared" si="257"/>
        <v>7000</v>
      </c>
      <c r="H807" s="60">
        <v>3</v>
      </c>
      <c r="I807" s="89">
        <f>E807-E806</f>
        <v>0</v>
      </c>
      <c r="J807" s="60">
        <f>(0.5*VEHICLE!$C$71*VEHICLE!$C$28*VEHICLE!$C$27*'Drive Cycle'!E807^2)</f>
        <v>159.97581505520998</v>
      </c>
      <c r="K807" s="60">
        <f>IF(A807=1,VEHICLE!$S$5,IF(A807=2,VEHICLE!$Q$5,IF(A807=3,VEHICLE!$R$5,IF(A807=4,VEHICLE!$P$5,1))))</f>
        <v>556.55073000000004</v>
      </c>
      <c r="L807" s="60">
        <v>0</v>
      </c>
      <c r="M807" s="60">
        <f t="shared" si="250"/>
        <v>-9.9999999999999978E-2</v>
      </c>
      <c r="N807" s="60">
        <f t="shared" si="243"/>
        <v>-5.7105931374996421</v>
      </c>
      <c r="O807" s="60">
        <f t="shared" si="244"/>
        <v>-42.949785278223978</v>
      </c>
      <c r="P807" s="60">
        <f t="shared" si="245"/>
        <v>673.57675977698602</v>
      </c>
      <c r="Q807" s="60">
        <f>IF(H807=1,I807*VEHICLE!$C$69,IF(H807=2,VEHICLE!$C$70*I807,IF(H807=3,VEHICLE!$C$71*I807,0)))</f>
        <v>0</v>
      </c>
      <c r="R807" s="60">
        <f>(J807+K807+O807+Q807)</f>
        <v>673.57675977698602</v>
      </c>
      <c r="S807" s="60">
        <f t="shared" si="246"/>
        <v>673.57675977698602</v>
      </c>
      <c r="T807" s="60">
        <f>ABS((R807)/((2*PI()*G807)/60))</f>
        <v>0.91888346460282411</v>
      </c>
      <c r="U807" s="60">
        <f t="shared" si="247"/>
        <v>1</v>
      </c>
      <c r="V807" s="60">
        <f>INDEX(BSFC!$D$4:$AD$26,MATCH(U807,BSFC!$B$4:$B$26,0),MATCH(G807,BSFC!$D$2:$AD$2,0))</f>
        <v>920.25590927999997</v>
      </c>
      <c r="W807" s="60">
        <f t="shared" si="251"/>
        <v>0.17218416487179067</v>
      </c>
      <c r="X807" s="60">
        <f t="shared" si="248"/>
        <v>0.17218416487179067</v>
      </c>
      <c r="Y807" s="60">
        <f t="shared" si="249"/>
        <v>0.53204906945383312</v>
      </c>
      <c r="Z807" s="79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x14ac:dyDescent="0.3">
      <c r="A808" s="55">
        <v>3</v>
      </c>
      <c r="B808" s="60" t="s">
        <v>113</v>
      </c>
      <c r="C808" s="60">
        <f t="shared" ref="C808:C871" si="258">C807+1</f>
        <v>805</v>
      </c>
      <c r="D808" s="60">
        <f t="shared" si="242"/>
        <v>29.998170000000002</v>
      </c>
      <c r="E808" s="60">
        <v>13.41</v>
      </c>
      <c r="F808" s="89">
        <f>($C$4/E808)+F807</f>
        <v>104.38401283986134</v>
      </c>
      <c r="G808" s="60">
        <f t="shared" si="257"/>
        <v>7000</v>
      </c>
      <c r="H808" s="60">
        <v>3</v>
      </c>
      <c r="I808" s="89">
        <f>E808-E807</f>
        <v>0</v>
      </c>
      <c r="J808" s="60">
        <f>(0.5*VEHICLE!$C$71*VEHICLE!$C$28*VEHICLE!$C$27*'Drive Cycle'!E808^2)</f>
        <v>159.97581505520998</v>
      </c>
      <c r="K808" s="60">
        <f>IF(A808=1,VEHICLE!$S$5,IF(A808=2,VEHICLE!$Q$5,IF(A808=3,VEHICLE!$R$5,IF(A808=4,VEHICLE!$P$5,1))))</f>
        <v>556.55073000000004</v>
      </c>
      <c r="L808" s="60">
        <v>0</v>
      </c>
      <c r="M808" s="60">
        <f t="shared" si="250"/>
        <v>0</v>
      </c>
      <c r="N808" s="60">
        <f t="shared" si="243"/>
        <v>0</v>
      </c>
      <c r="O808" s="60">
        <f t="shared" si="244"/>
        <v>0</v>
      </c>
      <c r="P808" s="60">
        <f t="shared" si="245"/>
        <v>716.52654505521002</v>
      </c>
      <c r="Q808" s="60">
        <f>IF(H808=1,I808*VEHICLE!$C$69,IF(H808=2,VEHICLE!$C$70*I808,IF(H808=3,VEHICLE!$C$71*I808,0)))</f>
        <v>0</v>
      </c>
      <c r="R808" s="60">
        <f>(J808+K808+O808+Q808)</f>
        <v>716.52654505521002</v>
      </c>
      <c r="S808" s="60">
        <f t="shared" si="246"/>
        <v>716.52654505521002</v>
      </c>
      <c r="T808" s="60">
        <f>ABS((R808)/((2*PI()*G808)/60))</f>
        <v>0.97747492716080864</v>
      </c>
      <c r="U808" s="60">
        <f t="shared" si="247"/>
        <v>1</v>
      </c>
      <c r="V808" s="60">
        <f>INDEX(BSFC!$D$4:$AD$26,MATCH(U808,BSFC!$B$4:$B$26,0),MATCH(G808,BSFC!$D$2:$AD$2,0))</f>
        <v>920.25590927999997</v>
      </c>
      <c r="W808" s="60">
        <f t="shared" si="251"/>
        <v>0.18316327423417753</v>
      </c>
      <c r="X808" s="60">
        <f t="shared" si="248"/>
        <v>0.18316327423417753</v>
      </c>
      <c r="Y808" s="60">
        <f t="shared" si="249"/>
        <v>0.56597451738360849</v>
      </c>
      <c r="Z808" s="79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x14ac:dyDescent="0.3">
      <c r="A809" s="55">
        <v>3</v>
      </c>
      <c r="B809" s="60" t="s">
        <v>113</v>
      </c>
      <c r="C809" s="60">
        <f t="shared" si="258"/>
        <v>806</v>
      </c>
      <c r="D809" s="60">
        <f t="shared" si="242"/>
        <v>29.998170000000002</v>
      </c>
      <c r="E809" s="60">
        <v>13.41</v>
      </c>
      <c r="F809" s="89">
        <f>($C$4/E809)+F808</f>
        <v>104.45858405537216</v>
      </c>
      <c r="G809" s="60">
        <f t="shared" si="257"/>
        <v>7000</v>
      </c>
      <c r="H809" s="60">
        <v>3</v>
      </c>
      <c r="I809" s="89">
        <f>E809-E808</f>
        <v>0</v>
      </c>
      <c r="J809" s="60">
        <f>(0.5*VEHICLE!$C$71*VEHICLE!$C$28*VEHICLE!$C$27*'Drive Cycle'!E809^2)</f>
        <v>159.97581505520998</v>
      </c>
      <c r="K809" s="60">
        <f>IF(A809=1,VEHICLE!$S$5,IF(A809=2,VEHICLE!$Q$5,IF(A809=3,VEHICLE!$R$5,IF(A809=4,VEHICLE!$P$5,1))))</f>
        <v>556.55073000000004</v>
      </c>
      <c r="L809" s="60">
        <v>0</v>
      </c>
      <c r="M809" s="60">
        <f t="shared" si="250"/>
        <v>0</v>
      </c>
      <c r="N809" s="60">
        <f t="shared" si="243"/>
        <v>0</v>
      </c>
      <c r="O809" s="60">
        <f t="shared" si="244"/>
        <v>0</v>
      </c>
      <c r="P809" s="60">
        <f t="shared" si="245"/>
        <v>716.52654505521002</v>
      </c>
      <c r="Q809" s="60">
        <f>IF(H809=1,I809*VEHICLE!$C$69,IF(H809=2,VEHICLE!$C$70*I809,IF(H809=3,VEHICLE!$C$71*I809,0)))</f>
        <v>0</v>
      </c>
      <c r="R809" s="60">
        <f>(J809+K809+O809+Q809)</f>
        <v>716.52654505521002</v>
      </c>
      <c r="S809" s="60">
        <f t="shared" si="246"/>
        <v>716.52654505521002</v>
      </c>
      <c r="T809" s="60">
        <f>ABS((R809)/((2*PI()*G809)/60))</f>
        <v>0.97747492716080864</v>
      </c>
      <c r="U809" s="60">
        <f t="shared" si="247"/>
        <v>1</v>
      </c>
      <c r="V809" s="60">
        <f>INDEX(BSFC!$D$4:$AD$26,MATCH(U809,BSFC!$B$4:$B$26,0),MATCH(G809,BSFC!$D$2:$AD$2,0))</f>
        <v>920.25590927999997</v>
      </c>
      <c r="W809" s="60">
        <f t="shared" si="251"/>
        <v>0.18316327423417753</v>
      </c>
      <c r="X809" s="60">
        <f t="shared" si="248"/>
        <v>0.18316327423417753</v>
      </c>
      <c r="Y809" s="60">
        <f t="shared" si="249"/>
        <v>0.56597451738360849</v>
      </c>
      <c r="Z809" s="79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x14ac:dyDescent="0.3">
      <c r="A810" s="55">
        <v>3</v>
      </c>
      <c r="B810" s="60" t="s">
        <v>113</v>
      </c>
      <c r="C810" s="60">
        <f t="shared" si="258"/>
        <v>807</v>
      </c>
      <c r="D810" s="60">
        <f t="shared" si="242"/>
        <v>29.998170000000002</v>
      </c>
      <c r="E810" s="60">
        <v>13.41</v>
      </c>
      <c r="F810" s="89">
        <f>($C$4/E810)+F809</f>
        <v>104.53315527088297</v>
      </c>
      <c r="G810" s="60">
        <f t="shared" si="257"/>
        <v>7000</v>
      </c>
      <c r="H810" s="60">
        <v>3</v>
      </c>
      <c r="I810" s="89">
        <f>E810-E809</f>
        <v>0</v>
      </c>
      <c r="J810" s="60">
        <f>(0.5*VEHICLE!$C$71*VEHICLE!$C$28*VEHICLE!$C$27*'Drive Cycle'!E810^2)</f>
        <v>159.97581505520998</v>
      </c>
      <c r="K810" s="60">
        <f>IF(A810=1,VEHICLE!$S$5,IF(A810=2,VEHICLE!$Q$5,IF(A810=3,VEHICLE!$R$5,IF(A810=4,VEHICLE!$P$5,1))))</f>
        <v>556.55073000000004</v>
      </c>
      <c r="L810" s="60">
        <v>0</v>
      </c>
      <c r="M810" s="60">
        <f t="shared" si="250"/>
        <v>0</v>
      </c>
      <c r="N810" s="60">
        <f t="shared" si="243"/>
        <v>0</v>
      </c>
      <c r="O810" s="60">
        <f t="shared" si="244"/>
        <v>0</v>
      </c>
      <c r="P810" s="60">
        <f t="shared" si="245"/>
        <v>716.52654505521002</v>
      </c>
      <c r="Q810" s="60">
        <f>IF(H810=1,I810*VEHICLE!$C$69,IF(H810=2,VEHICLE!$C$70*I810,IF(H810=3,VEHICLE!$C$71*I810,0)))</f>
        <v>0</v>
      </c>
      <c r="R810" s="60">
        <f>(J810+K810+O810+Q810)</f>
        <v>716.52654505521002</v>
      </c>
      <c r="S810" s="60">
        <f t="shared" si="246"/>
        <v>716.52654505521002</v>
      </c>
      <c r="T810" s="60">
        <f>ABS((R810)/((2*PI()*G810)/60))</f>
        <v>0.97747492716080864</v>
      </c>
      <c r="U810" s="60">
        <f t="shared" si="247"/>
        <v>1</v>
      </c>
      <c r="V810" s="60">
        <f>INDEX(BSFC!$D$4:$AD$26,MATCH(U810,BSFC!$B$4:$B$26,0),MATCH(G810,BSFC!$D$2:$AD$2,0))</f>
        <v>920.25590927999997</v>
      </c>
      <c r="W810" s="60">
        <f t="shared" si="251"/>
        <v>0.18316327423417753</v>
      </c>
      <c r="X810" s="60">
        <f t="shared" si="248"/>
        <v>0.18316327423417753</v>
      </c>
      <c r="Y810" s="60">
        <f t="shared" si="249"/>
        <v>0.56597451738360849</v>
      </c>
      <c r="Z810" s="79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x14ac:dyDescent="0.3">
      <c r="A811" s="55">
        <v>3</v>
      </c>
      <c r="B811" s="60" t="s">
        <v>113</v>
      </c>
      <c r="C811" s="60">
        <f t="shared" si="258"/>
        <v>808</v>
      </c>
      <c r="D811" s="60">
        <f t="shared" si="242"/>
        <v>29.998170000000002</v>
      </c>
      <c r="E811" s="60">
        <v>13.41</v>
      </c>
      <c r="F811" s="89">
        <f>($C$4/E811)+F810</f>
        <v>104.60772648639379</v>
      </c>
      <c r="G811" s="60">
        <f t="shared" si="257"/>
        <v>7000</v>
      </c>
      <c r="H811" s="60">
        <v>3</v>
      </c>
      <c r="I811" s="89">
        <f>E811-E810</f>
        <v>0</v>
      </c>
      <c r="J811" s="60">
        <f>(0.5*VEHICLE!$C$71*VEHICLE!$C$28*VEHICLE!$C$27*'Drive Cycle'!E811^2)</f>
        <v>159.97581505520998</v>
      </c>
      <c r="K811" s="60">
        <f>IF(A811=1,VEHICLE!$S$5,IF(A811=2,VEHICLE!$Q$5,IF(A811=3,VEHICLE!$R$5,IF(A811=4,VEHICLE!$P$5,1))))</f>
        <v>556.55073000000004</v>
      </c>
      <c r="L811" s="60">
        <v>0</v>
      </c>
      <c r="M811" s="60">
        <f t="shared" si="250"/>
        <v>0</v>
      </c>
      <c r="N811" s="60">
        <f t="shared" si="243"/>
        <v>0</v>
      </c>
      <c r="O811" s="60">
        <f t="shared" si="244"/>
        <v>0</v>
      </c>
      <c r="P811" s="60">
        <f t="shared" si="245"/>
        <v>716.52654505521002</v>
      </c>
      <c r="Q811" s="60">
        <f>IF(H811=1,I811*VEHICLE!$C$69,IF(H811=2,VEHICLE!$C$70*I811,IF(H811=3,VEHICLE!$C$71*I811,0)))</f>
        <v>0</v>
      </c>
      <c r="R811" s="60">
        <f>(J811+K811+O811+Q811)</f>
        <v>716.52654505521002</v>
      </c>
      <c r="S811" s="60">
        <f t="shared" si="246"/>
        <v>716.52654505521002</v>
      </c>
      <c r="T811" s="60">
        <f>ABS((R811)/((2*PI()*G811)/60))</f>
        <v>0.97747492716080864</v>
      </c>
      <c r="U811" s="60">
        <f t="shared" si="247"/>
        <v>1</v>
      </c>
      <c r="V811" s="60">
        <f>INDEX(BSFC!$D$4:$AD$26,MATCH(U811,BSFC!$B$4:$B$26,0),MATCH(G811,BSFC!$D$2:$AD$2,0))</f>
        <v>920.25590927999997</v>
      </c>
      <c r="W811" s="60">
        <f t="shared" si="251"/>
        <v>0.18316327423417753</v>
      </c>
      <c r="X811" s="60">
        <f t="shared" si="248"/>
        <v>0.18316327423417753</v>
      </c>
      <c r="Y811" s="60">
        <f t="shared" si="249"/>
        <v>0.56597451738360849</v>
      </c>
      <c r="Z811" s="79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x14ac:dyDescent="0.3">
      <c r="A812" s="55">
        <v>3</v>
      </c>
      <c r="B812" s="60" t="s">
        <v>113</v>
      </c>
      <c r="C812" s="60">
        <f t="shared" si="258"/>
        <v>809</v>
      </c>
      <c r="D812" s="60">
        <f t="shared" si="242"/>
        <v>29.998170000000002</v>
      </c>
      <c r="E812" s="60">
        <v>13.41</v>
      </c>
      <c r="F812" s="89">
        <f>($C$4/E812)+F811</f>
        <v>104.6822977019046</v>
      </c>
      <c r="G812" s="60">
        <f t="shared" si="257"/>
        <v>7000</v>
      </c>
      <c r="H812" s="60">
        <v>3</v>
      </c>
      <c r="I812" s="89">
        <f>E812-E811</f>
        <v>0</v>
      </c>
      <c r="J812" s="60">
        <f>(0.5*VEHICLE!$C$71*VEHICLE!$C$28*VEHICLE!$C$27*'Drive Cycle'!E812^2)</f>
        <v>159.97581505520998</v>
      </c>
      <c r="K812" s="60">
        <f>IF(A812=1,VEHICLE!$S$5,IF(A812=2,VEHICLE!$Q$5,IF(A812=3,VEHICLE!$R$5,IF(A812=4,VEHICLE!$P$5,1))))</f>
        <v>556.55073000000004</v>
      </c>
      <c r="L812" s="60">
        <v>0</v>
      </c>
      <c r="M812" s="60">
        <f t="shared" si="250"/>
        <v>0</v>
      </c>
      <c r="N812" s="60">
        <f t="shared" si="243"/>
        <v>0</v>
      </c>
      <c r="O812" s="60">
        <f t="shared" si="244"/>
        <v>0</v>
      </c>
      <c r="P812" s="60">
        <f t="shared" si="245"/>
        <v>716.52654505521002</v>
      </c>
      <c r="Q812" s="60">
        <f>IF(H812=1,I812*VEHICLE!$C$69,IF(H812=2,VEHICLE!$C$70*I812,IF(H812=3,VEHICLE!$C$71*I812,0)))</f>
        <v>0</v>
      </c>
      <c r="R812" s="60">
        <f>(J812+K812+O812+Q812)</f>
        <v>716.52654505521002</v>
      </c>
      <c r="S812" s="60">
        <f t="shared" si="246"/>
        <v>716.52654505521002</v>
      </c>
      <c r="T812" s="60">
        <f>ABS((R812)/((2*PI()*G812)/60))</f>
        <v>0.97747492716080864</v>
      </c>
      <c r="U812" s="60">
        <f t="shared" si="247"/>
        <v>1</v>
      </c>
      <c r="V812" s="60">
        <f>INDEX(BSFC!$D$4:$AD$26,MATCH(U812,BSFC!$B$4:$B$26,0),MATCH(G812,BSFC!$D$2:$AD$2,0))</f>
        <v>920.25590927999997</v>
      </c>
      <c r="W812" s="60">
        <f t="shared" si="251"/>
        <v>0.18316327423417753</v>
      </c>
      <c r="X812" s="60">
        <f t="shared" si="248"/>
        <v>0.18316327423417753</v>
      </c>
      <c r="Y812" s="60">
        <f t="shared" si="249"/>
        <v>0.56597451738360849</v>
      </c>
      <c r="Z812" s="79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x14ac:dyDescent="0.3">
      <c r="A813" s="55">
        <v>3</v>
      </c>
      <c r="B813" s="60" t="s">
        <v>113</v>
      </c>
      <c r="C813" s="60">
        <f t="shared" si="258"/>
        <v>810</v>
      </c>
      <c r="D813" s="60">
        <f t="shared" si="242"/>
        <v>29.998170000000002</v>
      </c>
      <c r="E813" s="60">
        <v>13.41</v>
      </c>
      <c r="F813" s="89">
        <f>($C$4/E813)+F812</f>
        <v>104.75686891741542</v>
      </c>
      <c r="G813" s="60">
        <f t="shared" si="257"/>
        <v>7000</v>
      </c>
      <c r="H813" s="60">
        <v>3</v>
      </c>
      <c r="I813" s="89">
        <f>E813-E812</f>
        <v>0</v>
      </c>
      <c r="J813" s="60">
        <f>(0.5*VEHICLE!$C$71*VEHICLE!$C$28*VEHICLE!$C$27*'Drive Cycle'!E813^2)</f>
        <v>159.97581505520998</v>
      </c>
      <c r="K813" s="60">
        <f>IF(A813=1,VEHICLE!$S$5,IF(A813=2,VEHICLE!$Q$5,IF(A813=3,VEHICLE!$R$5,IF(A813=4,VEHICLE!$P$5,1))))</f>
        <v>556.55073000000004</v>
      </c>
      <c r="L813" s="60">
        <v>0</v>
      </c>
      <c r="M813" s="60">
        <f t="shared" si="250"/>
        <v>0</v>
      </c>
      <c r="N813" s="60">
        <f t="shared" si="243"/>
        <v>0</v>
      </c>
      <c r="O813" s="60">
        <f t="shared" si="244"/>
        <v>0</v>
      </c>
      <c r="P813" s="60">
        <f t="shared" si="245"/>
        <v>716.52654505521002</v>
      </c>
      <c r="Q813" s="60">
        <f>IF(H813=1,I813*VEHICLE!$C$69,IF(H813=2,VEHICLE!$C$70*I813,IF(H813=3,VEHICLE!$C$71*I813,0)))</f>
        <v>0</v>
      </c>
      <c r="R813" s="60">
        <f>(J813+K813+O813+Q813)</f>
        <v>716.52654505521002</v>
      </c>
      <c r="S813" s="60">
        <f t="shared" si="246"/>
        <v>716.52654505521002</v>
      </c>
      <c r="T813" s="60">
        <f>ABS((R813)/((2*PI()*G813)/60))</f>
        <v>0.97747492716080864</v>
      </c>
      <c r="U813" s="60">
        <f t="shared" si="247"/>
        <v>1</v>
      </c>
      <c r="V813" s="60">
        <f>INDEX(BSFC!$D$4:$AD$26,MATCH(U813,BSFC!$B$4:$B$26,0),MATCH(G813,BSFC!$D$2:$AD$2,0))</f>
        <v>920.25590927999997</v>
      </c>
      <c r="W813" s="60">
        <f t="shared" si="251"/>
        <v>0.18316327423417753</v>
      </c>
      <c r="X813" s="60">
        <f t="shared" si="248"/>
        <v>0.18316327423417753</v>
      </c>
      <c r="Y813" s="60">
        <f t="shared" si="249"/>
        <v>0.56597451738360849</v>
      </c>
      <c r="Z813" s="79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x14ac:dyDescent="0.3">
      <c r="A814" s="55">
        <v>3</v>
      </c>
      <c r="B814" s="60" t="s">
        <v>113</v>
      </c>
      <c r="C814" s="60">
        <f t="shared" si="258"/>
        <v>811</v>
      </c>
      <c r="D814" s="60">
        <f t="shared" si="242"/>
        <v>29.998170000000002</v>
      </c>
      <c r="E814" s="60">
        <v>13.41</v>
      </c>
      <c r="F814" s="89">
        <f>($C$4/E814)+F813</f>
        <v>104.83144013292623</v>
      </c>
      <c r="G814" s="60">
        <f t="shared" si="257"/>
        <v>7000</v>
      </c>
      <c r="H814" s="60">
        <v>3</v>
      </c>
      <c r="I814" s="89">
        <f>E814-E813</f>
        <v>0</v>
      </c>
      <c r="J814" s="60">
        <f>(0.5*VEHICLE!$C$71*VEHICLE!$C$28*VEHICLE!$C$27*'Drive Cycle'!E814^2)</f>
        <v>159.97581505520998</v>
      </c>
      <c r="K814" s="60">
        <f>IF(A814=1,VEHICLE!$S$5,IF(A814=2,VEHICLE!$Q$5,IF(A814=3,VEHICLE!$R$5,IF(A814=4,VEHICLE!$P$5,1))))</f>
        <v>556.55073000000004</v>
      </c>
      <c r="L814" s="60">
        <v>0</v>
      </c>
      <c r="M814" s="60">
        <f t="shared" si="250"/>
        <v>0</v>
      </c>
      <c r="N814" s="60">
        <f t="shared" si="243"/>
        <v>0</v>
      </c>
      <c r="O814" s="60">
        <f t="shared" si="244"/>
        <v>0</v>
      </c>
      <c r="P814" s="60">
        <f t="shared" si="245"/>
        <v>716.52654505521002</v>
      </c>
      <c r="Q814" s="60">
        <f>IF(H814=1,I814*VEHICLE!$C$69,IF(H814=2,VEHICLE!$C$70*I814,IF(H814=3,VEHICLE!$C$71*I814,0)))</f>
        <v>0</v>
      </c>
      <c r="R814" s="60">
        <f>(J814+K814+O814+Q814)</f>
        <v>716.52654505521002</v>
      </c>
      <c r="S814" s="60">
        <f t="shared" si="246"/>
        <v>716.52654505521002</v>
      </c>
      <c r="T814" s="60">
        <f>ABS((R814)/((2*PI()*G814)/60))</f>
        <v>0.97747492716080864</v>
      </c>
      <c r="U814" s="60">
        <f t="shared" si="247"/>
        <v>1</v>
      </c>
      <c r="V814" s="60">
        <f>INDEX(BSFC!$D$4:$AD$26,MATCH(U814,BSFC!$B$4:$B$26,0),MATCH(G814,BSFC!$D$2:$AD$2,0))</f>
        <v>920.25590927999997</v>
      </c>
      <c r="W814" s="60">
        <f t="shared" si="251"/>
        <v>0.18316327423417753</v>
      </c>
      <c r="X814" s="60">
        <f t="shared" si="248"/>
        <v>0.18316327423417753</v>
      </c>
      <c r="Y814" s="60">
        <f t="shared" si="249"/>
        <v>0.56597451738360849</v>
      </c>
      <c r="Z814" s="79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x14ac:dyDescent="0.3">
      <c r="A815" s="55">
        <v>3</v>
      </c>
      <c r="B815" s="60" t="s">
        <v>113</v>
      </c>
      <c r="C815" s="60">
        <f t="shared" si="258"/>
        <v>812</v>
      </c>
      <c r="D815" s="60">
        <f t="shared" si="242"/>
        <v>29.998170000000002</v>
      </c>
      <c r="E815" s="60">
        <v>13.41</v>
      </c>
      <c r="F815" s="89">
        <f>($C$4/E815)+F814</f>
        <v>104.90601134843705</v>
      </c>
      <c r="G815" s="60">
        <f>G814</f>
        <v>7000</v>
      </c>
      <c r="H815" s="60">
        <v>3</v>
      </c>
      <c r="I815" s="89">
        <f>E815-E814</f>
        <v>0</v>
      </c>
      <c r="J815" s="60">
        <f>(0.5*VEHICLE!$C$71*VEHICLE!$C$28*VEHICLE!$C$27*'Drive Cycle'!E815^2)</f>
        <v>159.97581505520998</v>
      </c>
      <c r="K815" s="60">
        <f>IF(A815=1,VEHICLE!$S$5,IF(A815=2,VEHICLE!$Q$5,IF(A815=3,VEHICLE!$R$5,IF(A815=4,VEHICLE!$P$5,1))))</f>
        <v>556.55073000000004</v>
      </c>
      <c r="L815" s="60">
        <v>0</v>
      </c>
      <c r="M815" s="60">
        <f t="shared" si="250"/>
        <v>0</v>
      </c>
      <c r="N815" s="60">
        <f t="shared" si="243"/>
        <v>0</v>
      </c>
      <c r="O815" s="60">
        <f t="shared" si="244"/>
        <v>0</v>
      </c>
      <c r="P815" s="60">
        <f t="shared" si="245"/>
        <v>716.52654505521002</v>
      </c>
      <c r="Q815" s="60">
        <f>IF(H815=1,I815*VEHICLE!$C$69,IF(H815=2,VEHICLE!$C$70*I815,IF(H815=3,VEHICLE!$C$71*I815,0)))</f>
        <v>0</v>
      </c>
      <c r="R815" s="60">
        <f>(J815+K815+O815+Q815)</f>
        <v>716.52654505521002</v>
      </c>
      <c r="S815" s="60">
        <f t="shared" si="246"/>
        <v>716.52654505521002</v>
      </c>
      <c r="T815" s="60">
        <f>ABS((R815)/((2*PI()*G815)/60))</f>
        <v>0.97747492716080864</v>
      </c>
      <c r="U815" s="60">
        <f t="shared" si="247"/>
        <v>1</v>
      </c>
      <c r="V815" s="60">
        <f>INDEX(BSFC!$D$4:$AD$26,MATCH(U815,BSFC!$B$4:$B$26,0),MATCH(G815,BSFC!$D$2:$AD$2,0))</f>
        <v>920.25590927999997</v>
      </c>
      <c r="W815" s="60">
        <f t="shared" si="251"/>
        <v>0.18316327423417753</v>
      </c>
      <c r="X815" s="60">
        <f t="shared" si="248"/>
        <v>0.18316327423417753</v>
      </c>
      <c r="Y815" s="60">
        <f t="shared" si="249"/>
        <v>0.56597451738360849</v>
      </c>
      <c r="Z815" s="79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x14ac:dyDescent="0.3">
      <c r="A816" s="55">
        <v>3</v>
      </c>
      <c r="B816" s="60" t="s">
        <v>113</v>
      </c>
      <c r="C816" s="60">
        <f t="shared" si="258"/>
        <v>813</v>
      </c>
      <c r="D816" s="60">
        <f t="shared" si="242"/>
        <v>29.998170000000002</v>
      </c>
      <c r="E816" s="60">
        <v>13.41</v>
      </c>
      <c r="F816" s="89">
        <f>($C$4/E816)+F815</f>
        <v>104.98058256394786</v>
      </c>
      <c r="G816" s="60">
        <f t="shared" si="257"/>
        <v>7000</v>
      </c>
      <c r="H816" s="60">
        <v>3</v>
      </c>
      <c r="I816" s="89">
        <f>E816-E815</f>
        <v>0</v>
      </c>
      <c r="J816" s="60">
        <f>(0.5*VEHICLE!$C$71*VEHICLE!$C$28*VEHICLE!$C$27*'Drive Cycle'!E816^2)</f>
        <v>159.97581505520998</v>
      </c>
      <c r="K816" s="60">
        <f>IF(A816=1,VEHICLE!$S$5,IF(A816=2,VEHICLE!$Q$5,IF(A816=3,VEHICLE!$R$5,IF(A816=4,VEHICLE!$P$5,1))))</f>
        <v>556.55073000000004</v>
      </c>
      <c r="L816" s="60">
        <v>0</v>
      </c>
      <c r="M816" s="60">
        <f t="shared" si="250"/>
        <v>0</v>
      </c>
      <c r="N816" s="60">
        <f t="shared" si="243"/>
        <v>0</v>
      </c>
      <c r="O816" s="60">
        <f t="shared" si="244"/>
        <v>0</v>
      </c>
      <c r="P816" s="60">
        <f t="shared" si="245"/>
        <v>716.52654505521002</v>
      </c>
      <c r="Q816" s="60">
        <f>IF(H816=1,I816*VEHICLE!$C$69,IF(H816=2,VEHICLE!$C$70*I816,IF(H816=3,VEHICLE!$C$71*I816,0)))</f>
        <v>0</v>
      </c>
      <c r="R816" s="60">
        <f>(J816+K816+O816+Q816)</f>
        <v>716.52654505521002</v>
      </c>
      <c r="S816" s="60">
        <f t="shared" si="246"/>
        <v>716.52654505521002</v>
      </c>
      <c r="T816" s="60">
        <f>ABS((R816)/((2*PI()*G816)/60))</f>
        <v>0.97747492716080864</v>
      </c>
      <c r="U816" s="60">
        <f t="shared" si="247"/>
        <v>1</v>
      </c>
      <c r="V816" s="60">
        <f>INDEX(BSFC!$D$4:$AD$26,MATCH(U816,BSFC!$B$4:$B$26,0),MATCH(G816,BSFC!$D$2:$AD$2,0))</f>
        <v>920.25590927999997</v>
      </c>
      <c r="W816" s="60">
        <f t="shared" si="251"/>
        <v>0.18316327423417753</v>
      </c>
      <c r="X816" s="60">
        <f t="shared" si="248"/>
        <v>0.18316327423417753</v>
      </c>
      <c r="Y816" s="60">
        <f t="shared" si="249"/>
        <v>0.56597451738360849</v>
      </c>
      <c r="Z816" s="79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x14ac:dyDescent="0.3">
      <c r="A817" s="55">
        <v>3</v>
      </c>
      <c r="B817" s="60" t="s">
        <v>113</v>
      </c>
      <c r="C817" s="60">
        <f t="shared" si="258"/>
        <v>814</v>
      </c>
      <c r="D817" s="60">
        <f t="shared" si="242"/>
        <v>29.998170000000002</v>
      </c>
      <c r="E817" s="60">
        <v>13.41</v>
      </c>
      <c r="F817" s="89">
        <f>($C$4/E817)+F816</f>
        <v>105.05515377945868</v>
      </c>
      <c r="G817" s="60">
        <f t="shared" si="257"/>
        <v>7000</v>
      </c>
      <c r="H817" s="60">
        <v>3</v>
      </c>
      <c r="I817" s="89">
        <f>E817-E816</f>
        <v>0</v>
      </c>
      <c r="J817" s="60">
        <f>(0.5*VEHICLE!$C$71*VEHICLE!$C$28*VEHICLE!$C$27*'Drive Cycle'!E817^2)</f>
        <v>159.97581505520998</v>
      </c>
      <c r="K817" s="60">
        <f>IF(A817=1,VEHICLE!$S$5,IF(A817=2,VEHICLE!$Q$5,IF(A817=3,VEHICLE!$R$5,IF(A817=4,VEHICLE!$P$5,1))))</f>
        <v>556.55073000000004</v>
      </c>
      <c r="L817" s="60">
        <v>0</v>
      </c>
      <c r="M817" s="60">
        <f t="shared" si="250"/>
        <v>0</v>
      </c>
      <c r="N817" s="60">
        <f t="shared" si="243"/>
        <v>0</v>
      </c>
      <c r="O817" s="60">
        <f t="shared" si="244"/>
        <v>0</v>
      </c>
      <c r="P817" s="60">
        <f t="shared" si="245"/>
        <v>716.52654505521002</v>
      </c>
      <c r="Q817" s="60">
        <f>IF(H817=1,I817*VEHICLE!$C$69,IF(H817=2,VEHICLE!$C$70*I817,IF(H817=3,VEHICLE!$C$71*I817,0)))</f>
        <v>0</v>
      </c>
      <c r="R817" s="60">
        <f>(J817+K817+O817+Q817)</f>
        <v>716.52654505521002</v>
      </c>
      <c r="S817" s="60">
        <f t="shared" si="246"/>
        <v>716.52654505521002</v>
      </c>
      <c r="T817" s="60">
        <f>ABS((R817)/((2*PI()*G817)/60))</f>
        <v>0.97747492716080864</v>
      </c>
      <c r="U817" s="60">
        <f t="shared" si="247"/>
        <v>1</v>
      </c>
      <c r="V817" s="60">
        <f>INDEX(BSFC!$D$4:$AD$26,MATCH(U817,BSFC!$B$4:$B$26,0),MATCH(G817,BSFC!$D$2:$AD$2,0))</f>
        <v>920.25590927999997</v>
      </c>
      <c r="W817" s="60">
        <f t="shared" si="251"/>
        <v>0.18316327423417753</v>
      </c>
      <c r="X817" s="60">
        <f t="shared" si="248"/>
        <v>0.18316327423417753</v>
      </c>
      <c r="Y817" s="60">
        <f t="shared" si="249"/>
        <v>0.56597451738360849</v>
      </c>
      <c r="Z817" s="79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x14ac:dyDescent="0.3">
      <c r="A818" s="55">
        <v>3</v>
      </c>
      <c r="B818" s="60" t="s">
        <v>113</v>
      </c>
      <c r="C818" s="60">
        <f t="shared" si="258"/>
        <v>815</v>
      </c>
      <c r="D818" s="60">
        <f t="shared" si="242"/>
        <v>29.998170000000002</v>
      </c>
      <c r="E818" s="60">
        <v>13.41</v>
      </c>
      <c r="F818" s="89">
        <f>($C$4/E818)+F817</f>
        <v>105.12972499496949</v>
      </c>
      <c r="G818" s="60">
        <f t="shared" si="257"/>
        <v>7000</v>
      </c>
      <c r="H818" s="60">
        <v>3</v>
      </c>
      <c r="I818" s="89">
        <f>E818-E817</f>
        <v>0</v>
      </c>
      <c r="J818" s="60">
        <f>(0.5*VEHICLE!$C$71*VEHICLE!$C$28*VEHICLE!$C$27*'Drive Cycle'!E818^2)</f>
        <v>159.97581505520998</v>
      </c>
      <c r="K818" s="60">
        <f>IF(A818=1,VEHICLE!$S$5,IF(A818=2,VEHICLE!$Q$5,IF(A818=3,VEHICLE!$R$5,IF(A818=4,VEHICLE!$P$5,1))))</f>
        <v>556.55073000000004</v>
      </c>
      <c r="L818" s="60">
        <v>0</v>
      </c>
      <c r="M818" s="60">
        <f t="shared" si="250"/>
        <v>0</v>
      </c>
      <c r="N818" s="60">
        <f t="shared" si="243"/>
        <v>0</v>
      </c>
      <c r="O818" s="60">
        <f t="shared" si="244"/>
        <v>0</v>
      </c>
      <c r="P818" s="60">
        <f t="shared" si="245"/>
        <v>716.52654505521002</v>
      </c>
      <c r="Q818" s="60">
        <f>IF(H818=1,I818*VEHICLE!$C$69,IF(H818=2,VEHICLE!$C$70*I818,IF(H818=3,VEHICLE!$C$71*I818,0)))</f>
        <v>0</v>
      </c>
      <c r="R818" s="60">
        <f>(J818+K818+O818+Q818)</f>
        <v>716.52654505521002</v>
      </c>
      <c r="S818" s="60">
        <f t="shared" si="246"/>
        <v>716.52654505521002</v>
      </c>
      <c r="T818" s="60">
        <f>ABS((R818)/((2*PI()*G818)/60))</f>
        <v>0.97747492716080864</v>
      </c>
      <c r="U818" s="60">
        <f t="shared" si="247"/>
        <v>1</v>
      </c>
      <c r="V818" s="60">
        <f>INDEX(BSFC!$D$4:$AD$26,MATCH(U818,BSFC!$B$4:$B$26,0),MATCH(G818,BSFC!$D$2:$AD$2,0))</f>
        <v>920.25590927999997</v>
      </c>
      <c r="W818" s="60">
        <f t="shared" si="251"/>
        <v>0.18316327423417753</v>
      </c>
      <c r="X818" s="60">
        <f t="shared" si="248"/>
        <v>0.18316327423417753</v>
      </c>
      <c r="Y818" s="60">
        <f t="shared" si="249"/>
        <v>0.56597451738360849</v>
      </c>
      <c r="Z818" s="79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x14ac:dyDescent="0.3">
      <c r="A819" s="55">
        <v>3</v>
      </c>
      <c r="B819" s="60" t="s">
        <v>113</v>
      </c>
      <c r="C819" s="60">
        <f t="shared" si="258"/>
        <v>816</v>
      </c>
      <c r="D819" s="60">
        <f t="shared" si="242"/>
        <v>29.998170000000002</v>
      </c>
      <c r="E819" s="60">
        <v>13.41</v>
      </c>
      <c r="F819" s="89">
        <f>($C$4/E819)+F818</f>
        <v>105.20429621048031</v>
      </c>
      <c r="G819" s="60">
        <f t="shared" si="257"/>
        <v>7000</v>
      </c>
      <c r="H819" s="60">
        <v>3</v>
      </c>
      <c r="I819" s="89">
        <f>E819-E818</f>
        <v>0</v>
      </c>
      <c r="J819" s="60">
        <f>(0.5*VEHICLE!$C$71*VEHICLE!$C$28*VEHICLE!$C$27*'Drive Cycle'!E819^2)</f>
        <v>159.97581505520998</v>
      </c>
      <c r="K819" s="60">
        <f>IF(A819=1,VEHICLE!$S$5,IF(A819=2,VEHICLE!$Q$5,IF(A819=3,VEHICLE!$R$5,IF(A819=4,VEHICLE!$P$5,1))))</f>
        <v>556.55073000000004</v>
      </c>
      <c r="L819" s="60">
        <v>0</v>
      </c>
      <c r="M819" s="60">
        <f t="shared" si="250"/>
        <v>0</v>
      </c>
      <c r="N819" s="60">
        <f t="shared" si="243"/>
        <v>0</v>
      </c>
      <c r="O819" s="60">
        <f t="shared" si="244"/>
        <v>0</v>
      </c>
      <c r="P819" s="60">
        <f t="shared" si="245"/>
        <v>716.52654505521002</v>
      </c>
      <c r="Q819" s="60">
        <f>IF(H819=1,I819*VEHICLE!$C$69,IF(H819=2,VEHICLE!$C$70*I819,IF(H819=3,VEHICLE!$C$71*I819,0)))</f>
        <v>0</v>
      </c>
      <c r="R819" s="60">
        <f>(J819+K819+O819+Q819)</f>
        <v>716.52654505521002</v>
      </c>
      <c r="S819" s="60">
        <f t="shared" si="246"/>
        <v>716.52654505521002</v>
      </c>
      <c r="T819" s="60">
        <f>ABS((R819)/((2*PI()*G819)/60))</f>
        <v>0.97747492716080864</v>
      </c>
      <c r="U819" s="60">
        <f t="shared" si="247"/>
        <v>1</v>
      </c>
      <c r="V819" s="60">
        <f>INDEX(BSFC!$D$4:$AD$26,MATCH(U819,BSFC!$B$4:$B$26,0),MATCH(G819,BSFC!$D$2:$AD$2,0))</f>
        <v>920.25590927999997</v>
      </c>
      <c r="W819" s="60">
        <f t="shared" si="251"/>
        <v>0.18316327423417753</v>
      </c>
      <c r="X819" s="60">
        <f t="shared" si="248"/>
        <v>0.18316327423417753</v>
      </c>
      <c r="Y819" s="60">
        <f t="shared" si="249"/>
        <v>0.56597451738360849</v>
      </c>
      <c r="Z819" s="79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x14ac:dyDescent="0.3">
      <c r="A820" s="55">
        <v>3</v>
      </c>
      <c r="B820" s="60" t="s">
        <v>113</v>
      </c>
      <c r="C820" s="60">
        <f t="shared" si="258"/>
        <v>817</v>
      </c>
      <c r="D820" s="60">
        <f t="shared" si="242"/>
        <v>29.998170000000002</v>
      </c>
      <c r="E820" s="60">
        <v>13.41</v>
      </c>
      <c r="F820" s="89">
        <f>($C$4/E820)+F819</f>
        <v>105.27886742599112</v>
      </c>
      <c r="G820" s="60">
        <f t="shared" si="257"/>
        <v>7000</v>
      </c>
      <c r="H820" s="60">
        <v>3</v>
      </c>
      <c r="I820" s="89">
        <f>E820-E819</f>
        <v>0</v>
      </c>
      <c r="J820" s="60">
        <f>(0.5*VEHICLE!$C$71*VEHICLE!$C$28*VEHICLE!$C$27*'Drive Cycle'!E820^2)</f>
        <v>159.97581505520998</v>
      </c>
      <c r="K820" s="60">
        <f>IF(A820=1,VEHICLE!$S$5,IF(A820=2,VEHICLE!$Q$5,IF(A820=3,VEHICLE!$R$5,IF(A820=4,VEHICLE!$P$5,1))))</f>
        <v>556.55073000000004</v>
      </c>
      <c r="L820" s="60">
        <v>0</v>
      </c>
      <c r="M820" s="60">
        <f t="shared" si="250"/>
        <v>0</v>
      </c>
      <c r="N820" s="60">
        <f t="shared" si="243"/>
        <v>0</v>
      </c>
      <c r="O820" s="60">
        <f t="shared" si="244"/>
        <v>0</v>
      </c>
      <c r="P820" s="60">
        <f t="shared" si="245"/>
        <v>716.52654505521002</v>
      </c>
      <c r="Q820" s="60">
        <f>IF(H820=1,I820*VEHICLE!$C$69,IF(H820=2,VEHICLE!$C$70*I820,IF(H820=3,VEHICLE!$C$71*I820,0)))</f>
        <v>0</v>
      </c>
      <c r="R820" s="60">
        <f>(J820+K820+O820+Q820)</f>
        <v>716.52654505521002</v>
      </c>
      <c r="S820" s="60">
        <f t="shared" si="246"/>
        <v>716.52654505521002</v>
      </c>
      <c r="T820" s="60">
        <f>ABS((R820)/((2*PI()*G820)/60))</f>
        <v>0.97747492716080864</v>
      </c>
      <c r="U820" s="60">
        <f t="shared" si="247"/>
        <v>1</v>
      </c>
      <c r="V820" s="60">
        <f>INDEX(BSFC!$D$4:$AD$26,MATCH(U820,BSFC!$B$4:$B$26,0),MATCH(G820,BSFC!$D$2:$AD$2,0))</f>
        <v>920.25590927999997</v>
      </c>
      <c r="W820" s="60">
        <f t="shared" si="251"/>
        <v>0.18316327423417753</v>
      </c>
      <c r="X820" s="60">
        <f t="shared" si="248"/>
        <v>0.18316327423417753</v>
      </c>
      <c r="Y820" s="60">
        <f t="shared" si="249"/>
        <v>0.56597451738360849</v>
      </c>
      <c r="Z820" s="79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x14ac:dyDescent="0.3">
      <c r="A821" s="55">
        <v>3</v>
      </c>
      <c r="B821" s="60" t="s">
        <v>113</v>
      </c>
      <c r="C821" s="60">
        <f t="shared" si="258"/>
        <v>818</v>
      </c>
      <c r="D821" s="60">
        <f t="shared" si="242"/>
        <v>29.998170000000002</v>
      </c>
      <c r="E821" s="60">
        <v>13.41</v>
      </c>
      <c r="F821" s="89">
        <f>($C$4/E821)+F820</f>
        <v>105.35343864150194</v>
      </c>
      <c r="G821" s="60">
        <f t="shared" si="257"/>
        <v>7000</v>
      </c>
      <c r="H821" s="60">
        <v>3</v>
      </c>
      <c r="I821" s="89">
        <f>E821-E820</f>
        <v>0</v>
      </c>
      <c r="J821" s="60">
        <f>(0.5*VEHICLE!$C$71*VEHICLE!$C$28*VEHICLE!$C$27*'Drive Cycle'!E821^2)</f>
        <v>159.97581505520998</v>
      </c>
      <c r="K821" s="60">
        <f>IF(A821=1,VEHICLE!$S$5,IF(A821=2,VEHICLE!$Q$5,IF(A821=3,VEHICLE!$R$5,IF(A821=4,VEHICLE!$P$5,1))))</f>
        <v>556.55073000000004</v>
      </c>
      <c r="L821" s="60">
        <v>0</v>
      </c>
      <c r="M821" s="60">
        <f t="shared" si="250"/>
        <v>0</v>
      </c>
      <c r="N821" s="60">
        <f t="shared" si="243"/>
        <v>0</v>
      </c>
      <c r="O821" s="60">
        <f t="shared" si="244"/>
        <v>0</v>
      </c>
      <c r="P821" s="60">
        <f t="shared" si="245"/>
        <v>716.52654505521002</v>
      </c>
      <c r="Q821" s="60">
        <f>IF(H821=1,I821*VEHICLE!$C$69,IF(H821=2,VEHICLE!$C$70*I821,IF(H821=3,VEHICLE!$C$71*I821,0)))</f>
        <v>0</v>
      </c>
      <c r="R821" s="60">
        <f>(J821+K821+O821+Q821)</f>
        <v>716.52654505521002</v>
      </c>
      <c r="S821" s="60">
        <f t="shared" si="246"/>
        <v>716.52654505521002</v>
      </c>
      <c r="T821" s="60">
        <f>ABS((R821)/((2*PI()*G821)/60))</f>
        <v>0.97747492716080864</v>
      </c>
      <c r="U821" s="60">
        <f t="shared" si="247"/>
        <v>1</v>
      </c>
      <c r="V821" s="60">
        <f>INDEX(BSFC!$D$4:$AD$26,MATCH(U821,BSFC!$B$4:$B$26,0),MATCH(G821,BSFC!$D$2:$AD$2,0))</f>
        <v>920.25590927999997</v>
      </c>
      <c r="W821" s="60">
        <f t="shared" si="251"/>
        <v>0.18316327423417753</v>
      </c>
      <c r="X821" s="60">
        <f t="shared" si="248"/>
        <v>0.18316327423417753</v>
      </c>
      <c r="Y821" s="60">
        <f t="shared" si="249"/>
        <v>0.56597451738360849</v>
      </c>
      <c r="Z821" s="79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x14ac:dyDescent="0.3">
      <c r="A822" s="55">
        <v>3</v>
      </c>
      <c r="B822" s="60" t="s">
        <v>113</v>
      </c>
      <c r="C822" s="60">
        <f t="shared" si="258"/>
        <v>819</v>
      </c>
      <c r="D822" s="60">
        <f t="shared" si="242"/>
        <v>29.998170000000002</v>
      </c>
      <c r="E822" s="60">
        <v>13.41</v>
      </c>
      <c r="F822" s="89">
        <f>($C$4/E822)+F821</f>
        <v>105.42800985701275</v>
      </c>
      <c r="G822" s="60">
        <f t="shared" si="257"/>
        <v>7000</v>
      </c>
      <c r="H822" s="60">
        <v>3</v>
      </c>
      <c r="I822" s="89">
        <f>E822-E821</f>
        <v>0</v>
      </c>
      <c r="J822" s="60">
        <f>(0.5*VEHICLE!$C$71*VEHICLE!$C$28*VEHICLE!$C$27*'Drive Cycle'!E822^2)</f>
        <v>159.97581505520998</v>
      </c>
      <c r="K822" s="60">
        <f>IF(A822=1,VEHICLE!$S$5,IF(A822=2,VEHICLE!$Q$5,IF(A822=3,VEHICLE!$R$5,IF(A822=4,VEHICLE!$P$5,1))))</f>
        <v>556.55073000000004</v>
      </c>
      <c r="L822" s="60">
        <v>0</v>
      </c>
      <c r="M822" s="60">
        <f t="shared" si="250"/>
        <v>0</v>
      </c>
      <c r="N822" s="60">
        <f t="shared" si="243"/>
        <v>0</v>
      </c>
      <c r="O822" s="60">
        <f t="shared" si="244"/>
        <v>0</v>
      </c>
      <c r="P822" s="60">
        <f t="shared" si="245"/>
        <v>716.52654505521002</v>
      </c>
      <c r="Q822" s="60">
        <f>IF(H822=1,I822*VEHICLE!$C$69,IF(H822=2,VEHICLE!$C$70*I822,IF(H822=3,VEHICLE!$C$71*I822,0)))</f>
        <v>0</v>
      </c>
      <c r="R822" s="60">
        <f>(J822+K822+O822+Q822)</f>
        <v>716.52654505521002</v>
      </c>
      <c r="S822" s="60">
        <f t="shared" si="246"/>
        <v>716.52654505521002</v>
      </c>
      <c r="T822" s="60">
        <f>ABS((R822)/((2*PI()*G822)/60))</f>
        <v>0.97747492716080864</v>
      </c>
      <c r="U822" s="60">
        <f t="shared" si="247"/>
        <v>1</v>
      </c>
      <c r="V822" s="60">
        <f>INDEX(BSFC!$D$4:$AD$26,MATCH(U822,BSFC!$B$4:$B$26,0),MATCH(G822,BSFC!$D$2:$AD$2,0))</f>
        <v>920.25590927999997</v>
      </c>
      <c r="W822" s="60">
        <f t="shared" si="251"/>
        <v>0.18316327423417753</v>
      </c>
      <c r="X822" s="60">
        <f t="shared" si="248"/>
        <v>0.18316327423417753</v>
      </c>
      <c r="Y822" s="60">
        <f t="shared" si="249"/>
        <v>0.56597451738360849</v>
      </c>
      <c r="Z822" s="79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x14ac:dyDescent="0.3">
      <c r="A823" s="55">
        <v>3</v>
      </c>
      <c r="B823" s="60" t="s">
        <v>113</v>
      </c>
      <c r="C823" s="60">
        <f t="shared" si="258"/>
        <v>820</v>
      </c>
      <c r="D823" s="60">
        <f t="shared" si="242"/>
        <v>29.998170000000002</v>
      </c>
      <c r="E823" s="60">
        <v>13.41</v>
      </c>
      <c r="F823" s="89">
        <f>($C$4/E823)+F822</f>
        <v>105.50258107252357</v>
      </c>
      <c r="G823" s="60">
        <f t="shared" si="257"/>
        <v>7000</v>
      </c>
      <c r="H823" s="60">
        <v>3</v>
      </c>
      <c r="I823" s="89">
        <f>E823-E822</f>
        <v>0</v>
      </c>
      <c r="J823" s="60">
        <f>(0.5*VEHICLE!$C$71*VEHICLE!$C$28*VEHICLE!$C$27*'Drive Cycle'!E823^2)</f>
        <v>159.97581505520998</v>
      </c>
      <c r="K823" s="60">
        <f>IF(A823=1,VEHICLE!$S$5,IF(A823=2,VEHICLE!$Q$5,IF(A823=3,VEHICLE!$R$5,IF(A823=4,VEHICLE!$P$5,1))))</f>
        <v>556.55073000000004</v>
      </c>
      <c r="L823" s="60">
        <v>0</v>
      </c>
      <c r="M823" s="60">
        <f t="shared" si="250"/>
        <v>0</v>
      </c>
      <c r="N823" s="60">
        <f t="shared" si="243"/>
        <v>0</v>
      </c>
      <c r="O823" s="60">
        <f t="shared" si="244"/>
        <v>0</v>
      </c>
      <c r="P823" s="60">
        <f t="shared" si="245"/>
        <v>716.52654505521002</v>
      </c>
      <c r="Q823" s="60">
        <f>IF(H823=1,I823*VEHICLE!$C$69,IF(H823=2,VEHICLE!$C$70*I823,IF(H823=3,VEHICLE!$C$71*I823,0)))</f>
        <v>0</v>
      </c>
      <c r="R823" s="60">
        <f>(J823+K823+O823+Q823)</f>
        <v>716.52654505521002</v>
      </c>
      <c r="S823" s="60">
        <f t="shared" si="246"/>
        <v>716.52654505521002</v>
      </c>
      <c r="T823" s="60">
        <f>ABS((R823)/((2*PI()*G823)/60))</f>
        <v>0.97747492716080864</v>
      </c>
      <c r="U823" s="60">
        <f t="shared" si="247"/>
        <v>1</v>
      </c>
      <c r="V823" s="60">
        <f>INDEX(BSFC!$D$4:$AD$26,MATCH(U823,BSFC!$B$4:$B$26,0),MATCH(G823,BSFC!$D$2:$AD$2,0))</f>
        <v>920.25590927999997</v>
      </c>
      <c r="W823" s="60">
        <f t="shared" si="251"/>
        <v>0.18316327423417753</v>
      </c>
      <c r="X823" s="60">
        <f t="shared" si="248"/>
        <v>0.18316327423417753</v>
      </c>
      <c r="Y823" s="60">
        <f t="shared" si="249"/>
        <v>0.56597451738360849</v>
      </c>
      <c r="Z823" s="79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x14ac:dyDescent="0.3">
      <c r="A824" s="55">
        <v>3</v>
      </c>
      <c r="B824" s="60" t="s">
        <v>113</v>
      </c>
      <c r="C824" s="60">
        <f t="shared" si="258"/>
        <v>821</v>
      </c>
      <c r="D824" s="60">
        <f t="shared" si="242"/>
        <v>28.879670000000001</v>
      </c>
      <c r="E824" s="60">
        <f t="shared" ref="E824:E831" si="259">E823-0.5</f>
        <v>12.91</v>
      </c>
      <c r="F824" s="89">
        <f>($C$4/E824)+F823</f>
        <v>105.5800404063733</v>
      </c>
      <c r="G824" s="60">
        <f>G823-250</f>
        <v>6750</v>
      </c>
      <c r="H824" s="60">
        <v>3</v>
      </c>
      <c r="I824" s="89">
        <f>E824-E823</f>
        <v>-0.5</v>
      </c>
      <c r="J824" s="60">
        <f>(0.5*VEHICLE!$C$71*VEHICLE!$C$28*VEHICLE!$C$27*'Drive Cycle'!E824^2)</f>
        <v>148.26862509921</v>
      </c>
      <c r="K824" s="60">
        <f>IF(A824=1,VEHICLE!$S$5,IF(A824=2,VEHICLE!$Q$5,IF(A824=3,VEHICLE!$R$5,IF(A824=4,VEHICLE!$P$5,1))))</f>
        <v>556.55073000000004</v>
      </c>
      <c r="L824" s="60">
        <v>0</v>
      </c>
      <c r="M824" s="60">
        <f t="shared" si="250"/>
        <v>0</v>
      </c>
      <c r="N824" s="60">
        <f t="shared" si="243"/>
        <v>0</v>
      </c>
      <c r="O824" s="60">
        <f t="shared" si="244"/>
        <v>0</v>
      </c>
      <c r="P824" s="60">
        <f t="shared" si="245"/>
        <v>704.81935509921004</v>
      </c>
      <c r="Q824" s="60">
        <f>IF(H824=1,I824*VEHICLE!$C$69,IF(H824=2,VEHICLE!$C$70*I824,IF(H824=3,VEHICLE!$C$71*I824,0)))</f>
        <v>-0.58350000000000002</v>
      </c>
      <c r="R824" s="60">
        <f>(J824+K824+O824+Q824)</f>
        <v>704.23585509921008</v>
      </c>
      <c r="S824" s="60">
        <f t="shared" si="246"/>
        <v>704.23585509921008</v>
      </c>
      <c r="T824" s="60">
        <f>ABS((R824)/((2*PI()*G824)/60))</f>
        <v>0.99628993281410705</v>
      </c>
      <c r="U824" s="60">
        <f t="shared" si="247"/>
        <v>1</v>
      </c>
      <c r="V824" s="60">
        <f>INDEX(BSFC!$D$4:$AD$26,MATCH(U824,BSFC!$B$4:$B$26,0),MATCH(G824,BSFC!$D$2:$AD$2,0))</f>
        <v>945.22735288000013</v>
      </c>
      <c r="W824" s="60">
        <f t="shared" si="251"/>
        <v>0.18490638697739159</v>
      </c>
      <c r="X824" s="60">
        <f t="shared" si="248"/>
        <v>0.18490638697739159</v>
      </c>
      <c r="Y824" s="60">
        <f t="shared" si="249"/>
        <v>0.57136073576014001</v>
      </c>
      <c r="Z824" s="79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x14ac:dyDescent="0.3">
      <c r="A825" s="55">
        <v>3</v>
      </c>
      <c r="B825" s="60" t="s">
        <v>113</v>
      </c>
      <c r="C825" s="60">
        <f t="shared" si="258"/>
        <v>822</v>
      </c>
      <c r="D825" s="60">
        <f t="shared" si="242"/>
        <v>27.76117</v>
      </c>
      <c r="E825" s="60">
        <f t="shared" si="259"/>
        <v>12.41</v>
      </c>
      <c r="F825" s="89">
        <f>($C$4/E825)+F824</f>
        <v>105.66062058364969</v>
      </c>
      <c r="G825" s="60">
        <f t="shared" ref="G825:G839" si="260">G824-250</f>
        <v>6500</v>
      </c>
      <c r="H825" s="60">
        <v>3</v>
      </c>
      <c r="I825" s="89">
        <f>E825-E824</f>
        <v>-0.5</v>
      </c>
      <c r="J825" s="60">
        <f>(0.5*VEHICLE!$C$71*VEHICLE!$C$28*VEHICLE!$C$27*'Drive Cycle'!E825^2)</f>
        <v>137.00623719320998</v>
      </c>
      <c r="K825" s="60">
        <f>IF(A825=1,VEHICLE!$S$5,IF(A825=2,VEHICLE!$Q$5,IF(A825=3,VEHICLE!$R$5,IF(A825=4,VEHICLE!$P$5,1))))</f>
        <v>556.55073000000004</v>
      </c>
      <c r="L825" s="60">
        <v>0</v>
      </c>
      <c r="M825" s="60">
        <f t="shared" si="250"/>
        <v>0</v>
      </c>
      <c r="N825" s="60">
        <f t="shared" si="243"/>
        <v>0</v>
      </c>
      <c r="O825" s="60">
        <f t="shared" si="244"/>
        <v>0</v>
      </c>
      <c r="P825" s="60">
        <f t="shared" si="245"/>
        <v>693.55696719321008</v>
      </c>
      <c r="Q825" s="60">
        <f>IF(H825=1,I825*VEHICLE!$C$69,IF(H825=2,VEHICLE!$C$70*I825,IF(H825=3,VEHICLE!$C$71*I825,0)))</f>
        <v>-0.58350000000000002</v>
      </c>
      <c r="R825" s="60">
        <f>(J825+K825+O825+Q825)</f>
        <v>692.97346719321013</v>
      </c>
      <c r="S825" s="60">
        <f t="shared" si="246"/>
        <v>692.97346719321013</v>
      </c>
      <c r="T825" s="60">
        <f>ABS((R825)/((2*PI()*G825)/60))</f>
        <v>1.0180629483261117</v>
      </c>
      <c r="U825" s="60">
        <f t="shared" si="247"/>
        <v>2</v>
      </c>
      <c r="V825" s="60">
        <f>INDEX(BSFC!$D$4:$AD$26,MATCH(U825,BSFC!$B$4:$B$26,0),MATCH(G825,BSFC!$D$2:$AD$2,0))</f>
        <v>894.55972883999993</v>
      </c>
      <c r="W825" s="60">
        <f t="shared" si="251"/>
        <v>0.17219615469602018</v>
      </c>
      <c r="X825" s="60">
        <f t="shared" si="248"/>
        <v>0.17219615469602018</v>
      </c>
      <c r="Y825" s="60">
        <f t="shared" si="249"/>
        <v>0.53208611801070227</v>
      </c>
      <c r="Z825" s="79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x14ac:dyDescent="0.3">
      <c r="A826" s="55">
        <v>3</v>
      </c>
      <c r="B826" s="60" t="s">
        <v>113</v>
      </c>
      <c r="C826" s="60">
        <f t="shared" si="258"/>
        <v>823</v>
      </c>
      <c r="D826" s="60">
        <f t="shared" si="242"/>
        <v>26.642670000000003</v>
      </c>
      <c r="E826" s="60">
        <f t="shared" si="259"/>
        <v>11.91</v>
      </c>
      <c r="F826" s="89">
        <f>($C$4/E826)+F825</f>
        <v>105.74458363990493</v>
      </c>
      <c r="G826" s="60">
        <f t="shared" si="260"/>
        <v>6250</v>
      </c>
      <c r="H826" s="60">
        <v>2</v>
      </c>
      <c r="I826" s="89">
        <f>E826-E825</f>
        <v>-0.5</v>
      </c>
      <c r="J826" s="60">
        <f>(0.5*VEHICLE!$C$71*VEHICLE!$C$28*VEHICLE!$C$27*'Drive Cycle'!E826^2)</f>
        <v>126.18865133721</v>
      </c>
      <c r="K826" s="60">
        <f>IF(A826=1,VEHICLE!$S$5,IF(A826=2,VEHICLE!$Q$5,IF(A826=3,VEHICLE!$R$5,IF(A826=4,VEHICLE!$P$5,1))))</f>
        <v>556.55073000000004</v>
      </c>
      <c r="L826" s="60">
        <v>0</v>
      </c>
      <c r="M826" s="60">
        <f t="shared" si="250"/>
        <v>0</v>
      </c>
      <c r="N826" s="60">
        <f t="shared" si="243"/>
        <v>0</v>
      </c>
      <c r="O826" s="60">
        <f t="shared" si="244"/>
        <v>0</v>
      </c>
      <c r="P826" s="60">
        <f t="shared" si="245"/>
        <v>682.73938133721003</v>
      </c>
      <c r="Q826" s="60">
        <f>IF(H826=1,I826*VEHICLE!$C$69,IF(H826=2,VEHICLE!$C$70*I826,IF(H826=3,VEHICLE!$C$71*I826,0)))</f>
        <v>-292.57424326505867</v>
      </c>
      <c r="R826" s="60">
        <f>(J826+K826+O826+Q826)</f>
        <v>390.16513807215136</v>
      </c>
      <c r="S826" s="60">
        <f t="shared" si="246"/>
        <v>390.16513807215136</v>
      </c>
      <c r="T826" s="60">
        <f>ABS((R826)/((2*PI()*G826)/60))</f>
        <v>0.59612841932462146</v>
      </c>
      <c r="U826" s="60">
        <f t="shared" si="247"/>
        <v>1</v>
      </c>
      <c r="V826" s="60">
        <f>INDEX(BSFC!$D$4:$AD$26,MATCH(U826,BSFC!$B$4:$B$26,0),MATCH(G826,BSFC!$D$2:$AD$2,0))</f>
        <v>964.16094472000054</v>
      </c>
      <c r="W826" s="60">
        <f t="shared" si="251"/>
        <v>0.10449499670012637</v>
      </c>
      <c r="X826" s="60">
        <f t="shared" si="248"/>
        <v>0.10449499670012637</v>
      </c>
      <c r="Y826" s="60">
        <f t="shared" si="249"/>
        <v>0.32288953980339047</v>
      </c>
      <c r="Z826" s="79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x14ac:dyDescent="0.3">
      <c r="A827" s="55">
        <v>3</v>
      </c>
      <c r="B827" s="60" t="s">
        <v>113</v>
      </c>
      <c r="C827" s="60">
        <f t="shared" si="258"/>
        <v>824</v>
      </c>
      <c r="D827" s="60">
        <f t="shared" si="242"/>
        <v>25.524170000000002</v>
      </c>
      <c r="E827" s="60">
        <f t="shared" si="259"/>
        <v>11.41</v>
      </c>
      <c r="F827" s="89">
        <f>($C$4/E827)+F826</f>
        <v>105.83222605883569</v>
      </c>
      <c r="G827" s="60">
        <f t="shared" si="260"/>
        <v>6000</v>
      </c>
      <c r="H827" s="60">
        <v>2</v>
      </c>
      <c r="I827" s="89">
        <f>E827-E826</f>
        <v>-0.5</v>
      </c>
      <c r="J827" s="60">
        <f>(0.5*VEHICLE!$C$71*VEHICLE!$C$28*VEHICLE!$C$27*'Drive Cycle'!E827^2)</f>
        <v>115.81586753120997</v>
      </c>
      <c r="K827" s="60">
        <f>IF(A827=1,VEHICLE!$S$5,IF(A827=2,VEHICLE!$Q$5,IF(A827=3,VEHICLE!$R$5,IF(A827=4,VEHICLE!$P$5,1))))</f>
        <v>556.55073000000004</v>
      </c>
      <c r="L827" s="60">
        <v>0</v>
      </c>
      <c r="M827" s="60">
        <f t="shared" si="250"/>
        <v>0</v>
      </c>
      <c r="N827" s="60">
        <f t="shared" si="243"/>
        <v>0</v>
      </c>
      <c r="O827" s="60">
        <f t="shared" si="244"/>
        <v>0</v>
      </c>
      <c r="P827" s="60">
        <f t="shared" si="245"/>
        <v>672.36659753121</v>
      </c>
      <c r="Q827" s="60">
        <f>IF(H827=1,I827*VEHICLE!$C$69,IF(H827=2,VEHICLE!$C$70*I827,IF(H827=3,VEHICLE!$C$71*I827,0)))</f>
        <v>-292.57424326505867</v>
      </c>
      <c r="R827" s="60">
        <f>(J827+K827+O827+Q827)</f>
        <v>379.79235426615134</v>
      </c>
      <c r="S827" s="60">
        <f t="shared" si="246"/>
        <v>379.79235426615134</v>
      </c>
      <c r="T827" s="60">
        <f>ABS((R827)/((2*PI()*G827)/60))</f>
        <v>0.60445830529966271</v>
      </c>
      <c r="U827" s="60">
        <f t="shared" si="247"/>
        <v>1</v>
      </c>
      <c r="V827" s="60">
        <f>INDEX(BSFC!$D$4:$AD$26,MATCH(U827,BSFC!$B$4:$B$26,0),MATCH(G827,BSFC!$D$2:$AD$2,0))</f>
        <v>933.91499472000044</v>
      </c>
      <c r="W827" s="60">
        <f t="shared" si="251"/>
        <v>9.8526048480324785E-2</v>
      </c>
      <c r="X827" s="60">
        <f t="shared" si="248"/>
        <v>9.8526048480324785E-2</v>
      </c>
      <c r="Y827" s="60">
        <f t="shared" si="249"/>
        <v>0.30444548980420355</v>
      </c>
      <c r="Z827" s="79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x14ac:dyDescent="0.3">
      <c r="A828" s="55">
        <v>3</v>
      </c>
      <c r="B828" s="60" t="s">
        <v>113</v>
      </c>
      <c r="C828" s="60">
        <f t="shared" si="258"/>
        <v>825</v>
      </c>
      <c r="D828" s="60">
        <f t="shared" si="242"/>
        <v>24.405670000000001</v>
      </c>
      <c r="E828" s="60">
        <f t="shared" si="259"/>
        <v>10.91</v>
      </c>
      <c r="F828" s="89">
        <f>($C$4/E828)+F827</f>
        <v>105.92388508724999</v>
      </c>
      <c r="G828" s="60">
        <f t="shared" si="260"/>
        <v>5750</v>
      </c>
      <c r="H828" s="60">
        <v>2</v>
      </c>
      <c r="I828" s="89">
        <f>E828-E827</f>
        <v>-0.5</v>
      </c>
      <c r="J828" s="60">
        <f>(0.5*VEHICLE!$C$71*VEHICLE!$C$28*VEHICLE!$C$27*'Drive Cycle'!E828^2)</f>
        <v>105.88788577520999</v>
      </c>
      <c r="K828" s="60">
        <f>IF(A828=1,VEHICLE!$S$5,IF(A828=2,VEHICLE!$Q$5,IF(A828=3,VEHICLE!$R$5,IF(A828=4,VEHICLE!$P$5,1))))</f>
        <v>556.55073000000004</v>
      </c>
      <c r="L828" s="60">
        <v>0</v>
      </c>
      <c r="M828" s="60">
        <f t="shared" si="250"/>
        <v>0</v>
      </c>
      <c r="N828" s="60">
        <f t="shared" si="243"/>
        <v>0</v>
      </c>
      <c r="O828" s="60">
        <f t="shared" si="244"/>
        <v>0</v>
      </c>
      <c r="P828" s="60">
        <f t="shared" si="245"/>
        <v>662.43861577521</v>
      </c>
      <c r="Q828" s="60">
        <f>IF(H828=1,I828*VEHICLE!$C$69,IF(H828=2,VEHICLE!$C$70*I828,IF(H828=3,VEHICLE!$C$71*I828,0)))</f>
        <v>-292.57424326505867</v>
      </c>
      <c r="R828" s="60">
        <f>(J828+K828+O828+Q828)</f>
        <v>369.86437251015133</v>
      </c>
      <c r="S828" s="60">
        <f t="shared" si="246"/>
        <v>369.86437251015133</v>
      </c>
      <c r="T828" s="60">
        <f>ABS((R828)/((2*PI()*G828)/60))</f>
        <v>0.61425123295901951</v>
      </c>
      <c r="U828" s="60">
        <f t="shared" si="247"/>
        <v>1</v>
      </c>
      <c r="V828" s="60">
        <f>INDEX(BSFC!$D$4:$AD$26,MATCH(U828,BSFC!$B$4:$B$26,0),MATCH(G828,BSFC!$D$2:$AD$2,0))</f>
        <v>963.78871919999995</v>
      </c>
      <c r="W828" s="60">
        <f t="shared" si="251"/>
        <v>9.9019752738686226E-2</v>
      </c>
      <c r="X828" s="60">
        <f t="shared" si="248"/>
        <v>9.9019752738686226E-2</v>
      </c>
      <c r="Y828" s="60">
        <f t="shared" si="249"/>
        <v>0.30597103596254044</v>
      </c>
      <c r="Z828" s="79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x14ac:dyDescent="0.3">
      <c r="A829" s="55">
        <v>3</v>
      </c>
      <c r="B829" s="60" t="s">
        <v>113</v>
      </c>
      <c r="C829" s="60">
        <f t="shared" si="258"/>
        <v>826</v>
      </c>
      <c r="D829" s="60">
        <f t="shared" si="242"/>
        <v>23.28717</v>
      </c>
      <c r="E829" s="60">
        <f t="shared" si="259"/>
        <v>10.41</v>
      </c>
      <c r="F829" s="89">
        <f>($C$4/E829)+F828</f>
        <v>106.01994656659677</v>
      </c>
      <c r="G829" s="60">
        <f t="shared" si="260"/>
        <v>5500</v>
      </c>
      <c r="H829" s="60">
        <v>2</v>
      </c>
      <c r="I829" s="89">
        <f>E829-E828</f>
        <v>-0.5</v>
      </c>
      <c r="J829" s="60">
        <f>(0.5*VEHICLE!$C$71*VEHICLE!$C$28*VEHICLE!$C$27*'Drive Cycle'!E829^2)</f>
        <v>96.404706069209993</v>
      </c>
      <c r="K829" s="60">
        <f>IF(A829=1,VEHICLE!$S$5,IF(A829=2,VEHICLE!$Q$5,IF(A829=3,VEHICLE!$R$5,IF(A829=4,VEHICLE!$P$5,1))))</f>
        <v>556.55073000000004</v>
      </c>
      <c r="L829" s="60">
        <v>0</v>
      </c>
      <c r="M829" s="60">
        <f t="shared" si="250"/>
        <v>0</v>
      </c>
      <c r="N829" s="60">
        <f t="shared" si="243"/>
        <v>0</v>
      </c>
      <c r="O829" s="60">
        <f t="shared" si="244"/>
        <v>0</v>
      </c>
      <c r="P829" s="60">
        <f t="shared" si="245"/>
        <v>652.95543606921001</v>
      </c>
      <c r="Q829" s="60">
        <f>IF(H829=1,I829*VEHICLE!$C$69,IF(H829=2,VEHICLE!$C$70*I829,IF(H829=3,VEHICLE!$C$71*I829,0)))</f>
        <v>-292.57424326505867</v>
      </c>
      <c r="R829" s="60">
        <f>(J829+K829+O829+Q829)</f>
        <v>360.38119280415134</v>
      </c>
      <c r="S829" s="60">
        <f t="shared" si="246"/>
        <v>360.38119280415134</v>
      </c>
      <c r="T829" s="60">
        <f>ABS((R829)/((2*PI()*G829)/60))</f>
        <v>0.62570670798691719</v>
      </c>
      <c r="U829" s="60">
        <f t="shared" si="247"/>
        <v>1</v>
      </c>
      <c r="V829" s="60">
        <f>INDEX(BSFC!$D$4:$AD$26,MATCH(U829,BSFC!$B$4:$B$26,0),MATCH(G829,BSFC!$D$2:$AD$2,0))</f>
        <v>937.88833920000002</v>
      </c>
      <c r="W829" s="60">
        <f t="shared" si="251"/>
        <v>9.3888143999444576E-2</v>
      </c>
      <c r="X829" s="60">
        <f t="shared" si="248"/>
        <v>9.3888143999444576E-2</v>
      </c>
      <c r="Y829" s="60">
        <f t="shared" si="249"/>
        <v>0.29011436495828374</v>
      </c>
      <c r="Z829" s="79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x14ac:dyDescent="0.3">
      <c r="A830" s="55">
        <v>3</v>
      </c>
      <c r="B830" s="60" t="s">
        <v>113</v>
      </c>
      <c r="C830" s="60">
        <f t="shared" si="258"/>
        <v>827</v>
      </c>
      <c r="D830" s="60">
        <f t="shared" si="242"/>
        <v>22.168670000000002</v>
      </c>
      <c r="E830" s="60">
        <f t="shared" si="259"/>
        <v>9.91</v>
      </c>
      <c r="F830" s="89">
        <f>($C$4/E830)+F829</f>
        <v>106.12085474015883</v>
      </c>
      <c r="G830" s="60">
        <f t="shared" si="260"/>
        <v>5250</v>
      </c>
      <c r="H830" s="60">
        <v>2</v>
      </c>
      <c r="I830" s="89">
        <f>E830-E829</f>
        <v>-0.5</v>
      </c>
      <c r="J830" s="60">
        <f>(0.5*VEHICLE!$C$71*VEHICLE!$C$28*VEHICLE!$C$27*'Drive Cycle'!E830^2)</f>
        <v>87.366328413209985</v>
      </c>
      <c r="K830" s="60">
        <f>IF(A830=1,VEHICLE!$S$5,IF(A830=2,VEHICLE!$Q$5,IF(A830=3,VEHICLE!$R$5,IF(A830=4,VEHICLE!$P$5,1))))</f>
        <v>556.55073000000004</v>
      </c>
      <c r="L830" s="60">
        <v>0</v>
      </c>
      <c r="M830" s="60">
        <f t="shared" si="250"/>
        <v>0</v>
      </c>
      <c r="N830" s="60">
        <f t="shared" si="243"/>
        <v>0</v>
      </c>
      <c r="O830" s="60">
        <f t="shared" si="244"/>
        <v>0</v>
      </c>
      <c r="P830" s="60">
        <f t="shared" si="245"/>
        <v>643.91705841321004</v>
      </c>
      <c r="Q830" s="60">
        <f>IF(H830=1,I830*VEHICLE!$C$69,IF(H830=2,VEHICLE!$C$70*I830,IF(H830=3,VEHICLE!$C$71*I830,0)))</f>
        <v>-292.57424326505867</v>
      </c>
      <c r="R830" s="60">
        <f>(J830+K830+O830+Q830)</f>
        <v>351.34281514815137</v>
      </c>
      <c r="S830" s="60">
        <f t="shared" si="246"/>
        <v>351.34281514815137</v>
      </c>
      <c r="T830" s="60">
        <f>ABS((R830)/((2*PI()*G830)/60))</f>
        <v>0.63906223715028965</v>
      </c>
      <c r="U830" s="60">
        <f t="shared" si="247"/>
        <v>1</v>
      </c>
      <c r="V830" s="60">
        <f>INDEX(BSFC!$D$4:$AD$26,MATCH(U830,BSFC!$B$4:$B$26,0),MATCH(G830,BSFC!$D$2:$AD$2,0))</f>
        <v>959.82391135999978</v>
      </c>
      <c r="W830" s="60">
        <f t="shared" si="251"/>
        <v>9.3674231962147789E-2</v>
      </c>
      <c r="X830" s="60">
        <f t="shared" si="248"/>
        <v>9.3674231962147789E-2</v>
      </c>
      <c r="Y830" s="60">
        <f t="shared" si="249"/>
        <v>0.28945337676303667</v>
      </c>
      <c r="Z830" s="79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x14ac:dyDescent="0.3">
      <c r="A831" s="55">
        <v>3</v>
      </c>
      <c r="B831" s="60" t="s">
        <v>113</v>
      </c>
      <c r="C831" s="60">
        <f t="shared" si="258"/>
        <v>828</v>
      </c>
      <c r="D831" s="60">
        <f t="shared" si="242"/>
        <v>21.050170000000001</v>
      </c>
      <c r="E831" s="60">
        <f t="shared" si="259"/>
        <v>9.41</v>
      </c>
      <c r="F831" s="89">
        <f>($C$4/E831)+F830</f>
        <v>106.22712466576989</v>
      </c>
      <c r="G831" s="60">
        <f t="shared" si="260"/>
        <v>5000</v>
      </c>
      <c r="H831" s="60">
        <v>2</v>
      </c>
      <c r="I831" s="89">
        <f>E831-E830</f>
        <v>-0.5</v>
      </c>
      <c r="J831" s="60">
        <f>(0.5*VEHICLE!$C$71*VEHICLE!$C$28*VEHICLE!$C$27*'Drive Cycle'!E831^2)</f>
        <v>78.772752807209997</v>
      </c>
      <c r="K831" s="60">
        <f>IF(A831=1,VEHICLE!$S$5,IF(A831=2,VEHICLE!$Q$5,IF(A831=3,VEHICLE!$R$5,IF(A831=4,VEHICLE!$P$5,1))))</f>
        <v>556.55073000000004</v>
      </c>
      <c r="L831" s="60">
        <v>0</v>
      </c>
      <c r="M831" s="60">
        <f t="shared" si="250"/>
        <v>0</v>
      </c>
      <c r="N831" s="60">
        <f t="shared" si="243"/>
        <v>0</v>
      </c>
      <c r="O831" s="60">
        <f t="shared" si="244"/>
        <v>0</v>
      </c>
      <c r="P831" s="60">
        <f t="shared" si="245"/>
        <v>635.32348280720998</v>
      </c>
      <c r="Q831" s="60">
        <f>IF(H831=1,I831*VEHICLE!$C$69,IF(H831=2,VEHICLE!$C$70*I831,IF(H831=3,VEHICLE!$C$71*I831,0)))</f>
        <v>-292.57424326505867</v>
      </c>
      <c r="R831" s="60">
        <f>(J831+K831+O831+Q831)</f>
        <v>342.74923954215132</v>
      </c>
      <c r="S831" s="60">
        <f t="shared" si="246"/>
        <v>342.74923954215132</v>
      </c>
      <c r="T831" s="60">
        <f>ABS((R831)/((2*PI()*G831)/60))</f>
        <v>0.65460282856945795</v>
      </c>
      <c r="U831" s="60">
        <f t="shared" si="247"/>
        <v>1</v>
      </c>
      <c r="V831" s="60">
        <f>INDEX(BSFC!$D$4:$AD$26,MATCH(U831,BSFC!$B$4:$B$26,0),MATCH(G831,BSFC!$D$2:$AD$2,0))</f>
        <v>967.30583135999973</v>
      </c>
      <c r="W831" s="60">
        <f t="shared" si="251"/>
        <v>9.2095371695368994E-2</v>
      </c>
      <c r="X831" s="60">
        <f t="shared" si="248"/>
        <v>9.2095371695368994E-2</v>
      </c>
      <c r="Y831" s="60">
        <f t="shared" si="249"/>
        <v>0.28457469853869016</v>
      </c>
      <c r="Z831" s="79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x14ac:dyDescent="0.3">
      <c r="A832" s="55">
        <v>3</v>
      </c>
      <c r="B832" s="60" t="s">
        <v>113</v>
      </c>
      <c r="C832" s="60">
        <f t="shared" si="258"/>
        <v>829</v>
      </c>
      <c r="D832" s="60">
        <f t="shared" si="242"/>
        <v>19.93167</v>
      </c>
      <c r="E832" s="60">
        <f>E831-0.5</f>
        <v>8.91</v>
      </c>
      <c r="F832" s="89">
        <f>($C$4/E832)+F831</f>
        <v>106.33935811133667</v>
      </c>
      <c r="G832" s="60">
        <f t="shared" si="260"/>
        <v>4750</v>
      </c>
      <c r="H832" s="60">
        <v>2</v>
      </c>
      <c r="I832" s="89">
        <f>E832-E831</f>
        <v>-0.5</v>
      </c>
      <c r="J832" s="60">
        <f>(0.5*VEHICLE!$C$71*VEHICLE!$C$28*VEHICLE!$C$27*'Drive Cycle'!E832^2)</f>
        <v>70.623979251210002</v>
      </c>
      <c r="K832" s="60">
        <f>IF(A832=1,VEHICLE!$S$5,IF(A832=2,VEHICLE!$Q$5,IF(A832=3,VEHICLE!$R$5,IF(A832=4,VEHICLE!$P$5,1))))</f>
        <v>556.55073000000004</v>
      </c>
      <c r="L832" s="60">
        <v>0</v>
      </c>
      <c r="M832" s="60">
        <f t="shared" si="250"/>
        <v>0</v>
      </c>
      <c r="N832" s="60">
        <f t="shared" si="243"/>
        <v>0</v>
      </c>
      <c r="O832" s="60">
        <f t="shared" si="244"/>
        <v>0</v>
      </c>
      <c r="P832" s="60">
        <f t="shared" si="245"/>
        <v>627.17470925121006</v>
      </c>
      <c r="Q832" s="60">
        <f>IF(H832=1,I832*VEHICLE!$C$69,IF(H832=2,VEHICLE!$C$70*I832,IF(H832=3,VEHICLE!$C$71*I832,0)))</f>
        <v>-292.57424326505867</v>
      </c>
      <c r="R832" s="60">
        <f>(J832+K832+O832+Q832)</f>
        <v>334.60046598615139</v>
      </c>
      <c r="S832" s="60">
        <f t="shared" si="246"/>
        <v>334.60046598615139</v>
      </c>
      <c r="T832" s="60">
        <f>ABS((R832)/((2*PI()*G832)/60))</f>
        <v>0.67267349207428528</v>
      </c>
      <c r="U832" s="60">
        <f t="shared" si="247"/>
        <v>1</v>
      </c>
      <c r="V832" s="60">
        <f>INDEX(BSFC!$D$4:$AD$26,MATCH(U832,BSFC!$B$4:$B$26,0),MATCH(G832,BSFC!$D$2:$AD$2,0))</f>
        <v>989.10544351999977</v>
      </c>
      <c r="W832" s="60">
        <f t="shared" si="251"/>
        <v>9.1931983975341913E-2</v>
      </c>
      <c r="X832" s="60">
        <f t="shared" si="248"/>
        <v>9.1931983975341913E-2</v>
      </c>
      <c r="Y832" s="60">
        <f t="shared" si="249"/>
        <v>0.28406983048380652</v>
      </c>
      <c r="Z832" s="79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x14ac:dyDescent="0.3">
      <c r="A833" s="55">
        <v>3</v>
      </c>
      <c r="B833" s="60" t="s">
        <v>113</v>
      </c>
      <c r="C833" s="60">
        <f t="shared" si="258"/>
        <v>830</v>
      </c>
      <c r="D833" s="60">
        <f t="shared" si="242"/>
        <v>18.81317</v>
      </c>
      <c r="E833" s="60">
        <f t="shared" ref="E833:E839" si="261">E832-0.5</f>
        <v>8.41</v>
      </c>
      <c r="F833" s="89">
        <f>($C$4/E833)+F832</f>
        <v>106.45826417554593</v>
      </c>
      <c r="G833" s="60">
        <f t="shared" si="260"/>
        <v>4500</v>
      </c>
      <c r="H833" s="60">
        <v>2</v>
      </c>
      <c r="I833" s="89">
        <f>E833-E832</f>
        <v>-0.5</v>
      </c>
      <c r="J833" s="60">
        <f>(0.5*VEHICLE!$C$71*VEHICLE!$C$28*VEHICLE!$C$27*'Drive Cycle'!E833^2)</f>
        <v>62.920007745209993</v>
      </c>
      <c r="K833" s="60">
        <f>IF(A833=1,VEHICLE!$S$5,IF(A833=2,VEHICLE!$Q$5,IF(A833=3,VEHICLE!$R$5,IF(A833=4,VEHICLE!$P$5,1))))</f>
        <v>556.55073000000004</v>
      </c>
      <c r="L833" s="60">
        <v>0</v>
      </c>
      <c r="M833" s="60">
        <f t="shared" si="250"/>
        <v>0</v>
      </c>
      <c r="N833" s="60">
        <f t="shared" si="243"/>
        <v>0</v>
      </c>
      <c r="O833" s="60">
        <f t="shared" si="244"/>
        <v>0</v>
      </c>
      <c r="P833" s="60">
        <f t="shared" si="245"/>
        <v>619.47073774521004</v>
      </c>
      <c r="Q833" s="60">
        <f>IF(H833=1,I833*VEHICLE!$C$69,IF(H833=2,VEHICLE!$C$70*I833,IF(H833=3,VEHICLE!$C$71*I833,0)))</f>
        <v>-292.57424326505867</v>
      </c>
      <c r="R833" s="60">
        <f>(J833+K833+O833+Q833)</f>
        <v>326.89649448015138</v>
      </c>
      <c r="S833" s="60">
        <f t="shared" si="246"/>
        <v>326.89649448015138</v>
      </c>
      <c r="T833" s="60">
        <f>ABS((R833)/((2*PI()*G833)/60))</f>
        <v>0.69369590634571421</v>
      </c>
      <c r="U833" s="60">
        <f t="shared" si="247"/>
        <v>1</v>
      </c>
      <c r="V833" s="60">
        <f>INDEX(BSFC!$D$4:$AD$26,MATCH(U833,BSFC!$B$4:$B$26,0),MATCH(G833,BSFC!$D$2:$AD$2,0))</f>
        <v>996.72332351999967</v>
      </c>
      <c r="W833" s="60">
        <f t="shared" si="251"/>
        <v>9.0507044562581587E-2</v>
      </c>
      <c r="X833" s="60">
        <f t="shared" si="248"/>
        <v>9.0507044562581587E-2</v>
      </c>
      <c r="Y833" s="60">
        <f t="shared" si="249"/>
        <v>0.27966676769837712</v>
      </c>
      <c r="Z833" s="79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x14ac:dyDescent="0.3">
      <c r="A834" s="55">
        <v>3</v>
      </c>
      <c r="B834" s="60" t="s">
        <v>113</v>
      </c>
      <c r="C834" s="60">
        <f t="shared" si="258"/>
        <v>831</v>
      </c>
      <c r="D834" s="60">
        <f t="shared" si="242"/>
        <v>17.694670000000002</v>
      </c>
      <c r="E834" s="60">
        <f t="shared" si="261"/>
        <v>7.91</v>
      </c>
      <c r="F834" s="89">
        <f>($C$4/E834)+F833</f>
        <v>106.58468642586199</v>
      </c>
      <c r="G834" s="60">
        <f t="shared" si="260"/>
        <v>4250</v>
      </c>
      <c r="H834" s="60">
        <v>2</v>
      </c>
      <c r="I834" s="89">
        <f>E834-E833</f>
        <v>-0.5</v>
      </c>
      <c r="J834" s="60">
        <f>(0.5*VEHICLE!$C$71*VEHICLE!$C$28*VEHICLE!$C$27*'Drive Cycle'!E834^2)</f>
        <v>55.660838289209991</v>
      </c>
      <c r="K834" s="60">
        <f>IF(A834=1,VEHICLE!$S$5,IF(A834=2,VEHICLE!$Q$5,IF(A834=3,VEHICLE!$R$5,IF(A834=4,VEHICLE!$P$5,1))))</f>
        <v>556.55073000000004</v>
      </c>
      <c r="L834" s="60">
        <v>0</v>
      </c>
      <c r="M834" s="60">
        <f t="shared" si="250"/>
        <v>0</v>
      </c>
      <c r="N834" s="60">
        <f t="shared" si="243"/>
        <v>0</v>
      </c>
      <c r="O834" s="60">
        <f t="shared" si="244"/>
        <v>0</v>
      </c>
      <c r="P834" s="60">
        <f t="shared" si="245"/>
        <v>612.21156828921005</v>
      </c>
      <c r="Q834" s="60">
        <f>IF(H834=1,I834*VEHICLE!$C$69,IF(H834=2,VEHICLE!$C$70*I834,IF(H834=3,VEHICLE!$C$71*I834,0)))</f>
        <v>-292.57424326505867</v>
      </c>
      <c r="R834" s="60">
        <f>(J834+K834+O834+Q834)</f>
        <v>319.63732502415138</v>
      </c>
      <c r="S834" s="60">
        <f t="shared" si="246"/>
        <v>319.63732502415138</v>
      </c>
      <c r="T834" s="60">
        <f>ABS((R834)/((2*PI()*G834)/60))</f>
        <v>0.71819096857785136</v>
      </c>
      <c r="U834" s="60">
        <f t="shared" si="247"/>
        <v>1</v>
      </c>
      <c r="V834" s="60">
        <f>INDEX(BSFC!$D$4:$AD$26,MATCH(U834,BSFC!$B$4:$B$26,0),MATCH(G834,BSFC!$D$2:$AD$2,0))</f>
        <v>1010.1133235199997</v>
      </c>
      <c r="W834" s="60">
        <f t="shared" si="251"/>
        <v>8.9686089083663309E-2</v>
      </c>
      <c r="X834" s="60">
        <f t="shared" si="248"/>
        <v>8.9686089083663309E-2</v>
      </c>
      <c r="Y834" s="60">
        <f t="shared" si="249"/>
        <v>0.2771300152685196</v>
      </c>
      <c r="Z834" s="79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x14ac:dyDescent="0.3">
      <c r="A835" s="55">
        <v>3</v>
      </c>
      <c r="B835" s="60" t="s">
        <v>113</v>
      </c>
      <c r="C835" s="60">
        <f t="shared" si="258"/>
        <v>832</v>
      </c>
      <c r="D835" s="60">
        <f t="shared" si="242"/>
        <v>16.576170000000001</v>
      </c>
      <c r="E835" s="60">
        <f t="shared" si="261"/>
        <v>7.41</v>
      </c>
      <c r="F835" s="89">
        <f>($C$4/E835)+F834</f>
        <v>106.7196391923937</v>
      </c>
      <c r="G835" s="60">
        <f t="shared" si="260"/>
        <v>4000</v>
      </c>
      <c r="H835" s="60">
        <v>2</v>
      </c>
      <c r="I835" s="89">
        <f>E835-E834</f>
        <v>-0.5</v>
      </c>
      <c r="J835" s="60">
        <f>(0.5*VEHICLE!$C$71*VEHICLE!$C$28*VEHICLE!$C$27*'Drive Cycle'!E835^2)</f>
        <v>48.846470883209996</v>
      </c>
      <c r="K835" s="60">
        <f>IF(A835=1,VEHICLE!$S$5,IF(A835=2,VEHICLE!$Q$5,IF(A835=3,VEHICLE!$R$5,IF(A835=4,VEHICLE!$P$5,1))))</f>
        <v>556.55073000000004</v>
      </c>
      <c r="L835" s="60">
        <v>0</v>
      </c>
      <c r="M835" s="60">
        <f t="shared" si="250"/>
        <v>0</v>
      </c>
      <c r="N835" s="60">
        <f t="shared" si="243"/>
        <v>0</v>
      </c>
      <c r="O835" s="60">
        <f t="shared" si="244"/>
        <v>0</v>
      </c>
      <c r="P835" s="60">
        <f t="shared" si="245"/>
        <v>605.39720088321008</v>
      </c>
      <c r="Q835" s="60">
        <f>IF(H835=1,I835*VEHICLE!$C$69,IF(H835=2,VEHICLE!$C$70*I835,IF(H835=3,VEHICLE!$C$71*I835,0)))</f>
        <v>-292.57424326505867</v>
      </c>
      <c r="R835" s="60">
        <f>(J835+K835+O835+Q835)</f>
        <v>312.82295761815141</v>
      </c>
      <c r="S835" s="60">
        <f t="shared" si="246"/>
        <v>312.82295761815141</v>
      </c>
      <c r="T835" s="60">
        <f>ABS((R835)/((2*PI()*G835)/60))</f>
        <v>0.74680980026332922</v>
      </c>
      <c r="U835" s="60">
        <f t="shared" si="247"/>
        <v>1</v>
      </c>
      <c r="V835" s="60">
        <f>INDEX(BSFC!$D$4:$AD$26,MATCH(U835,BSFC!$B$4:$B$26,0),MATCH(G835,BSFC!$D$2:$AD$2,0))</f>
        <v>1026.1408156799998</v>
      </c>
      <c r="W835" s="60">
        <f t="shared" si="251"/>
        <v>8.9166779137144422E-2</v>
      </c>
      <c r="X835" s="60">
        <f t="shared" si="248"/>
        <v>8.9166779137144422E-2</v>
      </c>
      <c r="Y835" s="60">
        <f t="shared" si="249"/>
        <v>0.27552534753377628</v>
      </c>
      <c r="Z835" s="79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x14ac:dyDescent="0.3">
      <c r="A836" s="55">
        <v>3</v>
      </c>
      <c r="B836" s="60" t="s">
        <v>113</v>
      </c>
      <c r="C836" s="60">
        <f t="shared" si="258"/>
        <v>833</v>
      </c>
      <c r="D836" s="60">
        <f t="shared" ref="D836:D899" si="262">E836*2.237</f>
        <v>15.45767</v>
      </c>
      <c r="E836" s="60">
        <f t="shared" si="261"/>
        <v>6.91</v>
      </c>
      <c r="F836" s="89">
        <f>($C$4/E836)+F835</f>
        <v>106.86435699268314</v>
      </c>
      <c r="G836" s="60">
        <f t="shared" si="260"/>
        <v>3750</v>
      </c>
      <c r="H836" s="60">
        <v>2</v>
      </c>
      <c r="I836" s="89">
        <f>E836-E835</f>
        <v>-0.5</v>
      </c>
      <c r="J836" s="60">
        <f>(0.5*VEHICLE!$C$71*VEHICLE!$C$28*VEHICLE!$C$27*'Drive Cycle'!E836^2)</f>
        <v>42.476905527209993</v>
      </c>
      <c r="K836" s="60">
        <f>IF(A836=1,VEHICLE!$S$5,IF(A836=2,VEHICLE!$Q$5,IF(A836=3,VEHICLE!$R$5,IF(A836=4,VEHICLE!$P$5,1))))</f>
        <v>556.55073000000004</v>
      </c>
      <c r="L836" s="60">
        <v>0</v>
      </c>
      <c r="M836" s="60">
        <f t="shared" si="250"/>
        <v>0</v>
      </c>
      <c r="N836" s="60">
        <f t="shared" ref="N836:N899" si="263">DEGREES(ATAN(M836/$C$4))</f>
        <v>0</v>
      </c>
      <c r="O836" s="60">
        <f t="shared" ref="O836:O899" si="264">9.81*SIN(RADIANS(N836))*($C$47)</f>
        <v>0</v>
      </c>
      <c r="P836" s="60">
        <f t="shared" ref="P836:P899" si="265">J836+K836+O836</f>
        <v>599.02763552721001</v>
      </c>
      <c r="Q836" s="60">
        <f>IF(H836=1,I836*VEHICLE!$C$69,IF(H836=2,VEHICLE!$C$70*I836,IF(H836=3,VEHICLE!$C$71*I836,0)))</f>
        <v>-292.57424326505867</v>
      </c>
      <c r="R836" s="60">
        <f>(J836+K836+O836+Q836)</f>
        <v>306.45339226215134</v>
      </c>
      <c r="S836" s="60">
        <f t="shared" ref="S836:S899" si="266">ABS(R836)</f>
        <v>306.45339226215134</v>
      </c>
      <c r="T836" s="60">
        <f>ABS((R836)/((2*PI()*G836)/60))</f>
        <v>0.78037715529281559</v>
      </c>
      <c r="U836" s="60">
        <f t="shared" ref="U836:U899" si="267">ROUNDUP(T836,0)</f>
        <v>1</v>
      </c>
      <c r="V836" s="60">
        <f>INDEX(BSFC!$D$4:$AD$26,MATCH(U836,BSFC!$B$4:$B$26,0),MATCH(G836,BSFC!$D$2:$AD$2,0))</f>
        <v>1035.6786156799997</v>
      </c>
      <c r="W836" s="60">
        <f t="shared" si="251"/>
        <v>8.816311807458467E-2</v>
      </c>
      <c r="X836" s="60">
        <f t="shared" ref="X836:X899" si="268">ABS(W836)</f>
        <v>8.816311807458467E-2</v>
      </c>
      <c r="Y836" s="60">
        <f t="shared" ref="Y836:Y899" si="269">W836*3.09</f>
        <v>0.27242403485046662</v>
      </c>
      <c r="Z836" s="79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x14ac:dyDescent="0.3">
      <c r="A837" s="55">
        <v>3</v>
      </c>
      <c r="B837" s="60" t="s">
        <v>113</v>
      </c>
      <c r="C837" s="60">
        <f t="shared" si="258"/>
        <v>834</v>
      </c>
      <c r="D837" s="60">
        <f t="shared" si="262"/>
        <v>14.339170000000001</v>
      </c>
      <c r="E837" s="60">
        <f t="shared" si="261"/>
        <v>6.41</v>
      </c>
      <c r="F837" s="89">
        <f>($C$4/E837)+F836</f>
        <v>107.02036323293275</v>
      </c>
      <c r="G837" s="60">
        <f t="shared" si="260"/>
        <v>3500</v>
      </c>
      <c r="H837" s="60">
        <v>2</v>
      </c>
      <c r="I837" s="89">
        <f>E837-E836</f>
        <v>-0.5</v>
      </c>
      <c r="J837" s="60">
        <f>(0.5*VEHICLE!$C$71*VEHICLE!$C$28*VEHICLE!$C$27*'Drive Cycle'!E837^2)</f>
        <v>36.552142221209998</v>
      </c>
      <c r="K837" s="60">
        <f>IF(A837=1,VEHICLE!$S$5,IF(A837=2,VEHICLE!$Q$5,IF(A837=3,VEHICLE!$R$5,IF(A837=4,VEHICLE!$P$5,1))))</f>
        <v>556.55073000000004</v>
      </c>
      <c r="L837" s="60">
        <v>0</v>
      </c>
      <c r="M837" s="60">
        <f t="shared" ref="M837:M900" si="270">L837-L836</f>
        <v>0</v>
      </c>
      <c r="N837" s="60">
        <f t="shared" si="263"/>
        <v>0</v>
      </c>
      <c r="O837" s="60">
        <f t="shared" si="264"/>
        <v>0</v>
      </c>
      <c r="P837" s="60">
        <f t="shared" si="265"/>
        <v>593.10287222121008</v>
      </c>
      <c r="Q837" s="60">
        <f>IF(H837=1,I837*VEHICLE!$C$69,IF(H837=2,VEHICLE!$C$70*I837,IF(H837=3,VEHICLE!$C$71*I837,0)))</f>
        <v>-292.57424326505867</v>
      </c>
      <c r="R837" s="60">
        <f>(J837+K837+O837+Q837)</f>
        <v>300.52862895615141</v>
      </c>
      <c r="S837" s="60">
        <f t="shared" si="266"/>
        <v>300.52862895615141</v>
      </c>
      <c r="T837" s="60">
        <f>ABS((R837)/((2*PI()*G837)/60))</f>
        <v>0.81995343152574196</v>
      </c>
      <c r="U837" s="60">
        <f t="shared" si="267"/>
        <v>1</v>
      </c>
      <c r="V837" s="60">
        <f>INDEX(BSFC!$D$4:$AD$26,MATCH(U837,BSFC!$B$4:$B$26,0),MATCH(G837,BSFC!$D$2:$AD$2,0))</f>
        <v>1034.2259366399996</v>
      </c>
      <c r="W837" s="60">
        <f t="shared" ref="W837:W900" si="271">(R837*V837/3600)/1000</f>
        <v>8.6337361880364061E-2</v>
      </c>
      <c r="X837" s="60">
        <f t="shared" si="268"/>
        <v>8.6337361880364061E-2</v>
      </c>
      <c r="Y837" s="60">
        <f t="shared" si="269"/>
        <v>0.26678244821032493</v>
      </c>
      <c r="Z837" s="79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x14ac:dyDescent="0.3">
      <c r="A838" s="55">
        <v>3</v>
      </c>
      <c r="B838" s="60" t="s">
        <v>113</v>
      </c>
      <c r="C838" s="60">
        <f t="shared" si="258"/>
        <v>835</v>
      </c>
      <c r="D838" s="60">
        <f t="shared" si="262"/>
        <v>13.22067</v>
      </c>
      <c r="E838" s="60">
        <f t="shared" si="261"/>
        <v>5.91</v>
      </c>
      <c r="F838" s="89">
        <f>($C$4/E838)+F837</f>
        <v>107.18956797066541</v>
      </c>
      <c r="G838" s="60">
        <f t="shared" si="260"/>
        <v>3250</v>
      </c>
      <c r="H838" s="60">
        <v>1</v>
      </c>
      <c r="I838" s="89">
        <f>E838-E837</f>
        <v>-0.5</v>
      </c>
      <c r="J838" s="60">
        <f>(0.5*VEHICLE!$C$71*VEHICLE!$C$28*VEHICLE!$C$27*'Drive Cycle'!E838^2)</f>
        <v>31.072180965209999</v>
      </c>
      <c r="K838" s="60">
        <f>IF(A838=1,VEHICLE!$S$5,IF(A838=2,VEHICLE!$Q$5,IF(A838=3,VEHICLE!$R$5,IF(A838=4,VEHICLE!$P$5,1))))</f>
        <v>556.55073000000004</v>
      </c>
      <c r="L838" s="60">
        <v>0</v>
      </c>
      <c r="M838" s="60">
        <f t="shared" si="270"/>
        <v>0</v>
      </c>
      <c r="N838" s="60">
        <f t="shared" si="263"/>
        <v>0</v>
      </c>
      <c r="O838" s="60">
        <f t="shared" si="264"/>
        <v>0</v>
      </c>
      <c r="P838" s="60">
        <f t="shared" si="265"/>
        <v>587.62291096521005</v>
      </c>
      <c r="Q838" s="60">
        <f>IF(H838=1,I838*VEHICLE!$C$69,IF(H838=2,VEHICLE!$C$70*I838,IF(H838=3,VEHICLE!$C$71*I838,0)))</f>
        <v>-293.66011771409734</v>
      </c>
      <c r="R838" s="60">
        <f>(J838+K838+O838+Q838)</f>
        <v>293.96279325111271</v>
      </c>
      <c r="S838" s="60">
        <f t="shared" si="266"/>
        <v>293.96279325111271</v>
      </c>
      <c r="T838" s="60">
        <f>ABS((R838)/((2*PI()*G838)/60))</f>
        <v>0.86373473780336196</v>
      </c>
      <c r="U838" s="60">
        <f t="shared" si="267"/>
        <v>1</v>
      </c>
      <c r="V838" s="60">
        <f>INDEX(BSFC!$D$4:$AD$26,MATCH(U838,BSFC!$B$4:$B$26,0),MATCH(G838,BSFC!$D$2:$AD$2,0))</f>
        <v>1044.1005466399997</v>
      </c>
      <c r="W838" s="60">
        <f t="shared" si="271"/>
        <v>8.5257420312585555E-2</v>
      </c>
      <c r="X838" s="60">
        <f t="shared" si="268"/>
        <v>8.5257420312585555E-2</v>
      </c>
      <c r="Y838" s="60">
        <f t="shared" si="269"/>
        <v>0.26344542876588933</v>
      </c>
      <c r="Z838" s="79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x14ac:dyDescent="0.3">
      <c r="A839" s="55">
        <v>3</v>
      </c>
      <c r="B839" s="60" t="s">
        <v>113</v>
      </c>
      <c r="C839" s="60">
        <f t="shared" si="258"/>
        <v>836</v>
      </c>
      <c r="D839" s="60">
        <f t="shared" si="262"/>
        <v>12.102170000000001</v>
      </c>
      <c r="E839" s="60">
        <f t="shared" si="261"/>
        <v>5.41</v>
      </c>
      <c r="F839" s="89">
        <f>($C$4/E839)+F838</f>
        <v>107.37441085421439</v>
      </c>
      <c r="G839" s="60">
        <f t="shared" si="260"/>
        <v>3000</v>
      </c>
      <c r="H839" s="60">
        <v>1</v>
      </c>
      <c r="I839" s="89">
        <f>E839-E838</f>
        <v>-0.5</v>
      </c>
      <c r="J839" s="60">
        <f>(0.5*VEHICLE!$C$71*VEHICLE!$C$28*VEHICLE!$C$27*'Drive Cycle'!E839^2)</f>
        <v>26.037021759209999</v>
      </c>
      <c r="K839" s="60">
        <f>IF(A839=1,VEHICLE!$S$5,IF(A839=2,VEHICLE!$Q$5,IF(A839=3,VEHICLE!$R$5,IF(A839=4,VEHICLE!$P$5,1))))</f>
        <v>556.55073000000004</v>
      </c>
      <c r="L839" s="60">
        <v>0</v>
      </c>
      <c r="M839" s="60">
        <f t="shared" si="270"/>
        <v>0</v>
      </c>
      <c r="N839" s="60">
        <f t="shared" si="263"/>
        <v>0</v>
      </c>
      <c r="O839" s="60">
        <f t="shared" si="264"/>
        <v>0</v>
      </c>
      <c r="P839" s="60">
        <f t="shared" si="265"/>
        <v>582.58775175921005</v>
      </c>
      <c r="Q839" s="60">
        <f>IF(H839=1,I839*VEHICLE!$C$69,IF(H839=2,VEHICLE!$C$70*I839,IF(H839=3,VEHICLE!$C$71*I839,0)))</f>
        <v>-293.66011771409734</v>
      </c>
      <c r="R839" s="60">
        <f>(J839+K839+O839+Q839)</f>
        <v>288.92763404511271</v>
      </c>
      <c r="S839" s="60">
        <f t="shared" si="266"/>
        <v>288.92763404511271</v>
      </c>
      <c r="T839" s="60">
        <f>ABS((R839)/((2*PI()*G839)/60))</f>
        <v>0.91968522308251754</v>
      </c>
      <c r="U839" s="60">
        <f t="shared" si="267"/>
        <v>1</v>
      </c>
      <c r="V839" s="60">
        <f>INDEX(BSFC!$D$4:$AD$26,MATCH(U839,BSFC!$B$4:$B$26,0),MATCH(G839,BSFC!$D$2:$AD$2,0))</f>
        <v>1049.8371440000003</v>
      </c>
      <c r="W839" s="60">
        <f t="shared" si="271"/>
        <v>8.4257489485721773E-2</v>
      </c>
      <c r="X839" s="60">
        <f t="shared" si="268"/>
        <v>8.4257489485721773E-2</v>
      </c>
      <c r="Y839" s="60">
        <f t="shared" si="269"/>
        <v>0.26035564251088028</v>
      </c>
      <c r="Z839" s="79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x14ac:dyDescent="0.3">
      <c r="A840" s="55">
        <v>4</v>
      </c>
      <c r="B840" s="61" t="s">
        <v>128</v>
      </c>
      <c r="C840" s="61">
        <f t="shared" si="258"/>
        <v>837</v>
      </c>
      <c r="D840" s="61">
        <f t="shared" si="262"/>
        <v>12.102170000000001</v>
      </c>
      <c r="E840" s="61">
        <f>E839</f>
        <v>5.41</v>
      </c>
      <c r="F840" s="88">
        <f>($C$4/E840)+F839</f>
        <v>107.55925373776337</v>
      </c>
      <c r="G840" s="61">
        <f>G839</f>
        <v>3000</v>
      </c>
      <c r="H840" s="61">
        <v>1</v>
      </c>
      <c r="I840" s="88">
        <f>E840-E839</f>
        <v>0</v>
      </c>
      <c r="J840" s="61">
        <f>(0.5*VEHICLE!$C$71*VEHICLE!$C$28*VEHICLE!$C$27*'Drive Cycle'!E840^2)</f>
        <v>26.037021759209999</v>
      </c>
      <c r="K840" s="61">
        <f>IF(A840=1,VEHICLE!$S$5,IF(A840=2,VEHICLE!$Q$5,IF(A840=3,VEHICLE!$R$5,IF(A840=4,VEHICLE!$P$5,1))))</f>
        <v>111.31014600000002</v>
      </c>
      <c r="L840" s="61">
        <v>0</v>
      </c>
      <c r="M840" s="61">
        <f t="shared" si="270"/>
        <v>0</v>
      </c>
      <c r="N840" s="61">
        <f t="shared" si="263"/>
        <v>0</v>
      </c>
      <c r="O840" s="61">
        <f t="shared" si="264"/>
        <v>0</v>
      </c>
      <c r="P840" s="61">
        <f t="shared" si="265"/>
        <v>137.34716775921001</v>
      </c>
      <c r="Q840" s="61">
        <f>IF(H840=1,I840*VEHICLE!$C$69,IF(H840=2,VEHICLE!$C$70*I840,IF(H840=3,VEHICLE!$C$71*I840,0)))</f>
        <v>0</v>
      </c>
      <c r="R840" s="61">
        <f>(J840+K840+O840+Q840)</f>
        <v>137.34716775921001</v>
      </c>
      <c r="S840" s="61">
        <f t="shared" si="266"/>
        <v>137.34716775921001</v>
      </c>
      <c r="T840" s="61">
        <f>ABS((R840)/((2*PI()*G840)/60))</f>
        <v>0.43718961337100143</v>
      </c>
      <c r="U840" s="61">
        <f t="shared" si="267"/>
        <v>1</v>
      </c>
      <c r="V840" s="61">
        <f>INDEX(BSFC!$D$4:$AD$26,MATCH(U840,BSFC!$B$4:$B$26,0),MATCH(G840,BSFC!$D$2:$AD$2,0))</f>
        <v>1049.8371440000003</v>
      </c>
      <c r="W840" s="61">
        <f t="shared" si="271"/>
        <v>4.0053377315782769E-2</v>
      </c>
      <c r="X840" s="61">
        <f t="shared" si="268"/>
        <v>4.0053377315782769E-2</v>
      </c>
      <c r="Y840" s="61">
        <f t="shared" si="269"/>
        <v>0.12376493590576874</v>
      </c>
      <c r="Z840" s="79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x14ac:dyDescent="0.3">
      <c r="A841" s="55">
        <v>4</v>
      </c>
      <c r="B841" s="61" t="s">
        <v>128</v>
      </c>
      <c r="C841" s="61">
        <f t="shared" si="258"/>
        <v>838</v>
      </c>
      <c r="D841" s="61">
        <f t="shared" si="262"/>
        <v>12.102170000000001</v>
      </c>
      <c r="E841" s="61">
        <f t="shared" ref="E841:E860" si="272">E840</f>
        <v>5.41</v>
      </c>
      <c r="F841" s="88">
        <f>($C$4/E841)+F840</f>
        <v>107.74409662131235</v>
      </c>
      <c r="G841" s="61">
        <f t="shared" ref="G841:G860" si="273">G840</f>
        <v>3000</v>
      </c>
      <c r="H841" s="61">
        <v>1</v>
      </c>
      <c r="I841" s="88">
        <f>E841-E840</f>
        <v>0</v>
      </c>
      <c r="J841" s="61">
        <f>(0.5*VEHICLE!$C$71*VEHICLE!$C$28*VEHICLE!$C$27*'Drive Cycle'!E841^2)</f>
        <v>26.037021759209999</v>
      </c>
      <c r="K841" s="61">
        <f>IF(A841=1,VEHICLE!$S$5,IF(A841=2,VEHICLE!$Q$5,IF(A841=3,VEHICLE!$R$5,IF(A841=4,VEHICLE!$P$5,1))))</f>
        <v>111.31014600000002</v>
      </c>
      <c r="L841" s="61">
        <v>0</v>
      </c>
      <c r="M841" s="61">
        <f t="shared" si="270"/>
        <v>0</v>
      </c>
      <c r="N841" s="61">
        <f t="shared" si="263"/>
        <v>0</v>
      </c>
      <c r="O841" s="61">
        <f t="shared" si="264"/>
        <v>0</v>
      </c>
      <c r="P841" s="61">
        <f t="shared" si="265"/>
        <v>137.34716775921001</v>
      </c>
      <c r="Q841" s="61">
        <f>IF(H841=1,I841*VEHICLE!$C$69,IF(H841=2,VEHICLE!$C$70*I841,IF(H841=3,VEHICLE!$C$71*I841,0)))</f>
        <v>0</v>
      </c>
      <c r="R841" s="61">
        <f>(J841+K841+O841+Q841)</f>
        <v>137.34716775921001</v>
      </c>
      <c r="S841" s="61">
        <f t="shared" si="266"/>
        <v>137.34716775921001</v>
      </c>
      <c r="T841" s="61">
        <f>ABS((R841)/((2*PI()*G841)/60))</f>
        <v>0.43718961337100143</v>
      </c>
      <c r="U841" s="61">
        <f t="shared" si="267"/>
        <v>1</v>
      </c>
      <c r="V841" s="61">
        <f>INDEX(BSFC!$D$4:$AD$26,MATCH(U841,BSFC!$B$4:$B$26,0),MATCH(G841,BSFC!$D$2:$AD$2,0))</f>
        <v>1049.8371440000003</v>
      </c>
      <c r="W841" s="61">
        <f t="shared" si="271"/>
        <v>4.0053377315782769E-2</v>
      </c>
      <c r="X841" s="61">
        <f t="shared" si="268"/>
        <v>4.0053377315782769E-2</v>
      </c>
      <c r="Y841" s="61">
        <f t="shared" si="269"/>
        <v>0.12376493590576874</v>
      </c>
      <c r="Z841" s="79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x14ac:dyDescent="0.3">
      <c r="A842" s="55">
        <v>4</v>
      </c>
      <c r="B842" s="61" t="s">
        <v>128</v>
      </c>
      <c r="C842" s="61">
        <f t="shared" si="258"/>
        <v>839</v>
      </c>
      <c r="D842" s="61">
        <f t="shared" si="262"/>
        <v>12.102170000000001</v>
      </c>
      <c r="E842" s="61">
        <f t="shared" si="272"/>
        <v>5.41</v>
      </c>
      <c r="F842" s="88">
        <f>($C$4/E842)+F841</f>
        <v>107.92893950486133</v>
      </c>
      <c r="G842" s="61">
        <f t="shared" si="273"/>
        <v>3000</v>
      </c>
      <c r="H842" s="61">
        <v>1</v>
      </c>
      <c r="I842" s="88">
        <f>E842-E841</f>
        <v>0</v>
      </c>
      <c r="J842" s="61">
        <f>(0.5*VEHICLE!$C$71*VEHICLE!$C$28*VEHICLE!$C$27*'Drive Cycle'!E842^2)</f>
        <v>26.037021759209999</v>
      </c>
      <c r="K842" s="61">
        <f>IF(A842=1,VEHICLE!$S$5,IF(A842=2,VEHICLE!$Q$5,IF(A842=3,VEHICLE!$R$5,IF(A842=4,VEHICLE!$P$5,1))))</f>
        <v>111.31014600000002</v>
      </c>
      <c r="L842" s="61">
        <v>0</v>
      </c>
      <c r="M842" s="61">
        <f t="shared" si="270"/>
        <v>0</v>
      </c>
      <c r="N842" s="61">
        <f t="shared" si="263"/>
        <v>0</v>
      </c>
      <c r="O842" s="61">
        <f t="shared" si="264"/>
        <v>0</v>
      </c>
      <c r="P842" s="61">
        <f t="shared" si="265"/>
        <v>137.34716775921001</v>
      </c>
      <c r="Q842" s="61">
        <f>IF(H842=1,I842*VEHICLE!$C$69,IF(H842=2,VEHICLE!$C$70*I842,IF(H842=3,VEHICLE!$C$71*I842,0)))</f>
        <v>0</v>
      </c>
      <c r="R842" s="61">
        <f>(J842+K842+O842+Q842)</f>
        <v>137.34716775921001</v>
      </c>
      <c r="S842" s="61">
        <f t="shared" si="266"/>
        <v>137.34716775921001</v>
      </c>
      <c r="T842" s="61">
        <f>ABS((R842)/((2*PI()*G842)/60))</f>
        <v>0.43718961337100143</v>
      </c>
      <c r="U842" s="61">
        <f t="shared" si="267"/>
        <v>1</v>
      </c>
      <c r="V842" s="61">
        <f>INDEX(BSFC!$D$4:$AD$26,MATCH(U842,BSFC!$B$4:$B$26,0),MATCH(G842,BSFC!$D$2:$AD$2,0))</f>
        <v>1049.8371440000003</v>
      </c>
      <c r="W842" s="61">
        <f t="shared" si="271"/>
        <v>4.0053377315782769E-2</v>
      </c>
      <c r="X842" s="61">
        <f t="shared" si="268"/>
        <v>4.0053377315782769E-2</v>
      </c>
      <c r="Y842" s="61">
        <f t="shared" si="269"/>
        <v>0.12376493590576874</v>
      </c>
      <c r="Z842" s="79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x14ac:dyDescent="0.3">
      <c r="A843" s="55">
        <v>4</v>
      </c>
      <c r="B843" s="61" t="s">
        <v>128</v>
      </c>
      <c r="C843" s="61">
        <f t="shared" si="258"/>
        <v>840</v>
      </c>
      <c r="D843" s="61">
        <f t="shared" si="262"/>
        <v>12.102170000000001</v>
      </c>
      <c r="E843" s="61">
        <f t="shared" si="272"/>
        <v>5.41</v>
      </c>
      <c r="F843" s="88">
        <f>($C$4/E843)+F842</f>
        <v>108.11378238841031</v>
      </c>
      <c r="G843" s="61">
        <f t="shared" si="273"/>
        <v>3000</v>
      </c>
      <c r="H843" s="61">
        <v>1</v>
      </c>
      <c r="I843" s="88">
        <f>E843-E842</f>
        <v>0</v>
      </c>
      <c r="J843" s="61">
        <f>(0.5*VEHICLE!$C$71*VEHICLE!$C$28*VEHICLE!$C$27*'Drive Cycle'!E843^2)</f>
        <v>26.037021759209999</v>
      </c>
      <c r="K843" s="61">
        <f>IF(A843=1,VEHICLE!$S$5,IF(A843=2,VEHICLE!$Q$5,IF(A843=3,VEHICLE!$R$5,IF(A843=4,VEHICLE!$P$5,1))))</f>
        <v>111.31014600000002</v>
      </c>
      <c r="L843" s="61">
        <v>0</v>
      </c>
      <c r="M843" s="61">
        <f t="shared" si="270"/>
        <v>0</v>
      </c>
      <c r="N843" s="61">
        <f t="shared" si="263"/>
        <v>0</v>
      </c>
      <c r="O843" s="61">
        <f t="shared" si="264"/>
        <v>0</v>
      </c>
      <c r="P843" s="61">
        <f t="shared" si="265"/>
        <v>137.34716775921001</v>
      </c>
      <c r="Q843" s="61">
        <f>IF(H843=1,I843*VEHICLE!$C$69,IF(H843=2,VEHICLE!$C$70*I843,IF(H843=3,VEHICLE!$C$71*I843,0)))</f>
        <v>0</v>
      </c>
      <c r="R843" s="61">
        <f>(J843+K843+O843+Q843)</f>
        <v>137.34716775921001</v>
      </c>
      <c r="S843" s="61">
        <f t="shared" si="266"/>
        <v>137.34716775921001</v>
      </c>
      <c r="T843" s="61">
        <f>ABS((R843)/((2*PI()*G843)/60))</f>
        <v>0.43718961337100143</v>
      </c>
      <c r="U843" s="61">
        <f t="shared" si="267"/>
        <v>1</v>
      </c>
      <c r="V843" s="61">
        <f>INDEX(BSFC!$D$4:$AD$26,MATCH(U843,BSFC!$B$4:$B$26,0),MATCH(G843,BSFC!$D$2:$AD$2,0))</f>
        <v>1049.8371440000003</v>
      </c>
      <c r="W843" s="61">
        <f t="shared" si="271"/>
        <v>4.0053377315782769E-2</v>
      </c>
      <c r="X843" s="61">
        <f t="shared" si="268"/>
        <v>4.0053377315782769E-2</v>
      </c>
      <c r="Y843" s="61">
        <f t="shared" si="269"/>
        <v>0.12376493590576874</v>
      </c>
      <c r="Z843" s="79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x14ac:dyDescent="0.3">
      <c r="A844" s="55">
        <v>4</v>
      </c>
      <c r="B844" s="61" t="s">
        <v>128</v>
      </c>
      <c r="C844" s="61">
        <f t="shared" si="258"/>
        <v>841</v>
      </c>
      <c r="D844" s="61">
        <f t="shared" si="262"/>
        <v>12.102170000000001</v>
      </c>
      <c r="E844" s="61">
        <f t="shared" si="272"/>
        <v>5.41</v>
      </c>
      <c r="F844" s="88">
        <f>($C$4/E844)+F843</f>
        <v>108.2986252719593</v>
      </c>
      <c r="G844" s="61">
        <f t="shared" si="273"/>
        <v>3000</v>
      </c>
      <c r="H844" s="61">
        <v>1</v>
      </c>
      <c r="I844" s="88">
        <f>E844-E843</f>
        <v>0</v>
      </c>
      <c r="J844" s="61">
        <f>(0.5*VEHICLE!$C$71*VEHICLE!$C$28*VEHICLE!$C$27*'Drive Cycle'!E844^2)</f>
        <v>26.037021759209999</v>
      </c>
      <c r="K844" s="61">
        <f>IF(A844=1,VEHICLE!$S$5,IF(A844=2,VEHICLE!$Q$5,IF(A844=3,VEHICLE!$R$5,IF(A844=4,VEHICLE!$P$5,1))))</f>
        <v>111.31014600000002</v>
      </c>
      <c r="L844" s="61">
        <v>0</v>
      </c>
      <c r="M844" s="61">
        <f t="shared" si="270"/>
        <v>0</v>
      </c>
      <c r="N844" s="61">
        <f t="shared" si="263"/>
        <v>0</v>
      </c>
      <c r="O844" s="61">
        <f t="shared" si="264"/>
        <v>0</v>
      </c>
      <c r="P844" s="61">
        <f t="shared" si="265"/>
        <v>137.34716775921001</v>
      </c>
      <c r="Q844" s="61">
        <f>IF(H844=1,I844*VEHICLE!$C$69,IF(H844=2,VEHICLE!$C$70*I844,IF(H844=3,VEHICLE!$C$71*I844,0)))</f>
        <v>0</v>
      </c>
      <c r="R844" s="61">
        <f>(J844+K844+O844+Q844)</f>
        <v>137.34716775921001</v>
      </c>
      <c r="S844" s="61">
        <f t="shared" si="266"/>
        <v>137.34716775921001</v>
      </c>
      <c r="T844" s="61">
        <f>ABS((R844)/((2*PI()*G844)/60))</f>
        <v>0.43718961337100143</v>
      </c>
      <c r="U844" s="61">
        <f t="shared" si="267"/>
        <v>1</v>
      </c>
      <c r="V844" s="61">
        <f>INDEX(BSFC!$D$4:$AD$26,MATCH(U844,BSFC!$B$4:$B$26,0),MATCH(G844,BSFC!$D$2:$AD$2,0))</f>
        <v>1049.8371440000003</v>
      </c>
      <c r="W844" s="61">
        <f t="shared" si="271"/>
        <v>4.0053377315782769E-2</v>
      </c>
      <c r="X844" s="61">
        <f t="shared" si="268"/>
        <v>4.0053377315782769E-2</v>
      </c>
      <c r="Y844" s="61">
        <f t="shared" si="269"/>
        <v>0.12376493590576874</v>
      </c>
      <c r="Z844" s="79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x14ac:dyDescent="0.3">
      <c r="A845" s="55">
        <v>4</v>
      </c>
      <c r="B845" s="61" t="s">
        <v>128</v>
      </c>
      <c r="C845" s="61">
        <f t="shared" si="258"/>
        <v>842</v>
      </c>
      <c r="D845" s="61">
        <f t="shared" si="262"/>
        <v>12.102170000000001</v>
      </c>
      <c r="E845" s="61">
        <f t="shared" si="272"/>
        <v>5.41</v>
      </c>
      <c r="F845" s="88">
        <f>($C$4/E845)+F844</f>
        <v>108.48346815550828</v>
      </c>
      <c r="G845" s="61">
        <f t="shared" si="273"/>
        <v>3000</v>
      </c>
      <c r="H845" s="61">
        <v>1</v>
      </c>
      <c r="I845" s="88">
        <f>E845-E844</f>
        <v>0</v>
      </c>
      <c r="J845" s="61">
        <f>(0.5*VEHICLE!$C$71*VEHICLE!$C$28*VEHICLE!$C$27*'Drive Cycle'!E845^2)</f>
        <v>26.037021759209999</v>
      </c>
      <c r="K845" s="61">
        <f>IF(A845=1,VEHICLE!$S$5,IF(A845=2,VEHICLE!$Q$5,IF(A845=3,VEHICLE!$R$5,IF(A845=4,VEHICLE!$P$5,1))))</f>
        <v>111.31014600000002</v>
      </c>
      <c r="L845" s="61">
        <v>0</v>
      </c>
      <c r="M845" s="61">
        <f t="shared" si="270"/>
        <v>0</v>
      </c>
      <c r="N845" s="61">
        <f t="shared" si="263"/>
        <v>0</v>
      </c>
      <c r="O845" s="61">
        <f t="shared" si="264"/>
        <v>0</v>
      </c>
      <c r="P845" s="61">
        <f t="shared" si="265"/>
        <v>137.34716775921001</v>
      </c>
      <c r="Q845" s="61">
        <f>IF(H845=1,I845*VEHICLE!$C$69,IF(H845=2,VEHICLE!$C$70*I845,IF(H845=3,VEHICLE!$C$71*I845,0)))</f>
        <v>0</v>
      </c>
      <c r="R845" s="61">
        <f>(J845+K845+O845+Q845)</f>
        <v>137.34716775921001</v>
      </c>
      <c r="S845" s="61">
        <f t="shared" si="266"/>
        <v>137.34716775921001</v>
      </c>
      <c r="T845" s="61">
        <f>ABS((R845)/((2*PI()*G845)/60))</f>
        <v>0.43718961337100143</v>
      </c>
      <c r="U845" s="61">
        <f t="shared" si="267"/>
        <v>1</v>
      </c>
      <c r="V845" s="61">
        <f>INDEX(BSFC!$D$4:$AD$26,MATCH(U845,BSFC!$B$4:$B$26,0),MATCH(G845,BSFC!$D$2:$AD$2,0))</f>
        <v>1049.8371440000003</v>
      </c>
      <c r="W845" s="61">
        <f t="shared" si="271"/>
        <v>4.0053377315782769E-2</v>
      </c>
      <c r="X845" s="61">
        <f t="shared" si="268"/>
        <v>4.0053377315782769E-2</v>
      </c>
      <c r="Y845" s="61">
        <f t="shared" si="269"/>
        <v>0.12376493590576874</v>
      </c>
      <c r="Z845" s="79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x14ac:dyDescent="0.3">
      <c r="A846" s="55">
        <v>4</v>
      </c>
      <c r="B846" s="61" t="s">
        <v>128</v>
      </c>
      <c r="C846" s="61">
        <f t="shared" si="258"/>
        <v>843</v>
      </c>
      <c r="D846" s="61">
        <f t="shared" si="262"/>
        <v>12.102170000000001</v>
      </c>
      <c r="E846" s="61">
        <f t="shared" si="272"/>
        <v>5.41</v>
      </c>
      <c r="F846" s="88">
        <f>($C$4/E846)+F845</f>
        <v>108.66831103905726</v>
      </c>
      <c r="G846" s="61">
        <f t="shared" si="273"/>
        <v>3000</v>
      </c>
      <c r="H846" s="61">
        <v>1</v>
      </c>
      <c r="I846" s="88">
        <f>E846-E845</f>
        <v>0</v>
      </c>
      <c r="J846" s="61">
        <f>(0.5*VEHICLE!$C$71*VEHICLE!$C$28*VEHICLE!$C$27*'Drive Cycle'!E846^2)</f>
        <v>26.037021759209999</v>
      </c>
      <c r="K846" s="61">
        <f>IF(A846=1,VEHICLE!$S$5,IF(A846=2,VEHICLE!$Q$5,IF(A846=3,VEHICLE!$R$5,IF(A846=4,VEHICLE!$P$5,1))))</f>
        <v>111.31014600000002</v>
      </c>
      <c r="L846" s="61">
        <v>0</v>
      </c>
      <c r="M846" s="61">
        <f t="shared" si="270"/>
        <v>0</v>
      </c>
      <c r="N846" s="61">
        <f t="shared" si="263"/>
        <v>0</v>
      </c>
      <c r="O846" s="61">
        <f t="shared" si="264"/>
        <v>0</v>
      </c>
      <c r="P846" s="61">
        <f t="shared" si="265"/>
        <v>137.34716775921001</v>
      </c>
      <c r="Q846" s="61">
        <f>IF(H846=1,I846*VEHICLE!$C$69,IF(H846=2,VEHICLE!$C$70*I846,IF(H846=3,VEHICLE!$C$71*I846,0)))</f>
        <v>0</v>
      </c>
      <c r="R846" s="61">
        <f>(J846+K846+O846+Q846)</f>
        <v>137.34716775921001</v>
      </c>
      <c r="S846" s="61">
        <f t="shared" si="266"/>
        <v>137.34716775921001</v>
      </c>
      <c r="T846" s="61">
        <f>ABS((R846)/((2*PI()*G846)/60))</f>
        <v>0.43718961337100143</v>
      </c>
      <c r="U846" s="61">
        <f t="shared" si="267"/>
        <v>1</v>
      </c>
      <c r="V846" s="61">
        <f>INDEX(BSFC!$D$4:$AD$26,MATCH(U846,BSFC!$B$4:$B$26,0),MATCH(G846,BSFC!$D$2:$AD$2,0))</f>
        <v>1049.8371440000003</v>
      </c>
      <c r="W846" s="61">
        <f t="shared" si="271"/>
        <v>4.0053377315782769E-2</v>
      </c>
      <c r="X846" s="61">
        <f t="shared" si="268"/>
        <v>4.0053377315782769E-2</v>
      </c>
      <c r="Y846" s="61">
        <f t="shared" si="269"/>
        <v>0.12376493590576874</v>
      </c>
      <c r="Z846" s="79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x14ac:dyDescent="0.3">
      <c r="A847" s="55">
        <v>4</v>
      </c>
      <c r="B847" s="61" t="s">
        <v>128</v>
      </c>
      <c r="C847" s="61">
        <f t="shared" si="258"/>
        <v>844</v>
      </c>
      <c r="D847" s="61">
        <f t="shared" si="262"/>
        <v>12.102170000000001</v>
      </c>
      <c r="E847" s="61">
        <f t="shared" si="272"/>
        <v>5.41</v>
      </c>
      <c r="F847" s="88">
        <f>($C$4/E847)+F846</f>
        <v>108.85315392260624</v>
      </c>
      <c r="G847" s="61">
        <f t="shared" si="273"/>
        <v>3000</v>
      </c>
      <c r="H847" s="61">
        <v>1</v>
      </c>
      <c r="I847" s="88">
        <f>E847-E846</f>
        <v>0</v>
      </c>
      <c r="J847" s="61">
        <f>(0.5*VEHICLE!$C$71*VEHICLE!$C$28*VEHICLE!$C$27*'Drive Cycle'!E847^2)</f>
        <v>26.037021759209999</v>
      </c>
      <c r="K847" s="61">
        <f>IF(A847=1,VEHICLE!$S$5,IF(A847=2,VEHICLE!$Q$5,IF(A847=3,VEHICLE!$R$5,IF(A847=4,VEHICLE!$P$5,1))))</f>
        <v>111.31014600000002</v>
      </c>
      <c r="L847" s="61">
        <v>0</v>
      </c>
      <c r="M847" s="61">
        <f t="shared" si="270"/>
        <v>0</v>
      </c>
      <c r="N847" s="61">
        <f t="shared" si="263"/>
        <v>0</v>
      </c>
      <c r="O847" s="61">
        <f t="shared" si="264"/>
        <v>0</v>
      </c>
      <c r="P847" s="61">
        <f t="shared" si="265"/>
        <v>137.34716775921001</v>
      </c>
      <c r="Q847" s="61">
        <f>IF(H847=1,I847*VEHICLE!$C$69,IF(H847=2,VEHICLE!$C$70*I847,IF(H847=3,VEHICLE!$C$71*I847,0)))</f>
        <v>0</v>
      </c>
      <c r="R847" s="61">
        <f>(J847+K847+O847+Q847)</f>
        <v>137.34716775921001</v>
      </c>
      <c r="S847" s="61">
        <f t="shared" si="266"/>
        <v>137.34716775921001</v>
      </c>
      <c r="T847" s="61">
        <f>ABS((R847)/((2*PI()*G847)/60))</f>
        <v>0.43718961337100143</v>
      </c>
      <c r="U847" s="61">
        <f t="shared" si="267"/>
        <v>1</v>
      </c>
      <c r="V847" s="61">
        <f>INDEX(BSFC!$D$4:$AD$26,MATCH(U847,BSFC!$B$4:$B$26,0),MATCH(G847,BSFC!$D$2:$AD$2,0))</f>
        <v>1049.8371440000003</v>
      </c>
      <c r="W847" s="61">
        <f t="shared" si="271"/>
        <v>4.0053377315782769E-2</v>
      </c>
      <c r="X847" s="61">
        <f t="shared" si="268"/>
        <v>4.0053377315782769E-2</v>
      </c>
      <c r="Y847" s="61">
        <f t="shared" si="269"/>
        <v>0.12376493590576874</v>
      </c>
      <c r="Z847" s="79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x14ac:dyDescent="0.3">
      <c r="A848" s="55">
        <v>4</v>
      </c>
      <c r="B848" s="61" t="s">
        <v>128</v>
      </c>
      <c r="C848" s="61">
        <f t="shared" si="258"/>
        <v>845</v>
      </c>
      <c r="D848" s="61">
        <f t="shared" si="262"/>
        <v>12.102170000000001</v>
      </c>
      <c r="E848" s="61">
        <f t="shared" si="272"/>
        <v>5.41</v>
      </c>
      <c r="F848" s="88">
        <f>($C$4/E848)+F847</f>
        <v>109.03799680615522</v>
      </c>
      <c r="G848" s="61">
        <f t="shared" si="273"/>
        <v>3000</v>
      </c>
      <c r="H848" s="61">
        <v>1</v>
      </c>
      <c r="I848" s="88">
        <f>E848-E847</f>
        <v>0</v>
      </c>
      <c r="J848" s="61">
        <f>(0.5*VEHICLE!$C$71*VEHICLE!$C$28*VEHICLE!$C$27*'Drive Cycle'!E848^2)</f>
        <v>26.037021759209999</v>
      </c>
      <c r="K848" s="61">
        <f>IF(A848=1,VEHICLE!$S$5,IF(A848=2,VEHICLE!$Q$5,IF(A848=3,VEHICLE!$R$5,IF(A848=4,VEHICLE!$P$5,1))))</f>
        <v>111.31014600000002</v>
      </c>
      <c r="L848" s="61">
        <v>0</v>
      </c>
      <c r="M848" s="61">
        <f t="shared" si="270"/>
        <v>0</v>
      </c>
      <c r="N848" s="61">
        <f t="shared" si="263"/>
        <v>0</v>
      </c>
      <c r="O848" s="61">
        <f t="shared" si="264"/>
        <v>0</v>
      </c>
      <c r="P848" s="61">
        <f t="shared" si="265"/>
        <v>137.34716775921001</v>
      </c>
      <c r="Q848" s="61">
        <f>IF(H848=1,I848*VEHICLE!$C$69,IF(H848=2,VEHICLE!$C$70*I848,IF(H848=3,VEHICLE!$C$71*I848,0)))</f>
        <v>0</v>
      </c>
      <c r="R848" s="61">
        <f>(J848+K848+O848+Q848)</f>
        <v>137.34716775921001</v>
      </c>
      <c r="S848" s="61">
        <f t="shared" si="266"/>
        <v>137.34716775921001</v>
      </c>
      <c r="T848" s="61">
        <f>ABS((R848)/((2*PI()*G848)/60))</f>
        <v>0.43718961337100143</v>
      </c>
      <c r="U848" s="61">
        <f t="shared" si="267"/>
        <v>1</v>
      </c>
      <c r="V848" s="61">
        <f>INDEX(BSFC!$D$4:$AD$26,MATCH(U848,BSFC!$B$4:$B$26,0),MATCH(G848,BSFC!$D$2:$AD$2,0))</f>
        <v>1049.8371440000003</v>
      </c>
      <c r="W848" s="61">
        <f t="shared" si="271"/>
        <v>4.0053377315782769E-2</v>
      </c>
      <c r="X848" s="61">
        <f t="shared" si="268"/>
        <v>4.0053377315782769E-2</v>
      </c>
      <c r="Y848" s="61">
        <f t="shared" si="269"/>
        <v>0.12376493590576874</v>
      </c>
      <c r="Z848" s="79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x14ac:dyDescent="0.3">
      <c r="A849" s="55">
        <v>4</v>
      </c>
      <c r="B849" s="61" t="s">
        <v>128</v>
      </c>
      <c r="C849" s="61">
        <f t="shared" si="258"/>
        <v>846</v>
      </c>
      <c r="D849" s="61">
        <f t="shared" si="262"/>
        <v>12.102170000000001</v>
      </c>
      <c r="E849" s="61">
        <f t="shared" si="272"/>
        <v>5.41</v>
      </c>
      <c r="F849" s="88">
        <f>($C$4/E849)+F848</f>
        <v>109.2228396897042</v>
      </c>
      <c r="G849" s="61">
        <f t="shared" si="273"/>
        <v>3000</v>
      </c>
      <c r="H849" s="61">
        <v>1</v>
      </c>
      <c r="I849" s="88">
        <f>E849-E848</f>
        <v>0</v>
      </c>
      <c r="J849" s="61">
        <f>(0.5*VEHICLE!$C$71*VEHICLE!$C$28*VEHICLE!$C$27*'Drive Cycle'!E849^2)</f>
        <v>26.037021759209999</v>
      </c>
      <c r="K849" s="61">
        <f>IF(A849=1,VEHICLE!$S$5,IF(A849=2,VEHICLE!$Q$5,IF(A849=3,VEHICLE!$R$5,IF(A849=4,VEHICLE!$P$5,1))))</f>
        <v>111.31014600000002</v>
      </c>
      <c r="L849" s="61">
        <v>0</v>
      </c>
      <c r="M849" s="61">
        <f t="shared" si="270"/>
        <v>0</v>
      </c>
      <c r="N849" s="61">
        <f t="shared" si="263"/>
        <v>0</v>
      </c>
      <c r="O849" s="61">
        <f t="shared" si="264"/>
        <v>0</v>
      </c>
      <c r="P849" s="61">
        <f t="shared" si="265"/>
        <v>137.34716775921001</v>
      </c>
      <c r="Q849" s="61">
        <f>IF(H849=1,I849*VEHICLE!$C$69,IF(H849=2,VEHICLE!$C$70*I849,IF(H849=3,VEHICLE!$C$71*I849,0)))</f>
        <v>0</v>
      </c>
      <c r="R849" s="61">
        <f>(J849+K849+O849+Q849)</f>
        <v>137.34716775921001</v>
      </c>
      <c r="S849" s="61">
        <f t="shared" si="266"/>
        <v>137.34716775921001</v>
      </c>
      <c r="T849" s="61">
        <f>ABS((R849)/((2*PI()*G849)/60))</f>
        <v>0.43718961337100143</v>
      </c>
      <c r="U849" s="61">
        <f t="shared" si="267"/>
        <v>1</v>
      </c>
      <c r="V849" s="61">
        <f>INDEX(BSFC!$D$4:$AD$26,MATCH(U849,BSFC!$B$4:$B$26,0),MATCH(G849,BSFC!$D$2:$AD$2,0))</f>
        <v>1049.8371440000003</v>
      </c>
      <c r="W849" s="61">
        <f t="shared" si="271"/>
        <v>4.0053377315782769E-2</v>
      </c>
      <c r="X849" s="61">
        <f t="shared" si="268"/>
        <v>4.0053377315782769E-2</v>
      </c>
      <c r="Y849" s="61">
        <f t="shared" si="269"/>
        <v>0.12376493590576874</v>
      </c>
      <c r="Z849" s="79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x14ac:dyDescent="0.3">
      <c r="A850" s="55">
        <v>4</v>
      </c>
      <c r="B850" s="61" t="s">
        <v>128</v>
      </c>
      <c r="C850" s="61">
        <f t="shared" si="258"/>
        <v>847</v>
      </c>
      <c r="D850" s="61">
        <f t="shared" si="262"/>
        <v>12.102170000000001</v>
      </c>
      <c r="E850" s="61">
        <f t="shared" si="272"/>
        <v>5.41</v>
      </c>
      <c r="F850" s="88">
        <f>($C$4/E850)+F849</f>
        <v>109.40768257325318</v>
      </c>
      <c r="G850" s="61">
        <f t="shared" si="273"/>
        <v>3000</v>
      </c>
      <c r="H850" s="61">
        <v>1</v>
      </c>
      <c r="I850" s="88">
        <f>E850-E849</f>
        <v>0</v>
      </c>
      <c r="J850" s="61">
        <f>(0.5*VEHICLE!$C$71*VEHICLE!$C$28*VEHICLE!$C$27*'Drive Cycle'!E850^2)</f>
        <v>26.037021759209999</v>
      </c>
      <c r="K850" s="61">
        <f>IF(A850=1,VEHICLE!$S$5,IF(A850=2,VEHICLE!$Q$5,IF(A850=3,VEHICLE!$R$5,IF(A850=4,VEHICLE!$P$5,1))))</f>
        <v>111.31014600000002</v>
      </c>
      <c r="L850" s="61">
        <v>0</v>
      </c>
      <c r="M850" s="61">
        <f t="shared" si="270"/>
        <v>0</v>
      </c>
      <c r="N850" s="61">
        <f t="shared" si="263"/>
        <v>0</v>
      </c>
      <c r="O850" s="61">
        <f t="shared" si="264"/>
        <v>0</v>
      </c>
      <c r="P850" s="61">
        <f t="shared" si="265"/>
        <v>137.34716775921001</v>
      </c>
      <c r="Q850" s="61">
        <f>IF(H850=1,I850*VEHICLE!$C$69,IF(H850=2,VEHICLE!$C$70*I850,IF(H850=3,VEHICLE!$C$71*I850,0)))</f>
        <v>0</v>
      </c>
      <c r="R850" s="61">
        <f>(J850+K850+O850+Q850)</f>
        <v>137.34716775921001</v>
      </c>
      <c r="S850" s="61">
        <f t="shared" si="266"/>
        <v>137.34716775921001</v>
      </c>
      <c r="T850" s="61">
        <f>ABS((R850)/((2*PI()*G850)/60))</f>
        <v>0.43718961337100143</v>
      </c>
      <c r="U850" s="61">
        <f t="shared" si="267"/>
        <v>1</v>
      </c>
      <c r="V850" s="61">
        <f>INDEX(BSFC!$D$4:$AD$26,MATCH(U850,BSFC!$B$4:$B$26,0),MATCH(G850,BSFC!$D$2:$AD$2,0))</f>
        <v>1049.8371440000003</v>
      </c>
      <c r="W850" s="61">
        <f t="shared" si="271"/>
        <v>4.0053377315782769E-2</v>
      </c>
      <c r="X850" s="61">
        <f t="shared" si="268"/>
        <v>4.0053377315782769E-2</v>
      </c>
      <c r="Y850" s="61">
        <f t="shared" si="269"/>
        <v>0.12376493590576874</v>
      </c>
      <c r="Z850" s="79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x14ac:dyDescent="0.3">
      <c r="A851" s="55">
        <v>4</v>
      </c>
      <c r="B851" s="61" t="s">
        <v>128</v>
      </c>
      <c r="C851" s="61">
        <f t="shared" si="258"/>
        <v>848</v>
      </c>
      <c r="D851" s="61">
        <f t="shared" si="262"/>
        <v>12.102170000000001</v>
      </c>
      <c r="E851" s="61">
        <f t="shared" si="272"/>
        <v>5.41</v>
      </c>
      <c r="F851" s="88">
        <f>($C$4/E851)+F850</f>
        <v>109.59252545680216</v>
      </c>
      <c r="G851" s="61">
        <f t="shared" si="273"/>
        <v>3000</v>
      </c>
      <c r="H851" s="61">
        <v>1</v>
      </c>
      <c r="I851" s="88">
        <f>E851-E850</f>
        <v>0</v>
      </c>
      <c r="J851" s="61">
        <f>(0.5*VEHICLE!$C$71*VEHICLE!$C$28*VEHICLE!$C$27*'Drive Cycle'!E851^2)</f>
        <v>26.037021759209999</v>
      </c>
      <c r="K851" s="61">
        <f>IF(A851=1,VEHICLE!$S$5,IF(A851=2,VEHICLE!$Q$5,IF(A851=3,VEHICLE!$R$5,IF(A851=4,VEHICLE!$P$5,1))))</f>
        <v>111.31014600000002</v>
      </c>
      <c r="L851" s="61">
        <v>0</v>
      </c>
      <c r="M851" s="61">
        <f t="shared" si="270"/>
        <v>0</v>
      </c>
      <c r="N851" s="61">
        <f t="shared" si="263"/>
        <v>0</v>
      </c>
      <c r="O851" s="61">
        <f t="shared" si="264"/>
        <v>0</v>
      </c>
      <c r="P851" s="61">
        <f t="shared" si="265"/>
        <v>137.34716775921001</v>
      </c>
      <c r="Q851" s="61">
        <f>IF(H851=1,I851*VEHICLE!$C$69,IF(H851=2,VEHICLE!$C$70*I851,IF(H851=3,VEHICLE!$C$71*I851,0)))</f>
        <v>0</v>
      </c>
      <c r="R851" s="61">
        <f>(J851+K851+O851+Q851)</f>
        <v>137.34716775921001</v>
      </c>
      <c r="S851" s="61">
        <f t="shared" si="266"/>
        <v>137.34716775921001</v>
      </c>
      <c r="T851" s="61">
        <f>ABS((R851)/((2*PI()*G851)/60))</f>
        <v>0.43718961337100143</v>
      </c>
      <c r="U851" s="61">
        <f t="shared" si="267"/>
        <v>1</v>
      </c>
      <c r="V851" s="61">
        <f>INDEX(BSFC!$D$4:$AD$26,MATCH(U851,BSFC!$B$4:$B$26,0),MATCH(G851,BSFC!$D$2:$AD$2,0))</f>
        <v>1049.8371440000003</v>
      </c>
      <c r="W851" s="61">
        <f t="shared" si="271"/>
        <v>4.0053377315782769E-2</v>
      </c>
      <c r="X851" s="61">
        <f t="shared" si="268"/>
        <v>4.0053377315782769E-2</v>
      </c>
      <c r="Y851" s="61">
        <f t="shared" si="269"/>
        <v>0.12376493590576874</v>
      </c>
      <c r="Z851" s="79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x14ac:dyDescent="0.3">
      <c r="A852" s="55">
        <v>4</v>
      </c>
      <c r="B852" s="61" t="s">
        <v>128</v>
      </c>
      <c r="C852" s="61">
        <f t="shared" si="258"/>
        <v>849</v>
      </c>
      <c r="D852" s="61">
        <f t="shared" si="262"/>
        <v>12.102170000000001</v>
      </c>
      <c r="E852" s="61">
        <f t="shared" si="272"/>
        <v>5.41</v>
      </c>
      <c r="F852" s="88">
        <f>($C$4/E852)+F851</f>
        <v>109.77736834035115</v>
      </c>
      <c r="G852" s="61">
        <f t="shared" si="273"/>
        <v>3000</v>
      </c>
      <c r="H852" s="61">
        <v>1</v>
      </c>
      <c r="I852" s="88">
        <f>E852-E851</f>
        <v>0</v>
      </c>
      <c r="J852" s="61">
        <f>(0.5*VEHICLE!$C$71*VEHICLE!$C$28*VEHICLE!$C$27*'Drive Cycle'!E852^2)</f>
        <v>26.037021759209999</v>
      </c>
      <c r="K852" s="61">
        <f>IF(A852=1,VEHICLE!$S$5,IF(A852=2,VEHICLE!$Q$5,IF(A852=3,VEHICLE!$R$5,IF(A852=4,VEHICLE!$P$5,1))))</f>
        <v>111.31014600000002</v>
      </c>
      <c r="L852" s="61">
        <v>0</v>
      </c>
      <c r="M852" s="61">
        <f t="shared" si="270"/>
        <v>0</v>
      </c>
      <c r="N852" s="61">
        <f t="shared" si="263"/>
        <v>0</v>
      </c>
      <c r="O852" s="61">
        <f t="shared" si="264"/>
        <v>0</v>
      </c>
      <c r="P852" s="61">
        <f t="shared" si="265"/>
        <v>137.34716775921001</v>
      </c>
      <c r="Q852" s="61">
        <f>IF(H852=1,I852*VEHICLE!$C$69,IF(H852=2,VEHICLE!$C$70*I852,IF(H852=3,VEHICLE!$C$71*I852,0)))</f>
        <v>0</v>
      </c>
      <c r="R852" s="61">
        <f>(J852+K852+O852+Q852)</f>
        <v>137.34716775921001</v>
      </c>
      <c r="S852" s="61">
        <f t="shared" si="266"/>
        <v>137.34716775921001</v>
      </c>
      <c r="T852" s="61">
        <f>ABS((R852)/((2*PI()*G852)/60))</f>
        <v>0.43718961337100143</v>
      </c>
      <c r="U852" s="61">
        <f t="shared" si="267"/>
        <v>1</v>
      </c>
      <c r="V852" s="61">
        <f>INDEX(BSFC!$D$4:$AD$26,MATCH(U852,BSFC!$B$4:$B$26,0),MATCH(G852,BSFC!$D$2:$AD$2,0))</f>
        <v>1049.8371440000003</v>
      </c>
      <c r="W852" s="61">
        <f t="shared" si="271"/>
        <v>4.0053377315782769E-2</v>
      </c>
      <c r="X852" s="61">
        <f t="shared" si="268"/>
        <v>4.0053377315782769E-2</v>
      </c>
      <c r="Y852" s="61">
        <f t="shared" si="269"/>
        <v>0.12376493590576874</v>
      </c>
      <c r="Z852" s="79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x14ac:dyDescent="0.3">
      <c r="A853" s="55">
        <v>4</v>
      </c>
      <c r="B853" s="61" t="s">
        <v>128</v>
      </c>
      <c r="C853" s="61">
        <f t="shared" si="258"/>
        <v>850</v>
      </c>
      <c r="D853" s="61">
        <f t="shared" si="262"/>
        <v>12.102170000000001</v>
      </c>
      <c r="E853" s="61">
        <f t="shared" si="272"/>
        <v>5.41</v>
      </c>
      <c r="F853" s="88">
        <f>($C$4/E853)+F852</f>
        <v>109.96221122390013</v>
      </c>
      <c r="G853" s="61">
        <f t="shared" si="273"/>
        <v>3000</v>
      </c>
      <c r="H853" s="61">
        <v>1</v>
      </c>
      <c r="I853" s="88">
        <f>E853-E852</f>
        <v>0</v>
      </c>
      <c r="J853" s="61">
        <f>(0.5*VEHICLE!$C$71*VEHICLE!$C$28*VEHICLE!$C$27*'Drive Cycle'!E853^2)</f>
        <v>26.037021759209999</v>
      </c>
      <c r="K853" s="61">
        <f>IF(A853=1,VEHICLE!$S$5,IF(A853=2,VEHICLE!$Q$5,IF(A853=3,VEHICLE!$R$5,IF(A853=4,VEHICLE!$P$5,1))))</f>
        <v>111.31014600000002</v>
      </c>
      <c r="L853" s="61">
        <v>0</v>
      </c>
      <c r="M853" s="61">
        <f t="shared" si="270"/>
        <v>0</v>
      </c>
      <c r="N853" s="61">
        <f t="shared" si="263"/>
        <v>0</v>
      </c>
      <c r="O853" s="61">
        <f t="shared" si="264"/>
        <v>0</v>
      </c>
      <c r="P853" s="61">
        <f t="shared" si="265"/>
        <v>137.34716775921001</v>
      </c>
      <c r="Q853" s="61">
        <f>IF(H853=1,I853*VEHICLE!$C$69,IF(H853=2,VEHICLE!$C$70*I853,IF(H853=3,VEHICLE!$C$71*I853,0)))</f>
        <v>0</v>
      </c>
      <c r="R853" s="61">
        <f>(J853+K853+O853+Q853)</f>
        <v>137.34716775921001</v>
      </c>
      <c r="S853" s="61">
        <f t="shared" si="266"/>
        <v>137.34716775921001</v>
      </c>
      <c r="T853" s="61">
        <f>ABS((R853)/((2*PI()*G853)/60))</f>
        <v>0.43718961337100143</v>
      </c>
      <c r="U853" s="61">
        <f t="shared" si="267"/>
        <v>1</v>
      </c>
      <c r="V853" s="61">
        <f>INDEX(BSFC!$D$4:$AD$26,MATCH(U853,BSFC!$B$4:$B$26,0),MATCH(G853,BSFC!$D$2:$AD$2,0))</f>
        <v>1049.8371440000003</v>
      </c>
      <c r="W853" s="61">
        <f t="shared" si="271"/>
        <v>4.0053377315782769E-2</v>
      </c>
      <c r="X853" s="61">
        <f t="shared" si="268"/>
        <v>4.0053377315782769E-2</v>
      </c>
      <c r="Y853" s="61">
        <f t="shared" si="269"/>
        <v>0.12376493590576874</v>
      </c>
      <c r="Z853" s="79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x14ac:dyDescent="0.3">
      <c r="A854" s="55">
        <v>4</v>
      </c>
      <c r="B854" s="61" t="s">
        <v>128</v>
      </c>
      <c r="C854" s="61">
        <f t="shared" si="258"/>
        <v>851</v>
      </c>
      <c r="D854" s="61">
        <f t="shared" si="262"/>
        <v>12.102170000000001</v>
      </c>
      <c r="E854" s="61">
        <f t="shared" si="272"/>
        <v>5.41</v>
      </c>
      <c r="F854" s="88">
        <f>($C$4/E854)+F853</f>
        <v>110.14705410744911</v>
      </c>
      <c r="G854" s="61">
        <f t="shared" si="273"/>
        <v>3000</v>
      </c>
      <c r="H854" s="61">
        <v>1</v>
      </c>
      <c r="I854" s="88">
        <f>E854-E853</f>
        <v>0</v>
      </c>
      <c r="J854" s="61">
        <f>(0.5*VEHICLE!$C$71*VEHICLE!$C$28*VEHICLE!$C$27*'Drive Cycle'!E854^2)</f>
        <v>26.037021759209999</v>
      </c>
      <c r="K854" s="61">
        <f>IF(A854=1,VEHICLE!$S$5,IF(A854=2,VEHICLE!$Q$5,IF(A854=3,VEHICLE!$R$5,IF(A854=4,VEHICLE!$P$5,1))))</f>
        <v>111.31014600000002</v>
      </c>
      <c r="L854" s="61">
        <v>0</v>
      </c>
      <c r="M854" s="61">
        <f t="shared" si="270"/>
        <v>0</v>
      </c>
      <c r="N854" s="61">
        <f t="shared" si="263"/>
        <v>0</v>
      </c>
      <c r="O854" s="61">
        <f t="shared" si="264"/>
        <v>0</v>
      </c>
      <c r="P854" s="61">
        <f t="shared" si="265"/>
        <v>137.34716775921001</v>
      </c>
      <c r="Q854" s="61">
        <f>IF(H854=1,I854*VEHICLE!$C$69,IF(H854=2,VEHICLE!$C$70*I854,IF(H854=3,VEHICLE!$C$71*I854,0)))</f>
        <v>0</v>
      </c>
      <c r="R854" s="61">
        <f>(J854+K854+O854+Q854)</f>
        <v>137.34716775921001</v>
      </c>
      <c r="S854" s="61">
        <f t="shared" si="266"/>
        <v>137.34716775921001</v>
      </c>
      <c r="T854" s="61">
        <f>ABS((R854)/((2*PI()*G854)/60))</f>
        <v>0.43718961337100143</v>
      </c>
      <c r="U854" s="61">
        <f t="shared" si="267"/>
        <v>1</v>
      </c>
      <c r="V854" s="61">
        <f>INDEX(BSFC!$D$4:$AD$26,MATCH(U854,BSFC!$B$4:$B$26,0),MATCH(G854,BSFC!$D$2:$AD$2,0))</f>
        <v>1049.8371440000003</v>
      </c>
      <c r="W854" s="61">
        <f t="shared" si="271"/>
        <v>4.0053377315782769E-2</v>
      </c>
      <c r="X854" s="61">
        <f t="shared" si="268"/>
        <v>4.0053377315782769E-2</v>
      </c>
      <c r="Y854" s="61">
        <f t="shared" si="269"/>
        <v>0.12376493590576874</v>
      </c>
      <c r="Z854" s="79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x14ac:dyDescent="0.3">
      <c r="A855" s="55">
        <v>4</v>
      </c>
      <c r="B855" s="61" t="s">
        <v>128</v>
      </c>
      <c r="C855" s="61">
        <f t="shared" si="258"/>
        <v>852</v>
      </c>
      <c r="D855" s="61">
        <f t="shared" si="262"/>
        <v>12.102170000000001</v>
      </c>
      <c r="E855" s="61">
        <f>E854</f>
        <v>5.41</v>
      </c>
      <c r="F855" s="88">
        <f>($C$4/E855)+F854</f>
        <v>110.33189699099809</v>
      </c>
      <c r="G855" s="61">
        <f t="shared" si="273"/>
        <v>3000</v>
      </c>
      <c r="H855" s="61">
        <v>1</v>
      </c>
      <c r="I855" s="88">
        <f>E855-E854</f>
        <v>0</v>
      </c>
      <c r="J855" s="61">
        <f>(0.5*VEHICLE!$C$71*VEHICLE!$C$28*VEHICLE!$C$27*'Drive Cycle'!E855^2)</f>
        <v>26.037021759209999</v>
      </c>
      <c r="K855" s="61">
        <f>IF(A855=1,VEHICLE!$S$5,IF(A855=2,VEHICLE!$Q$5,IF(A855=3,VEHICLE!$R$5,IF(A855=4,VEHICLE!$P$5,1))))</f>
        <v>111.31014600000002</v>
      </c>
      <c r="L855" s="61">
        <v>0</v>
      </c>
      <c r="M855" s="61">
        <f t="shared" si="270"/>
        <v>0</v>
      </c>
      <c r="N855" s="61">
        <f t="shared" si="263"/>
        <v>0</v>
      </c>
      <c r="O855" s="61">
        <f t="shared" si="264"/>
        <v>0</v>
      </c>
      <c r="P855" s="61">
        <f t="shared" si="265"/>
        <v>137.34716775921001</v>
      </c>
      <c r="Q855" s="61">
        <f>IF(H855=1,I855*VEHICLE!$C$69,IF(H855=2,VEHICLE!$C$70*I855,IF(H855=3,VEHICLE!$C$71*I855,0)))</f>
        <v>0</v>
      </c>
      <c r="R855" s="61">
        <f>(J855+K855+O855+Q855)</f>
        <v>137.34716775921001</v>
      </c>
      <c r="S855" s="61">
        <f t="shared" si="266"/>
        <v>137.34716775921001</v>
      </c>
      <c r="T855" s="61">
        <f>ABS((R855)/((2*PI()*G855)/60))</f>
        <v>0.43718961337100143</v>
      </c>
      <c r="U855" s="61">
        <f t="shared" si="267"/>
        <v>1</v>
      </c>
      <c r="V855" s="61">
        <f>INDEX(BSFC!$D$4:$AD$26,MATCH(U855,BSFC!$B$4:$B$26,0),MATCH(G855,BSFC!$D$2:$AD$2,0))</f>
        <v>1049.8371440000003</v>
      </c>
      <c r="W855" s="61">
        <f t="shared" si="271"/>
        <v>4.0053377315782769E-2</v>
      </c>
      <c r="X855" s="61">
        <f t="shared" si="268"/>
        <v>4.0053377315782769E-2</v>
      </c>
      <c r="Y855" s="61">
        <f t="shared" si="269"/>
        <v>0.12376493590576874</v>
      </c>
      <c r="Z855" s="79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x14ac:dyDescent="0.3">
      <c r="A856" s="55">
        <v>4</v>
      </c>
      <c r="B856" s="61" t="s">
        <v>128</v>
      </c>
      <c r="C856" s="61">
        <f t="shared" si="258"/>
        <v>853</v>
      </c>
      <c r="D856" s="61">
        <f t="shared" si="262"/>
        <v>12.102170000000001</v>
      </c>
      <c r="E856" s="61">
        <f t="shared" si="272"/>
        <v>5.41</v>
      </c>
      <c r="F856" s="88">
        <f>($C$4/E856)+F855</f>
        <v>110.51673987454707</v>
      </c>
      <c r="G856" s="61">
        <f t="shared" si="273"/>
        <v>3000</v>
      </c>
      <c r="H856" s="61">
        <v>1</v>
      </c>
      <c r="I856" s="88">
        <f>E856-E855</f>
        <v>0</v>
      </c>
      <c r="J856" s="61">
        <f>(0.5*VEHICLE!$C$71*VEHICLE!$C$28*VEHICLE!$C$27*'Drive Cycle'!E856^2)</f>
        <v>26.037021759209999</v>
      </c>
      <c r="K856" s="61">
        <f>IF(A856=1,VEHICLE!$S$5,IF(A856=2,VEHICLE!$Q$5,IF(A856=3,VEHICLE!$R$5,IF(A856=4,VEHICLE!$P$5,1))))</f>
        <v>111.31014600000002</v>
      </c>
      <c r="L856" s="61">
        <v>0</v>
      </c>
      <c r="M856" s="61">
        <f t="shared" si="270"/>
        <v>0</v>
      </c>
      <c r="N856" s="61">
        <f t="shared" si="263"/>
        <v>0</v>
      </c>
      <c r="O856" s="61">
        <f t="shared" si="264"/>
        <v>0</v>
      </c>
      <c r="P856" s="61">
        <f t="shared" si="265"/>
        <v>137.34716775921001</v>
      </c>
      <c r="Q856" s="61">
        <f>IF(H856=1,I856*VEHICLE!$C$69,IF(H856=2,VEHICLE!$C$70*I856,IF(H856=3,VEHICLE!$C$71*I856,0)))</f>
        <v>0</v>
      </c>
      <c r="R856" s="61">
        <f>(J856+K856+O856+Q856)</f>
        <v>137.34716775921001</v>
      </c>
      <c r="S856" s="61">
        <f t="shared" si="266"/>
        <v>137.34716775921001</v>
      </c>
      <c r="T856" s="61">
        <f>ABS((R856)/((2*PI()*G856)/60))</f>
        <v>0.43718961337100143</v>
      </c>
      <c r="U856" s="61">
        <f t="shared" si="267"/>
        <v>1</v>
      </c>
      <c r="V856" s="61">
        <f>INDEX(BSFC!$D$4:$AD$26,MATCH(U856,BSFC!$B$4:$B$26,0),MATCH(G856,BSFC!$D$2:$AD$2,0))</f>
        <v>1049.8371440000003</v>
      </c>
      <c r="W856" s="61">
        <f t="shared" si="271"/>
        <v>4.0053377315782769E-2</v>
      </c>
      <c r="X856" s="61">
        <f t="shared" si="268"/>
        <v>4.0053377315782769E-2</v>
      </c>
      <c r="Y856" s="61">
        <f t="shared" si="269"/>
        <v>0.12376493590576874</v>
      </c>
      <c r="Z856" s="79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x14ac:dyDescent="0.3">
      <c r="A857" s="55">
        <v>4</v>
      </c>
      <c r="B857" s="61" t="s">
        <v>128</v>
      </c>
      <c r="C857" s="61">
        <f t="shared" si="258"/>
        <v>854</v>
      </c>
      <c r="D857" s="61">
        <f t="shared" si="262"/>
        <v>12.102170000000001</v>
      </c>
      <c r="E857" s="61">
        <f t="shared" si="272"/>
        <v>5.41</v>
      </c>
      <c r="F857" s="88">
        <f>($C$4/E857)+F856</f>
        <v>110.70158275809605</v>
      </c>
      <c r="G857" s="61">
        <f t="shared" si="273"/>
        <v>3000</v>
      </c>
      <c r="H857" s="61">
        <v>1</v>
      </c>
      <c r="I857" s="88">
        <f>E857-E856</f>
        <v>0</v>
      </c>
      <c r="J857" s="61">
        <f>(0.5*VEHICLE!$C$71*VEHICLE!$C$28*VEHICLE!$C$27*'Drive Cycle'!E857^2)</f>
        <v>26.037021759209999</v>
      </c>
      <c r="K857" s="61">
        <f>IF(A857=1,VEHICLE!$S$5,IF(A857=2,VEHICLE!$Q$5,IF(A857=3,VEHICLE!$R$5,IF(A857=4,VEHICLE!$P$5,1))))</f>
        <v>111.31014600000002</v>
      </c>
      <c r="L857" s="61">
        <v>0</v>
      </c>
      <c r="M857" s="61">
        <f t="shared" si="270"/>
        <v>0</v>
      </c>
      <c r="N857" s="61">
        <f t="shared" si="263"/>
        <v>0</v>
      </c>
      <c r="O857" s="61">
        <f t="shared" si="264"/>
        <v>0</v>
      </c>
      <c r="P857" s="61">
        <f t="shared" si="265"/>
        <v>137.34716775921001</v>
      </c>
      <c r="Q857" s="61">
        <f>IF(H857=1,I857*VEHICLE!$C$69,IF(H857=2,VEHICLE!$C$70*I857,IF(H857=3,VEHICLE!$C$71*I857,0)))</f>
        <v>0</v>
      </c>
      <c r="R857" s="61">
        <f>(J857+K857+O857+Q857)</f>
        <v>137.34716775921001</v>
      </c>
      <c r="S857" s="61">
        <f t="shared" si="266"/>
        <v>137.34716775921001</v>
      </c>
      <c r="T857" s="61">
        <f>ABS((R857)/((2*PI()*G857)/60))</f>
        <v>0.43718961337100143</v>
      </c>
      <c r="U857" s="61">
        <f t="shared" si="267"/>
        <v>1</v>
      </c>
      <c r="V857" s="61">
        <f>INDEX(BSFC!$D$4:$AD$26,MATCH(U857,BSFC!$B$4:$B$26,0),MATCH(G857,BSFC!$D$2:$AD$2,0))</f>
        <v>1049.8371440000003</v>
      </c>
      <c r="W857" s="61">
        <f t="shared" si="271"/>
        <v>4.0053377315782769E-2</v>
      </c>
      <c r="X857" s="61">
        <f t="shared" si="268"/>
        <v>4.0053377315782769E-2</v>
      </c>
      <c r="Y857" s="61">
        <f t="shared" si="269"/>
        <v>0.12376493590576874</v>
      </c>
      <c r="Z857" s="79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x14ac:dyDescent="0.3">
      <c r="A858" s="55">
        <v>4</v>
      </c>
      <c r="B858" s="61" t="s">
        <v>128</v>
      </c>
      <c r="C858" s="61">
        <f t="shared" si="258"/>
        <v>855</v>
      </c>
      <c r="D858" s="61">
        <f t="shared" si="262"/>
        <v>12.102170000000001</v>
      </c>
      <c r="E858" s="61">
        <f t="shared" si="272"/>
        <v>5.41</v>
      </c>
      <c r="F858" s="88">
        <f>($C$4/E858)+F857</f>
        <v>110.88642564164503</v>
      </c>
      <c r="G858" s="61">
        <f t="shared" si="273"/>
        <v>3000</v>
      </c>
      <c r="H858" s="61">
        <v>1</v>
      </c>
      <c r="I858" s="88">
        <f>E858-E857</f>
        <v>0</v>
      </c>
      <c r="J858" s="61">
        <f>(0.5*VEHICLE!$C$71*VEHICLE!$C$28*VEHICLE!$C$27*'Drive Cycle'!E858^2)</f>
        <v>26.037021759209999</v>
      </c>
      <c r="K858" s="61">
        <f>IF(A858=1,VEHICLE!$S$5,IF(A858=2,VEHICLE!$Q$5,IF(A858=3,VEHICLE!$R$5,IF(A858=4,VEHICLE!$P$5,1))))</f>
        <v>111.31014600000002</v>
      </c>
      <c r="L858" s="61">
        <v>0</v>
      </c>
      <c r="M858" s="61">
        <f t="shared" si="270"/>
        <v>0</v>
      </c>
      <c r="N858" s="61">
        <f t="shared" si="263"/>
        <v>0</v>
      </c>
      <c r="O858" s="61">
        <f t="shared" si="264"/>
        <v>0</v>
      </c>
      <c r="P858" s="61">
        <f t="shared" si="265"/>
        <v>137.34716775921001</v>
      </c>
      <c r="Q858" s="61">
        <f>IF(H858=1,I858*VEHICLE!$C$69,IF(H858=2,VEHICLE!$C$70*I858,IF(H858=3,VEHICLE!$C$71*I858,0)))</f>
        <v>0</v>
      </c>
      <c r="R858" s="61">
        <f>(J858+K858+O858+Q858)</f>
        <v>137.34716775921001</v>
      </c>
      <c r="S858" s="61">
        <f t="shared" si="266"/>
        <v>137.34716775921001</v>
      </c>
      <c r="T858" s="61">
        <f>ABS((R858)/((2*PI()*G858)/60))</f>
        <v>0.43718961337100143</v>
      </c>
      <c r="U858" s="61">
        <f t="shared" si="267"/>
        <v>1</v>
      </c>
      <c r="V858" s="61">
        <f>INDEX(BSFC!$D$4:$AD$26,MATCH(U858,BSFC!$B$4:$B$26,0),MATCH(G858,BSFC!$D$2:$AD$2,0))</f>
        <v>1049.8371440000003</v>
      </c>
      <c r="W858" s="61">
        <f t="shared" si="271"/>
        <v>4.0053377315782769E-2</v>
      </c>
      <c r="X858" s="61">
        <f t="shared" si="268"/>
        <v>4.0053377315782769E-2</v>
      </c>
      <c r="Y858" s="61">
        <f t="shared" si="269"/>
        <v>0.12376493590576874</v>
      </c>
      <c r="Z858" s="79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x14ac:dyDescent="0.3">
      <c r="A859" s="55">
        <v>4</v>
      </c>
      <c r="B859" s="61" t="s">
        <v>128</v>
      </c>
      <c r="C859" s="61">
        <f t="shared" si="258"/>
        <v>856</v>
      </c>
      <c r="D859" s="61">
        <f t="shared" si="262"/>
        <v>12.102170000000001</v>
      </c>
      <c r="E859" s="61">
        <f t="shared" si="272"/>
        <v>5.41</v>
      </c>
      <c r="F859" s="88">
        <f>($C$4/E859)+F858</f>
        <v>111.07126852519401</v>
      </c>
      <c r="G859" s="61">
        <f t="shared" si="273"/>
        <v>3000</v>
      </c>
      <c r="H859" s="61">
        <v>1</v>
      </c>
      <c r="I859" s="88">
        <f>E859-E858</f>
        <v>0</v>
      </c>
      <c r="J859" s="61">
        <f>(0.5*VEHICLE!$C$71*VEHICLE!$C$28*VEHICLE!$C$27*'Drive Cycle'!E859^2)</f>
        <v>26.037021759209999</v>
      </c>
      <c r="K859" s="61">
        <f>IF(A859=1,VEHICLE!$S$5,IF(A859=2,VEHICLE!$Q$5,IF(A859=3,VEHICLE!$R$5,IF(A859=4,VEHICLE!$P$5,1))))</f>
        <v>111.31014600000002</v>
      </c>
      <c r="L859" s="61">
        <v>0</v>
      </c>
      <c r="M859" s="61">
        <f t="shared" si="270"/>
        <v>0</v>
      </c>
      <c r="N859" s="61">
        <f t="shared" si="263"/>
        <v>0</v>
      </c>
      <c r="O859" s="61">
        <f t="shared" si="264"/>
        <v>0</v>
      </c>
      <c r="P859" s="61">
        <f t="shared" si="265"/>
        <v>137.34716775921001</v>
      </c>
      <c r="Q859" s="61">
        <f>IF(H859=1,I859*VEHICLE!$C$69,IF(H859=2,VEHICLE!$C$70*I859,IF(H859=3,VEHICLE!$C$71*I859,0)))</f>
        <v>0</v>
      </c>
      <c r="R859" s="61">
        <f>(J859+K859+O859+Q859)</f>
        <v>137.34716775921001</v>
      </c>
      <c r="S859" s="61">
        <f t="shared" si="266"/>
        <v>137.34716775921001</v>
      </c>
      <c r="T859" s="61">
        <f>ABS((R859)/((2*PI()*G859)/60))</f>
        <v>0.43718961337100143</v>
      </c>
      <c r="U859" s="61">
        <f t="shared" si="267"/>
        <v>1</v>
      </c>
      <c r="V859" s="61">
        <f>INDEX(BSFC!$D$4:$AD$26,MATCH(U859,BSFC!$B$4:$B$26,0),MATCH(G859,BSFC!$D$2:$AD$2,0))</f>
        <v>1049.8371440000003</v>
      </c>
      <c r="W859" s="61">
        <f t="shared" si="271"/>
        <v>4.0053377315782769E-2</v>
      </c>
      <c r="X859" s="61">
        <f t="shared" si="268"/>
        <v>4.0053377315782769E-2</v>
      </c>
      <c r="Y859" s="61">
        <f t="shared" si="269"/>
        <v>0.12376493590576874</v>
      </c>
      <c r="Z859" s="79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x14ac:dyDescent="0.3">
      <c r="A860" s="55">
        <v>4</v>
      </c>
      <c r="B860" s="61" t="s">
        <v>128</v>
      </c>
      <c r="C860" s="61">
        <f t="shared" si="258"/>
        <v>857</v>
      </c>
      <c r="D860" s="61">
        <f t="shared" si="262"/>
        <v>12.102170000000001</v>
      </c>
      <c r="E860" s="61">
        <f t="shared" si="272"/>
        <v>5.41</v>
      </c>
      <c r="F860" s="88">
        <f>($C$4/E860)+F859</f>
        <v>111.256111408743</v>
      </c>
      <c r="G860" s="61">
        <f t="shared" si="273"/>
        <v>3000</v>
      </c>
      <c r="H860" s="61">
        <v>1</v>
      </c>
      <c r="I860" s="88">
        <f>E860-E859</f>
        <v>0</v>
      </c>
      <c r="J860" s="61">
        <f>(0.5*VEHICLE!$C$71*VEHICLE!$C$28*VEHICLE!$C$27*'Drive Cycle'!E860^2)</f>
        <v>26.037021759209999</v>
      </c>
      <c r="K860" s="61">
        <f>IF(A860=1,VEHICLE!$S$5,IF(A860=2,VEHICLE!$Q$5,IF(A860=3,VEHICLE!$R$5,IF(A860=4,VEHICLE!$P$5,1))))</f>
        <v>111.31014600000002</v>
      </c>
      <c r="L860" s="61">
        <v>0</v>
      </c>
      <c r="M860" s="61">
        <f t="shared" si="270"/>
        <v>0</v>
      </c>
      <c r="N860" s="61">
        <f t="shared" si="263"/>
        <v>0</v>
      </c>
      <c r="O860" s="61">
        <f t="shared" si="264"/>
        <v>0</v>
      </c>
      <c r="P860" s="61">
        <f t="shared" si="265"/>
        <v>137.34716775921001</v>
      </c>
      <c r="Q860" s="61">
        <f>IF(H860=1,I860*VEHICLE!$C$69,IF(H860=2,VEHICLE!$C$70*I860,IF(H860=3,VEHICLE!$C$71*I860,0)))</f>
        <v>0</v>
      </c>
      <c r="R860" s="61">
        <f>(J860+K860+O860+Q860)</f>
        <v>137.34716775921001</v>
      </c>
      <c r="S860" s="61">
        <f t="shared" si="266"/>
        <v>137.34716775921001</v>
      </c>
      <c r="T860" s="61">
        <f>ABS((R860)/((2*PI()*G860)/60))</f>
        <v>0.43718961337100143</v>
      </c>
      <c r="U860" s="61">
        <f t="shared" si="267"/>
        <v>1</v>
      </c>
      <c r="V860" s="61">
        <f>INDEX(BSFC!$D$4:$AD$26,MATCH(U860,BSFC!$B$4:$B$26,0),MATCH(G860,BSFC!$D$2:$AD$2,0))</f>
        <v>1049.8371440000003</v>
      </c>
      <c r="W860" s="61">
        <f t="shared" si="271"/>
        <v>4.0053377315782769E-2</v>
      </c>
      <c r="X860" s="61">
        <f t="shared" si="268"/>
        <v>4.0053377315782769E-2</v>
      </c>
      <c r="Y860" s="61">
        <f t="shared" si="269"/>
        <v>0.12376493590576874</v>
      </c>
      <c r="Z860" s="79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x14ac:dyDescent="0.3">
      <c r="A861" s="55">
        <v>4</v>
      </c>
      <c r="B861" s="61" t="s">
        <v>128</v>
      </c>
      <c r="C861" s="61">
        <f t="shared" si="258"/>
        <v>858</v>
      </c>
      <c r="D861" s="61">
        <f t="shared" si="262"/>
        <v>12.77327</v>
      </c>
      <c r="E861" s="61">
        <f>E860+0.3</f>
        <v>5.71</v>
      </c>
      <c r="F861" s="88">
        <f>($C$4/E861)+F860</f>
        <v>111.43124275725438</v>
      </c>
      <c r="G861" s="61">
        <f>G860+250</f>
        <v>3250</v>
      </c>
      <c r="H861" s="61">
        <v>1</v>
      </c>
      <c r="I861" s="88">
        <f>E861-E860</f>
        <v>0.29999999999999982</v>
      </c>
      <c r="J861" s="61">
        <f>(0.5*VEHICLE!$C$71*VEHICLE!$C$28*VEHICLE!$C$27*'Drive Cycle'!E861^2)</f>
        <v>29.00474103681</v>
      </c>
      <c r="K861" s="61">
        <f>IF(A861=1,VEHICLE!$S$5,IF(A861=2,VEHICLE!$Q$5,IF(A861=3,VEHICLE!$R$5,IF(A861=4,VEHICLE!$P$5,1))))</f>
        <v>111.31014600000002</v>
      </c>
      <c r="L861" s="61">
        <v>0</v>
      </c>
      <c r="M861" s="61">
        <f t="shared" si="270"/>
        <v>0</v>
      </c>
      <c r="N861" s="61">
        <f t="shared" si="263"/>
        <v>0</v>
      </c>
      <c r="O861" s="61">
        <f t="shared" si="264"/>
        <v>0</v>
      </c>
      <c r="P861" s="61">
        <f t="shared" si="265"/>
        <v>140.31488703681001</v>
      </c>
      <c r="Q861" s="61">
        <f>IF(H861=1,I861*VEHICLE!$C$69,IF(H861=2,VEHICLE!$C$70*I861,IF(H861=3,VEHICLE!$C$71*I861,0)))</f>
        <v>176.1960706284583</v>
      </c>
      <c r="R861" s="61">
        <f>(J861+K861+O861+Q861)</f>
        <v>316.51095766526828</v>
      </c>
      <c r="S861" s="61">
        <f t="shared" si="266"/>
        <v>316.51095766526828</v>
      </c>
      <c r="T861" s="61">
        <f>ABS((R861)/((2*PI()*G861)/60))</f>
        <v>0.92998677148019193</v>
      </c>
      <c r="U861" s="61">
        <f t="shared" si="267"/>
        <v>1</v>
      </c>
      <c r="V861" s="61">
        <f>INDEX(BSFC!$D$4:$AD$26,MATCH(U861,BSFC!$B$4:$B$26,0),MATCH(G861,BSFC!$D$2:$AD$2,0))</f>
        <v>1044.1005466399997</v>
      </c>
      <c r="W861" s="61">
        <f t="shared" si="271"/>
        <v>9.1797017754404561E-2</v>
      </c>
      <c r="X861" s="61">
        <f t="shared" si="268"/>
        <v>9.1797017754404561E-2</v>
      </c>
      <c r="Y861" s="61">
        <f t="shared" si="269"/>
        <v>0.28365278486111006</v>
      </c>
      <c r="Z861" s="79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x14ac:dyDescent="0.3">
      <c r="A862" s="55">
        <v>4</v>
      </c>
      <c r="B862" s="61" t="s">
        <v>128</v>
      </c>
      <c r="C862" s="61">
        <f t="shared" si="258"/>
        <v>859</v>
      </c>
      <c r="D862" s="61">
        <f t="shared" si="262"/>
        <v>13.444369999999999</v>
      </c>
      <c r="E862" s="61">
        <f t="shared" ref="E862:E876" si="274">E861+0.3</f>
        <v>6.01</v>
      </c>
      <c r="F862" s="88">
        <f>($C$4/E862)+F861</f>
        <v>111.59763210833592</v>
      </c>
      <c r="G862" s="61">
        <f t="shared" ref="G862:G876" si="275">G861+250</f>
        <v>3500</v>
      </c>
      <c r="H862" s="61">
        <v>1</v>
      </c>
      <c r="I862" s="88">
        <f>E862-E861</f>
        <v>0.29999999999999982</v>
      </c>
      <c r="J862" s="61">
        <f>(0.5*VEHICLE!$C$71*VEHICLE!$C$28*VEHICLE!$C$27*'Drive Cycle'!E862^2)</f>
        <v>32.132589052409998</v>
      </c>
      <c r="K862" s="61">
        <f>IF(A862=1,VEHICLE!$S$5,IF(A862=2,VEHICLE!$Q$5,IF(A862=3,VEHICLE!$R$5,IF(A862=4,VEHICLE!$P$5,1))))</f>
        <v>111.31014600000002</v>
      </c>
      <c r="L862" s="61">
        <v>0</v>
      </c>
      <c r="M862" s="61">
        <f t="shared" si="270"/>
        <v>0</v>
      </c>
      <c r="N862" s="61">
        <f t="shared" si="263"/>
        <v>0</v>
      </c>
      <c r="O862" s="61">
        <f t="shared" si="264"/>
        <v>0</v>
      </c>
      <c r="P862" s="61">
        <f t="shared" si="265"/>
        <v>143.44273505241</v>
      </c>
      <c r="Q862" s="61">
        <f>IF(H862=1,I862*VEHICLE!$C$69,IF(H862=2,VEHICLE!$C$70*I862,IF(H862=3,VEHICLE!$C$71*I862,0)))</f>
        <v>176.1960706284583</v>
      </c>
      <c r="R862" s="61">
        <f>(J862+K862+O862+Q862)</f>
        <v>319.6388056808683</v>
      </c>
      <c r="S862" s="61">
        <f t="shared" si="266"/>
        <v>319.6388056808683</v>
      </c>
      <c r="T862" s="61">
        <f>ABS((R862)/((2*PI()*G862)/60))</f>
        <v>0.87209307305314276</v>
      </c>
      <c r="U862" s="61">
        <f t="shared" si="267"/>
        <v>1</v>
      </c>
      <c r="V862" s="61">
        <f>INDEX(BSFC!$D$4:$AD$26,MATCH(U862,BSFC!$B$4:$B$26,0),MATCH(G862,BSFC!$D$2:$AD$2,0))</f>
        <v>1034.2259366399996</v>
      </c>
      <c r="W862" s="61">
        <f t="shared" si="271"/>
        <v>9.1827428664385244E-2</v>
      </c>
      <c r="X862" s="61">
        <f t="shared" si="268"/>
        <v>9.1827428664385244E-2</v>
      </c>
      <c r="Y862" s="61">
        <f t="shared" si="269"/>
        <v>0.2837467545729504</v>
      </c>
      <c r="Z862" s="79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x14ac:dyDescent="0.3">
      <c r="A863" s="55">
        <v>4</v>
      </c>
      <c r="B863" s="61" t="s">
        <v>128</v>
      </c>
      <c r="C863" s="61">
        <f t="shared" si="258"/>
        <v>860</v>
      </c>
      <c r="D863" s="61">
        <f t="shared" si="262"/>
        <v>14.11547</v>
      </c>
      <c r="E863" s="61">
        <f t="shared" si="274"/>
        <v>6.31</v>
      </c>
      <c r="F863" s="88">
        <f>($C$4/E863)+F862</f>
        <v>111.75611071372418</v>
      </c>
      <c r="G863" s="61">
        <f t="shared" si="275"/>
        <v>3750</v>
      </c>
      <c r="H863" s="61">
        <v>1</v>
      </c>
      <c r="I863" s="88">
        <f>E863-E862</f>
        <v>0.29999999999999982</v>
      </c>
      <c r="J863" s="61">
        <f>(0.5*VEHICLE!$C$71*VEHICLE!$C$28*VEHICLE!$C$27*'Drive Cycle'!E863^2)</f>
        <v>35.420565806009989</v>
      </c>
      <c r="K863" s="61">
        <f>IF(A863=1,VEHICLE!$S$5,IF(A863=2,VEHICLE!$Q$5,IF(A863=3,VEHICLE!$R$5,IF(A863=4,VEHICLE!$P$5,1))))</f>
        <v>111.31014600000002</v>
      </c>
      <c r="L863" s="61">
        <v>0</v>
      </c>
      <c r="M863" s="61">
        <f t="shared" si="270"/>
        <v>0</v>
      </c>
      <c r="N863" s="61">
        <f t="shared" si="263"/>
        <v>0</v>
      </c>
      <c r="O863" s="61">
        <f t="shared" si="264"/>
        <v>0</v>
      </c>
      <c r="P863" s="61">
        <f t="shared" si="265"/>
        <v>146.73071180600999</v>
      </c>
      <c r="Q863" s="61">
        <f>IF(H863=1,I863*VEHICLE!$C$69,IF(H863=2,VEHICLE!$C$70*I863,IF(H863=3,VEHICLE!$C$71*I863,0)))</f>
        <v>176.1960706284583</v>
      </c>
      <c r="R863" s="61">
        <f>(J863+K863+O863+Q863)</f>
        <v>322.92678243446829</v>
      </c>
      <c r="S863" s="61">
        <f t="shared" si="266"/>
        <v>322.92678243446829</v>
      </c>
      <c r="T863" s="61">
        <f>ABS((R863)/((2*PI()*G863)/60))</f>
        <v>0.82232629889930664</v>
      </c>
      <c r="U863" s="61">
        <f t="shared" si="267"/>
        <v>1</v>
      </c>
      <c r="V863" s="61">
        <f>INDEX(BSFC!$D$4:$AD$26,MATCH(U863,BSFC!$B$4:$B$26,0),MATCH(G863,BSFC!$D$2:$AD$2,0))</f>
        <v>1035.6786156799997</v>
      </c>
      <c r="W863" s="61">
        <f t="shared" si="271"/>
        <v>9.2902323054924046E-2</v>
      </c>
      <c r="X863" s="61">
        <f t="shared" si="268"/>
        <v>9.2902323054924046E-2</v>
      </c>
      <c r="Y863" s="61">
        <f t="shared" si="269"/>
        <v>0.28706817823971531</v>
      </c>
      <c r="Z863" s="79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x14ac:dyDescent="0.3">
      <c r="A864" s="55">
        <v>4</v>
      </c>
      <c r="B864" s="61" t="s">
        <v>128</v>
      </c>
      <c r="C864" s="61">
        <f t="shared" si="258"/>
        <v>861</v>
      </c>
      <c r="D864" s="61">
        <f t="shared" si="262"/>
        <v>14.786569999999999</v>
      </c>
      <c r="E864" s="61">
        <f t="shared" si="274"/>
        <v>6.6099999999999994</v>
      </c>
      <c r="F864" s="88">
        <f>($C$4/E864)+F863</f>
        <v>111.90739664413266</v>
      </c>
      <c r="G864" s="61">
        <f t="shared" si="275"/>
        <v>4000</v>
      </c>
      <c r="H864" s="61">
        <v>1</v>
      </c>
      <c r="I864" s="88">
        <f>E864-E863</f>
        <v>0.29999999999999982</v>
      </c>
      <c r="J864" s="61">
        <f>(0.5*VEHICLE!$C$71*VEHICLE!$C$28*VEHICLE!$C$27*'Drive Cycle'!E864^2)</f>
        <v>38.868671297609986</v>
      </c>
      <c r="K864" s="61">
        <f>IF(A864=1,VEHICLE!$S$5,IF(A864=2,VEHICLE!$Q$5,IF(A864=3,VEHICLE!$R$5,IF(A864=4,VEHICLE!$P$5,1))))</f>
        <v>111.31014600000002</v>
      </c>
      <c r="L864" s="61">
        <v>0</v>
      </c>
      <c r="M864" s="61">
        <f t="shared" si="270"/>
        <v>0</v>
      </c>
      <c r="N864" s="61">
        <f t="shared" si="263"/>
        <v>0</v>
      </c>
      <c r="O864" s="61">
        <f t="shared" si="264"/>
        <v>0</v>
      </c>
      <c r="P864" s="61">
        <f t="shared" si="265"/>
        <v>150.17881729761001</v>
      </c>
      <c r="Q864" s="61">
        <f>IF(H864=1,I864*VEHICLE!$C$69,IF(H864=2,VEHICLE!$C$70*I864,IF(H864=3,VEHICLE!$C$71*I864,0)))</f>
        <v>176.1960706284583</v>
      </c>
      <c r="R864" s="61">
        <f>(J864+K864+O864+Q864)</f>
        <v>326.37488792606831</v>
      </c>
      <c r="S864" s="61">
        <f t="shared" si="266"/>
        <v>326.37488792606831</v>
      </c>
      <c r="T864" s="61">
        <f>ABS((R864)/((2*PI()*G864)/60))</f>
        <v>0.77916265071745683</v>
      </c>
      <c r="U864" s="61">
        <f t="shared" si="267"/>
        <v>1</v>
      </c>
      <c r="V864" s="61">
        <f>INDEX(BSFC!$D$4:$AD$26,MATCH(U864,BSFC!$B$4:$B$26,0),MATCH(G864,BSFC!$D$2:$AD$2,0))</f>
        <v>1026.1408156799998</v>
      </c>
      <c r="W864" s="61">
        <f t="shared" si="271"/>
        <v>9.3029609364978963E-2</v>
      </c>
      <c r="X864" s="61">
        <f t="shared" si="268"/>
        <v>9.3029609364978963E-2</v>
      </c>
      <c r="Y864" s="61">
        <f t="shared" si="269"/>
        <v>0.287461492937785</v>
      </c>
      <c r="Z864" s="79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x14ac:dyDescent="0.3">
      <c r="A865" s="55">
        <v>4</v>
      </c>
      <c r="B865" s="61" t="s">
        <v>128</v>
      </c>
      <c r="C865" s="61">
        <f t="shared" si="258"/>
        <v>862</v>
      </c>
      <c r="D865" s="61">
        <f t="shared" si="262"/>
        <v>15.457669999999998</v>
      </c>
      <c r="E865" s="61">
        <f t="shared" si="274"/>
        <v>6.9099999999999993</v>
      </c>
      <c r="F865" s="88">
        <f>($C$4/E865)+F864</f>
        <v>112.0521144444221</v>
      </c>
      <c r="G865" s="61">
        <f t="shared" si="275"/>
        <v>4250</v>
      </c>
      <c r="H865" s="61">
        <v>2</v>
      </c>
      <c r="I865" s="88">
        <f>E865-E864</f>
        <v>0.29999999999999982</v>
      </c>
      <c r="J865" s="61">
        <f>(0.5*VEHICLE!$C$71*VEHICLE!$C$28*VEHICLE!$C$27*'Drive Cycle'!E865^2)</f>
        <v>42.476905527209986</v>
      </c>
      <c r="K865" s="61">
        <f>IF(A865=1,VEHICLE!$S$5,IF(A865=2,VEHICLE!$Q$5,IF(A865=3,VEHICLE!$R$5,IF(A865=4,VEHICLE!$P$5,1))))</f>
        <v>111.31014600000002</v>
      </c>
      <c r="L865" s="61">
        <v>0</v>
      </c>
      <c r="M865" s="61">
        <f t="shared" si="270"/>
        <v>0</v>
      </c>
      <c r="N865" s="61">
        <f t="shared" si="263"/>
        <v>0</v>
      </c>
      <c r="O865" s="61">
        <f t="shared" si="264"/>
        <v>0</v>
      </c>
      <c r="P865" s="61">
        <f t="shared" si="265"/>
        <v>153.78705152721</v>
      </c>
      <c r="Q865" s="61">
        <f>IF(H865=1,I865*VEHICLE!$C$69,IF(H865=2,VEHICLE!$C$70*I865,IF(H865=3,VEHICLE!$C$71*I865,0)))</f>
        <v>175.5445459590351</v>
      </c>
      <c r="R865" s="61">
        <f>(J865+K865+O865+Q865)</f>
        <v>329.33159748624507</v>
      </c>
      <c r="S865" s="61">
        <f t="shared" si="266"/>
        <v>329.33159748624507</v>
      </c>
      <c r="T865" s="61">
        <f>ABS((R865)/((2*PI()*G865)/60))</f>
        <v>0.73997296455933625</v>
      </c>
      <c r="U865" s="61">
        <f t="shared" si="267"/>
        <v>1</v>
      </c>
      <c r="V865" s="61">
        <f>INDEX(BSFC!$D$4:$AD$26,MATCH(U865,BSFC!$B$4:$B$26,0),MATCH(G865,BSFC!$D$2:$AD$2,0))</f>
        <v>1010.1133235199997</v>
      </c>
      <c r="W865" s="61">
        <f t="shared" si="271"/>
        <v>9.2406176243606059E-2</v>
      </c>
      <c r="X865" s="61">
        <f t="shared" si="268"/>
        <v>9.2406176243606059E-2</v>
      </c>
      <c r="Y865" s="61">
        <f t="shared" si="269"/>
        <v>0.28553508459274268</v>
      </c>
      <c r="Z865" s="79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x14ac:dyDescent="0.3">
      <c r="A866" s="55">
        <v>4</v>
      </c>
      <c r="B866" s="61" t="s">
        <v>128</v>
      </c>
      <c r="C866" s="61">
        <f t="shared" si="258"/>
        <v>863</v>
      </c>
      <c r="D866" s="61">
        <f t="shared" si="262"/>
        <v>16.128769999999999</v>
      </c>
      <c r="E866" s="61">
        <f t="shared" si="274"/>
        <v>7.2099999999999991</v>
      </c>
      <c r="F866" s="88">
        <f>($C$4/E866)+F865</f>
        <v>112.19081069962321</v>
      </c>
      <c r="G866" s="61">
        <f t="shared" si="275"/>
        <v>4500</v>
      </c>
      <c r="H866" s="61">
        <v>2</v>
      </c>
      <c r="I866" s="88">
        <f>E866-E865</f>
        <v>0.29999999999999982</v>
      </c>
      <c r="J866" s="61">
        <f>(0.5*VEHICLE!$C$71*VEHICLE!$C$28*VEHICLE!$C$27*'Drive Cycle'!E866^2)</f>
        <v>46.245268494809977</v>
      </c>
      <c r="K866" s="61">
        <f>IF(A866=1,VEHICLE!$S$5,IF(A866=2,VEHICLE!$Q$5,IF(A866=3,VEHICLE!$R$5,IF(A866=4,VEHICLE!$P$5,1))))</f>
        <v>111.31014600000002</v>
      </c>
      <c r="L866" s="61">
        <v>0</v>
      </c>
      <c r="M866" s="61">
        <f t="shared" si="270"/>
        <v>0</v>
      </c>
      <c r="N866" s="61">
        <f t="shared" si="263"/>
        <v>0</v>
      </c>
      <c r="O866" s="61">
        <f t="shared" si="264"/>
        <v>0</v>
      </c>
      <c r="P866" s="61">
        <f t="shared" si="265"/>
        <v>157.55541449481001</v>
      </c>
      <c r="Q866" s="61">
        <f>IF(H866=1,I866*VEHICLE!$C$69,IF(H866=2,VEHICLE!$C$70*I866,IF(H866=3,VEHICLE!$C$71*I866,0)))</f>
        <v>175.5445459590351</v>
      </c>
      <c r="R866" s="61">
        <f>(J866+K866+O866+Q866)</f>
        <v>333.09996045384514</v>
      </c>
      <c r="S866" s="61">
        <f t="shared" si="266"/>
        <v>333.09996045384514</v>
      </c>
      <c r="T866" s="61">
        <f>ABS((R866)/((2*PI()*G866)/60))</f>
        <v>0.70686006999925743</v>
      </c>
      <c r="U866" s="61">
        <f t="shared" si="267"/>
        <v>1</v>
      </c>
      <c r="V866" s="61">
        <f>INDEX(BSFC!$D$4:$AD$26,MATCH(U866,BSFC!$B$4:$B$26,0),MATCH(G866,BSFC!$D$2:$AD$2,0))</f>
        <v>996.72332351999967</v>
      </c>
      <c r="W866" s="61">
        <f t="shared" si="271"/>
        <v>9.2224583235538046E-2</v>
      </c>
      <c r="X866" s="61">
        <f t="shared" si="268"/>
        <v>9.2224583235538046E-2</v>
      </c>
      <c r="Y866" s="61">
        <f t="shared" si="269"/>
        <v>0.28497396219781257</v>
      </c>
      <c r="Z866" s="79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x14ac:dyDescent="0.3">
      <c r="A867" s="55">
        <v>4</v>
      </c>
      <c r="B867" s="61" t="s">
        <v>128</v>
      </c>
      <c r="C867" s="61">
        <f t="shared" si="258"/>
        <v>864</v>
      </c>
      <c r="D867" s="61">
        <f t="shared" si="262"/>
        <v>16.799869999999999</v>
      </c>
      <c r="E867" s="61">
        <f t="shared" si="274"/>
        <v>7.5099999999999989</v>
      </c>
      <c r="F867" s="88">
        <f>($C$4/E867)+F866</f>
        <v>112.32396649190018</v>
      </c>
      <c r="G867" s="61">
        <f t="shared" si="275"/>
        <v>4750</v>
      </c>
      <c r="H867" s="61">
        <v>2</v>
      </c>
      <c r="I867" s="88">
        <f>E867-E866</f>
        <v>0.29999999999999982</v>
      </c>
      <c r="J867" s="61">
        <f>(0.5*VEHICLE!$C$71*VEHICLE!$C$28*VEHICLE!$C$27*'Drive Cycle'!E867^2)</f>
        <v>50.17376020040998</v>
      </c>
      <c r="K867" s="61">
        <f>IF(A867=1,VEHICLE!$S$5,IF(A867=2,VEHICLE!$Q$5,IF(A867=3,VEHICLE!$R$5,IF(A867=4,VEHICLE!$P$5,1))))</f>
        <v>111.31014600000002</v>
      </c>
      <c r="L867" s="61">
        <v>0</v>
      </c>
      <c r="M867" s="61">
        <f t="shared" si="270"/>
        <v>0</v>
      </c>
      <c r="N867" s="61">
        <f t="shared" si="263"/>
        <v>0</v>
      </c>
      <c r="O867" s="61">
        <f t="shared" si="264"/>
        <v>0</v>
      </c>
      <c r="P867" s="61">
        <f t="shared" si="265"/>
        <v>161.48390620040999</v>
      </c>
      <c r="Q867" s="61">
        <f>IF(H867=1,I867*VEHICLE!$C$69,IF(H867=2,VEHICLE!$C$70*I867,IF(H867=3,VEHICLE!$C$71*I867,0)))</f>
        <v>175.5445459590351</v>
      </c>
      <c r="R867" s="61">
        <f>(J867+K867+O867+Q867)</f>
        <v>337.02845215944512</v>
      </c>
      <c r="S867" s="61">
        <f t="shared" si="266"/>
        <v>337.02845215944512</v>
      </c>
      <c r="T867" s="61">
        <f>ABS((R867)/((2*PI()*G867)/60))</f>
        <v>0.67755466261624497</v>
      </c>
      <c r="U867" s="61">
        <f t="shared" si="267"/>
        <v>1</v>
      </c>
      <c r="V867" s="61">
        <f>INDEX(BSFC!$D$4:$AD$26,MATCH(U867,BSFC!$B$4:$B$26,0),MATCH(G867,BSFC!$D$2:$AD$2,0))</f>
        <v>989.10544351999977</v>
      </c>
      <c r="W867" s="61">
        <f t="shared" si="271"/>
        <v>9.2599076847785289E-2</v>
      </c>
      <c r="X867" s="61">
        <f t="shared" si="268"/>
        <v>9.2599076847785289E-2</v>
      </c>
      <c r="Y867" s="61">
        <f t="shared" si="269"/>
        <v>0.28613114745965651</v>
      </c>
      <c r="Z867" s="79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x14ac:dyDescent="0.3">
      <c r="A868" s="55">
        <v>4</v>
      </c>
      <c r="B868" s="61" t="s">
        <v>128</v>
      </c>
      <c r="C868" s="61">
        <f t="shared" si="258"/>
        <v>865</v>
      </c>
      <c r="D868" s="61">
        <f t="shared" si="262"/>
        <v>17.470969999999998</v>
      </c>
      <c r="E868" s="61">
        <f t="shared" si="274"/>
        <v>7.8099999999999987</v>
      </c>
      <c r="F868" s="88">
        <f>($C$4/E868)+F867</f>
        <v>112.45200746501158</v>
      </c>
      <c r="G868" s="61">
        <f t="shared" si="275"/>
        <v>5000</v>
      </c>
      <c r="H868" s="61">
        <v>2</v>
      </c>
      <c r="I868" s="88">
        <f>E868-E867</f>
        <v>0.29999999999999982</v>
      </c>
      <c r="J868" s="61">
        <f>(0.5*VEHICLE!$C$71*VEHICLE!$C$28*VEHICLE!$C$27*'Drive Cycle'!E868^2)</f>
        <v>54.262380644009973</v>
      </c>
      <c r="K868" s="61">
        <f>IF(A868=1,VEHICLE!$S$5,IF(A868=2,VEHICLE!$Q$5,IF(A868=3,VEHICLE!$R$5,IF(A868=4,VEHICLE!$P$5,1))))</f>
        <v>111.31014600000002</v>
      </c>
      <c r="L868" s="61">
        <v>0</v>
      </c>
      <c r="M868" s="61">
        <f t="shared" si="270"/>
        <v>0</v>
      </c>
      <c r="N868" s="61">
        <f t="shared" si="263"/>
        <v>0</v>
      </c>
      <c r="O868" s="61">
        <f t="shared" si="264"/>
        <v>0</v>
      </c>
      <c r="P868" s="61">
        <f t="shared" si="265"/>
        <v>165.57252664401</v>
      </c>
      <c r="Q868" s="61">
        <f>IF(H868=1,I868*VEHICLE!$C$69,IF(H868=2,VEHICLE!$C$70*I868,IF(H868=3,VEHICLE!$C$71*I868,0)))</f>
        <v>175.5445459590351</v>
      </c>
      <c r="R868" s="61">
        <f>(J868+K868+O868+Q868)</f>
        <v>341.11707260304513</v>
      </c>
      <c r="S868" s="61">
        <f t="shared" si="266"/>
        <v>341.11707260304513</v>
      </c>
      <c r="T868" s="61">
        <f>ABS((R868)/((2*PI()*G868)/60))</f>
        <v>0.65148561933373894</v>
      </c>
      <c r="U868" s="61">
        <f t="shared" si="267"/>
        <v>1</v>
      </c>
      <c r="V868" s="61">
        <f>INDEX(BSFC!$D$4:$AD$26,MATCH(U868,BSFC!$B$4:$B$26,0),MATCH(G868,BSFC!$D$2:$AD$2,0))</f>
        <v>967.30583135999973</v>
      </c>
      <c r="W868" s="61">
        <f t="shared" si="271"/>
        <v>9.1656814862604991E-2</v>
      </c>
      <c r="X868" s="61">
        <f t="shared" si="268"/>
        <v>9.1656814862604991E-2</v>
      </c>
      <c r="Y868" s="61">
        <f t="shared" si="269"/>
        <v>0.28321955792544939</v>
      </c>
      <c r="Z868" s="79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x14ac:dyDescent="0.3">
      <c r="A869" s="55">
        <v>4</v>
      </c>
      <c r="B869" s="61" t="s">
        <v>128</v>
      </c>
      <c r="C869" s="61">
        <f t="shared" si="258"/>
        <v>866</v>
      </c>
      <c r="D869" s="61">
        <f t="shared" si="262"/>
        <v>18.14207</v>
      </c>
      <c r="E869" s="61">
        <f t="shared" si="274"/>
        <v>8.11</v>
      </c>
      <c r="F869" s="88">
        <f>($C$4/E869)+F868</f>
        <v>112.57531202728038</v>
      </c>
      <c r="G869" s="61">
        <f t="shared" si="275"/>
        <v>5250</v>
      </c>
      <c r="H869" s="61">
        <v>2</v>
      </c>
      <c r="I869" s="88">
        <f>E869-E868</f>
        <v>0.30000000000000071</v>
      </c>
      <c r="J869" s="61">
        <f>(0.5*VEHICLE!$C$71*VEHICLE!$C$28*VEHICLE!$C$27*'Drive Cycle'!E869^2)</f>
        <v>58.511129825609991</v>
      </c>
      <c r="K869" s="61">
        <f>IF(A869=1,VEHICLE!$S$5,IF(A869=2,VEHICLE!$Q$5,IF(A869=3,VEHICLE!$R$5,IF(A869=4,VEHICLE!$P$5,1))))</f>
        <v>111.31014600000002</v>
      </c>
      <c r="L869" s="61">
        <v>0</v>
      </c>
      <c r="M869" s="61">
        <f t="shared" si="270"/>
        <v>0</v>
      </c>
      <c r="N869" s="61">
        <f t="shared" si="263"/>
        <v>0</v>
      </c>
      <c r="O869" s="61">
        <f t="shared" si="264"/>
        <v>0</v>
      </c>
      <c r="P869" s="61">
        <f t="shared" si="265"/>
        <v>169.82127582561</v>
      </c>
      <c r="Q869" s="61">
        <f>IF(H869=1,I869*VEHICLE!$C$69,IF(H869=2,VEHICLE!$C$70*I869,IF(H869=3,VEHICLE!$C$71*I869,0)))</f>
        <v>175.54454595903562</v>
      </c>
      <c r="R869" s="61">
        <f>(J869+K869+O869+Q869)</f>
        <v>345.36582178464562</v>
      </c>
      <c r="S869" s="61">
        <f t="shared" si="266"/>
        <v>345.36582178464562</v>
      </c>
      <c r="T869" s="61">
        <f>ABS((R869)/((2*PI()*G869)/60))</f>
        <v>0.62819060242309654</v>
      </c>
      <c r="U869" s="61">
        <f t="shared" si="267"/>
        <v>1</v>
      </c>
      <c r="V869" s="61">
        <f>INDEX(BSFC!$D$4:$AD$26,MATCH(U869,BSFC!$B$4:$B$26,0),MATCH(G869,BSFC!$D$2:$AD$2,0))</f>
        <v>959.82391135999978</v>
      </c>
      <c r="W869" s="61">
        <f t="shared" si="271"/>
        <v>9.2080659420944219E-2</v>
      </c>
      <c r="X869" s="61">
        <f t="shared" si="268"/>
        <v>9.2080659420944219E-2</v>
      </c>
      <c r="Y869" s="61">
        <f t="shared" si="269"/>
        <v>0.28452923761071763</v>
      </c>
      <c r="Z869" s="79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x14ac:dyDescent="0.3">
      <c r="A870" s="55">
        <v>4</v>
      </c>
      <c r="B870" s="61" t="s">
        <v>128</v>
      </c>
      <c r="C870" s="61">
        <f t="shared" si="258"/>
        <v>867</v>
      </c>
      <c r="D870" s="61">
        <f t="shared" si="262"/>
        <v>18.81317</v>
      </c>
      <c r="E870" s="61">
        <f t="shared" si="274"/>
        <v>8.41</v>
      </c>
      <c r="F870" s="88">
        <f>($C$4/E870)+F869</f>
        <v>112.69421809148965</v>
      </c>
      <c r="G870" s="61">
        <f t="shared" si="275"/>
        <v>5500</v>
      </c>
      <c r="H870" s="61">
        <v>2</v>
      </c>
      <c r="I870" s="88">
        <f>E870-E869</f>
        <v>0.30000000000000071</v>
      </c>
      <c r="J870" s="61">
        <f>(0.5*VEHICLE!$C$71*VEHICLE!$C$28*VEHICLE!$C$27*'Drive Cycle'!E870^2)</f>
        <v>62.920007745209993</v>
      </c>
      <c r="K870" s="61">
        <f>IF(A870=1,VEHICLE!$S$5,IF(A870=2,VEHICLE!$Q$5,IF(A870=3,VEHICLE!$R$5,IF(A870=4,VEHICLE!$P$5,1))))</f>
        <v>111.31014600000002</v>
      </c>
      <c r="L870" s="61">
        <v>0</v>
      </c>
      <c r="M870" s="61">
        <f t="shared" si="270"/>
        <v>0</v>
      </c>
      <c r="N870" s="61">
        <f t="shared" si="263"/>
        <v>0</v>
      </c>
      <c r="O870" s="61">
        <f t="shared" si="264"/>
        <v>0</v>
      </c>
      <c r="P870" s="61">
        <f t="shared" si="265"/>
        <v>174.23015374521</v>
      </c>
      <c r="Q870" s="61">
        <f>IF(H870=1,I870*VEHICLE!$C$69,IF(H870=2,VEHICLE!$C$70*I870,IF(H870=3,VEHICLE!$C$71*I870,0)))</f>
        <v>175.54454595903562</v>
      </c>
      <c r="R870" s="61">
        <f>(J870+K870+O870+Q870)</f>
        <v>349.77469970424562</v>
      </c>
      <c r="S870" s="61">
        <f t="shared" si="266"/>
        <v>349.77469970424562</v>
      </c>
      <c r="T870" s="61">
        <f>ABS((R870)/((2*PI()*G870)/60))</f>
        <v>0.60729133556088</v>
      </c>
      <c r="U870" s="61">
        <f t="shared" si="267"/>
        <v>1</v>
      </c>
      <c r="V870" s="61">
        <f>INDEX(BSFC!$D$4:$AD$26,MATCH(U870,BSFC!$B$4:$B$26,0),MATCH(G870,BSFC!$D$2:$AD$2,0))</f>
        <v>937.88833920000002</v>
      </c>
      <c r="W870" s="61">
        <f t="shared" si="271"/>
        <v>9.1124892277720457E-2</v>
      </c>
      <c r="X870" s="61">
        <f t="shared" si="268"/>
        <v>9.1124892277720457E-2</v>
      </c>
      <c r="Y870" s="61">
        <f t="shared" si="269"/>
        <v>0.28157591713815622</v>
      </c>
      <c r="Z870" s="79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x14ac:dyDescent="0.3">
      <c r="A871" s="55">
        <v>4</v>
      </c>
      <c r="B871" s="61" t="s">
        <v>128</v>
      </c>
      <c r="C871" s="61">
        <f t="shared" si="258"/>
        <v>868</v>
      </c>
      <c r="D871" s="61">
        <f t="shared" si="262"/>
        <v>19.484270000000002</v>
      </c>
      <c r="E871" s="61">
        <f t="shared" si="274"/>
        <v>8.7100000000000009</v>
      </c>
      <c r="F871" s="88">
        <f>($C$4/E871)+F870</f>
        <v>112.80902865406141</v>
      </c>
      <c r="G871" s="61">
        <f t="shared" si="275"/>
        <v>5750</v>
      </c>
      <c r="H871" s="61">
        <v>2</v>
      </c>
      <c r="I871" s="88">
        <f>E871-E870</f>
        <v>0.30000000000000071</v>
      </c>
      <c r="J871" s="61">
        <f>(0.5*VEHICLE!$C$71*VEHICLE!$C$28*VEHICLE!$C$27*'Drive Cycle'!E871^2)</f>
        <v>67.489014402810014</v>
      </c>
      <c r="K871" s="61">
        <f>IF(A871=1,VEHICLE!$S$5,IF(A871=2,VEHICLE!$Q$5,IF(A871=3,VEHICLE!$R$5,IF(A871=4,VEHICLE!$P$5,1))))</f>
        <v>111.31014600000002</v>
      </c>
      <c r="L871" s="61">
        <v>0</v>
      </c>
      <c r="M871" s="61">
        <f t="shared" si="270"/>
        <v>0</v>
      </c>
      <c r="N871" s="61">
        <f t="shared" si="263"/>
        <v>0</v>
      </c>
      <c r="O871" s="61">
        <f t="shared" si="264"/>
        <v>0</v>
      </c>
      <c r="P871" s="61">
        <f t="shared" si="265"/>
        <v>178.79916040281003</v>
      </c>
      <c r="Q871" s="61">
        <f>IF(H871=1,I871*VEHICLE!$C$69,IF(H871=2,VEHICLE!$C$70*I871,IF(H871=3,VEHICLE!$C$71*I871,0)))</f>
        <v>175.54454595903562</v>
      </c>
      <c r="R871" s="61">
        <f>(J871+K871+O871+Q871)</f>
        <v>354.34370636184565</v>
      </c>
      <c r="S871" s="61">
        <f t="shared" si="266"/>
        <v>354.34370636184565</v>
      </c>
      <c r="T871" s="61">
        <f>ABS((R871)/((2*PI()*G871)/60))</f>
        <v>0.58847532961033888</v>
      </c>
      <c r="U871" s="61">
        <f t="shared" si="267"/>
        <v>1</v>
      </c>
      <c r="V871" s="61">
        <f>INDEX(BSFC!$D$4:$AD$26,MATCH(U871,BSFC!$B$4:$B$26,0),MATCH(G871,BSFC!$D$2:$AD$2,0))</f>
        <v>963.78871919999995</v>
      </c>
      <c r="W871" s="61">
        <f t="shared" si="271"/>
        <v>9.4864574141962255E-2</v>
      </c>
      <c r="X871" s="61">
        <f t="shared" si="268"/>
        <v>9.4864574141962255E-2</v>
      </c>
      <c r="Y871" s="61">
        <f t="shared" si="269"/>
        <v>0.29313153409866333</v>
      </c>
      <c r="Z871" s="79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x14ac:dyDescent="0.3">
      <c r="A872" s="55">
        <v>4</v>
      </c>
      <c r="B872" s="61" t="s">
        <v>128</v>
      </c>
      <c r="C872" s="61">
        <f t="shared" ref="C872:C935" si="276">C871+1</f>
        <v>869</v>
      </c>
      <c r="D872" s="61">
        <f t="shared" si="262"/>
        <v>20.155370000000005</v>
      </c>
      <c r="E872" s="61">
        <f t="shared" si="274"/>
        <v>9.0100000000000016</v>
      </c>
      <c r="F872" s="88">
        <f>($C$4/E872)+F871</f>
        <v>112.92001644540436</v>
      </c>
      <c r="G872" s="61">
        <f t="shared" si="275"/>
        <v>6000</v>
      </c>
      <c r="H872" s="61">
        <v>2</v>
      </c>
      <c r="I872" s="88">
        <f>E872-E871</f>
        <v>0.30000000000000071</v>
      </c>
      <c r="J872" s="61">
        <f>(0.5*VEHICLE!$C$71*VEHICLE!$C$28*VEHICLE!$C$27*'Drive Cycle'!E872^2)</f>
        <v>72.21814979841001</v>
      </c>
      <c r="K872" s="61">
        <f>IF(A872=1,VEHICLE!$S$5,IF(A872=2,VEHICLE!$Q$5,IF(A872=3,VEHICLE!$R$5,IF(A872=4,VEHICLE!$P$5,1))))</f>
        <v>111.31014600000002</v>
      </c>
      <c r="L872" s="61">
        <v>0</v>
      </c>
      <c r="M872" s="61">
        <f t="shared" si="270"/>
        <v>0</v>
      </c>
      <c r="N872" s="61">
        <f t="shared" si="263"/>
        <v>0</v>
      </c>
      <c r="O872" s="61">
        <f t="shared" si="264"/>
        <v>0</v>
      </c>
      <c r="P872" s="61">
        <f t="shared" si="265"/>
        <v>183.52829579841003</v>
      </c>
      <c r="Q872" s="61">
        <f>IF(H872=1,I872*VEHICLE!$C$69,IF(H872=2,VEHICLE!$C$70*I872,IF(H872=3,VEHICLE!$C$71*I872,0)))</f>
        <v>175.54454595903562</v>
      </c>
      <c r="R872" s="61">
        <f>(J872+K872+O872+Q872)</f>
        <v>359.07284175744564</v>
      </c>
      <c r="S872" s="61">
        <f t="shared" si="266"/>
        <v>359.07284175744564</v>
      </c>
      <c r="T872" s="61">
        <f>ABS((R872)/((2*PI()*G872)/60))</f>
        <v>0.57148217695751402</v>
      </c>
      <c r="U872" s="61">
        <f t="shared" si="267"/>
        <v>1</v>
      </c>
      <c r="V872" s="61">
        <f>INDEX(BSFC!$D$4:$AD$26,MATCH(U872,BSFC!$B$4:$B$26,0),MATCH(G872,BSFC!$D$2:$AD$2,0))</f>
        <v>933.91499472000044</v>
      </c>
      <c r="W872" s="61">
        <f t="shared" si="271"/>
        <v>9.3150975309444564E-2</v>
      </c>
      <c r="X872" s="61">
        <f t="shared" si="268"/>
        <v>9.3150975309444564E-2</v>
      </c>
      <c r="Y872" s="61">
        <f t="shared" si="269"/>
        <v>0.28783651370618368</v>
      </c>
      <c r="Z872" s="79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x14ac:dyDescent="0.3">
      <c r="A873" s="55">
        <v>4</v>
      </c>
      <c r="B873" s="61" t="s">
        <v>128</v>
      </c>
      <c r="C873" s="61">
        <f t="shared" si="276"/>
        <v>870</v>
      </c>
      <c r="D873" s="61">
        <f t="shared" si="262"/>
        <v>20.826470000000008</v>
      </c>
      <c r="E873" s="61">
        <f t="shared" si="274"/>
        <v>9.3100000000000023</v>
      </c>
      <c r="F873" s="88">
        <f>($C$4/E873)+F872</f>
        <v>113.02742783101124</v>
      </c>
      <c r="G873" s="61">
        <f t="shared" si="275"/>
        <v>6250</v>
      </c>
      <c r="H873" s="61">
        <v>2</v>
      </c>
      <c r="I873" s="88">
        <f>E873-E872</f>
        <v>0.30000000000000071</v>
      </c>
      <c r="J873" s="61">
        <f>(0.5*VEHICLE!$C$71*VEHICLE!$C$28*VEHICLE!$C$27*'Drive Cycle'!E873^2)</f>
        <v>77.107413932010033</v>
      </c>
      <c r="K873" s="61">
        <f>IF(A873=1,VEHICLE!$S$5,IF(A873=2,VEHICLE!$Q$5,IF(A873=3,VEHICLE!$R$5,IF(A873=4,VEHICLE!$P$5,1))))</f>
        <v>111.31014600000002</v>
      </c>
      <c r="L873" s="61">
        <v>0</v>
      </c>
      <c r="M873" s="61">
        <f t="shared" si="270"/>
        <v>0</v>
      </c>
      <c r="N873" s="61">
        <f t="shared" si="263"/>
        <v>0</v>
      </c>
      <c r="O873" s="61">
        <f t="shared" si="264"/>
        <v>0</v>
      </c>
      <c r="P873" s="61">
        <f t="shared" si="265"/>
        <v>188.41755993201005</v>
      </c>
      <c r="Q873" s="61">
        <f>IF(H873=1,I873*VEHICLE!$C$69,IF(H873=2,VEHICLE!$C$70*I873,IF(H873=3,VEHICLE!$C$71*I873,0)))</f>
        <v>175.54454595903562</v>
      </c>
      <c r="R873" s="61">
        <f>(J873+K873+O873+Q873)</f>
        <v>363.96210589104567</v>
      </c>
      <c r="S873" s="61">
        <f t="shared" si="266"/>
        <v>363.96210589104567</v>
      </c>
      <c r="T873" s="61">
        <f>ABS((R873)/((2*PI()*G873)/60))</f>
        <v>0.55609313520667936</v>
      </c>
      <c r="U873" s="61">
        <f t="shared" si="267"/>
        <v>1</v>
      </c>
      <c r="V873" s="61">
        <f>INDEX(BSFC!$D$4:$AD$26,MATCH(U873,BSFC!$B$4:$B$26,0),MATCH(G873,BSFC!$D$2:$AD$2,0))</f>
        <v>964.16094472000054</v>
      </c>
      <c r="W873" s="61">
        <f t="shared" si="271"/>
        <v>9.7477235516164301E-2</v>
      </c>
      <c r="X873" s="61">
        <f t="shared" si="268"/>
        <v>9.7477235516164301E-2</v>
      </c>
      <c r="Y873" s="61">
        <f t="shared" si="269"/>
        <v>0.3012046577449477</v>
      </c>
      <c r="Z873" s="79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x14ac:dyDescent="0.3">
      <c r="A874" s="55">
        <v>4</v>
      </c>
      <c r="B874" s="61" t="s">
        <v>128</v>
      </c>
      <c r="C874" s="61">
        <f t="shared" si="276"/>
        <v>871</v>
      </c>
      <c r="D874" s="61">
        <f t="shared" si="262"/>
        <v>21.497570000000007</v>
      </c>
      <c r="E874" s="61">
        <f t="shared" si="274"/>
        <v>9.610000000000003</v>
      </c>
      <c r="F874" s="88">
        <f>($C$4/E874)+F873</f>
        <v>113.13148610364391</v>
      </c>
      <c r="G874" s="61">
        <f>G873+250</f>
        <v>6500</v>
      </c>
      <c r="H874" s="61">
        <v>3</v>
      </c>
      <c r="I874" s="88">
        <f>E874-E873</f>
        <v>0.30000000000000071</v>
      </c>
      <c r="J874" s="61">
        <f>(0.5*VEHICLE!$C$71*VEHICLE!$C$28*VEHICLE!$C$27*'Drive Cycle'!E874^2)</f>
        <v>82.156806803610053</v>
      </c>
      <c r="K874" s="61">
        <f>IF(A874=1,VEHICLE!$S$5,IF(A874=2,VEHICLE!$Q$5,IF(A874=3,VEHICLE!$R$5,IF(A874=4,VEHICLE!$P$5,1))))</f>
        <v>111.31014600000002</v>
      </c>
      <c r="L874" s="61">
        <v>0</v>
      </c>
      <c r="M874" s="61">
        <f t="shared" si="270"/>
        <v>0</v>
      </c>
      <c r="N874" s="61">
        <f t="shared" si="263"/>
        <v>0</v>
      </c>
      <c r="O874" s="61">
        <f t="shared" si="264"/>
        <v>0</v>
      </c>
      <c r="P874" s="61">
        <f t="shared" si="265"/>
        <v>193.46695280361007</v>
      </c>
      <c r="Q874" s="61">
        <f>IF(H874=1,I874*VEHICLE!$C$69,IF(H874=2,VEHICLE!$C$70*I874,IF(H874=3,VEHICLE!$C$71*I874,0)))</f>
        <v>0.35010000000000085</v>
      </c>
      <c r="R874" s="61">
        <f>(J874+K874+O874+Q874)</f>
        <v>193.81705280361007</v>
      </c>
      <c r="S874" s="61">
        <f t="shared" si="266"/>
        <v>193.81705280361007</v>
      </c>
      <c r="T874" s="61">
        <f>ABS((R874)/((2*PI()*G874)/60))</f>
        <v>0.28474100316182244</v>
      </c>
      <c r="U874" s="61">
        <f t="shared" si="267"/>
        <v>1</v>
      </c>
      <c r="V874" s="61">
        <f>INDEX(BSFC!$D$4:$AD$26,MATCH(U874,BSFC!$B$4:$B$26,0),MATCH(G874,BSFC!$D$2:$AD$2,0))</f>
        <v>925.65735288000019</v>
      </c>
      <c r="W874" s="61">
        <f t="shared" si="271"/>
        <v>4.9835605566998037E-2</v>
      </c>
      <c r="X874" s="61">
        <f t="shared" si="268"/>
        <v>4.9835605566998037E-2</v>
      </c>
      <c r="Y874" s="61">
        <f t="shared" si="269"/>
        <v>0.15399202120202393</v>
      </c>
      <c r="Z874" s="79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x14ac:dyDescent="0.3">
      <c r="A875" s="55">
        <v>4</v>
      </c>
      <c r="B875" s="61" t="s">
        <v>128</v>
      </c>
      <c r="C875" s="61">
        <f t="shared" si="276"/>
        <v>872</v>
      </c>
      <c r="D875" s="61">
        <f t="shared" si="262"/>
        <v>22.168670000000009</v>
      </c>
      <c r="E875" s="61">
        <f t="shared" si="274"/>
        <v>9.9100000000000037</v>
      </c>
      <c r="F875" s="88">
        <f>($C$4/E875)+F874</f>
        <v>113.23239427720597</v>
      </c>
      <c r="G875" s="61">
        <f t="shared" si="275"/>
        <v>6750</v>
      </c>
      <c r="H875" s="61">
        <v>3</v>
      </c>
      <c r="I875" s="88">
        <f>E875-E874</f>
        <v>0.30000000000000071</v>
      </c>
      <c r="J875" s="61">
        <f>(0.5*VEHICLE!$C$71*VEHICLE!$C$28*VEHICLE!$C$27*'Drive Cycle'!E875^2)</f>
        <v>87.366328413210056</v>
      </c>
      <c r="K875" s="61">
        <f>IF(A875=1,VEHICLE!$S$5,IF(A875=2,VEHICLE!$Q$5,IF(A875=3,VEHICLE!$R$5,IF(A875=4,VEHICLE!$P$5,1))))</f>
        <v>111.31014600000002</v>
      </c>
      <c r="L875" s="61">
        <v>0</v>
      </c>
      <c r="M875" s="61">
        <f t="shared" si="270"/>
        <v>0</v>
      </c>
      <c r="N875" s="61">
        <f t="shared" si="263"/>
        <v>0</v>
      </c>
      <c r="O875" s="61">
        <f t="shared" si="264"/>
        <v>0</v>
      </c>
      <c r="P875" s="61">
        <f t="shared" si="265"/>
        <v>198.67647441321009</v>
      </c>
      <c r="Q875" s="61">
        <f>IF(H875=1,I875*VEHICLE!$C$69,IF(H875=2,VEHICLE!$C$70*I875,IF(H875=3,VEHICLE!$C$71*I875,0)))</f>
        <v>0.35010000000000085</v>
      </c>
      <c r="R875" s="61">
        <f>(J875+K875+O875+Q875)</f>
        <v>199.02657441321008</v>
      </c>
      <c r="S875" s="61">
        <f t="shared" si="266"/>
        <v>199.02657441321008</v>
      </c>
      <c r="T875" s="61">
        <f>ABS((R875)/((2*PI()*G875)/60))</f>
        <v>0.28156500555119401</v>
      </c>
      <c r="U875" s="61">
        <f t="shared" si="267"/>
        <v>1</v>
      </c>
      <c r="V875" s="61">
        <f>INDEX(BSFC!$D$4:$AD$26,MATCH(U875,BSFC!$B$4:$B$26,0),MATCH(G875,BSFC!$D$2:$AD$2,0))</f>
        <v>945.22735288000013</v>
      </c>
      <c r="W875" s="61">
        <f t="shared" si="271"/>
        <v>5.2257045023714706E-2</v>
      </c>
      <c r="X875" s="61">
        <f t="shared" si="268"/>
        <v>5.2257045023714706E-2</v>
      </c>
      <c r="Y875" s="61">
        <f t="shared" si="269"/>
        <v>0.16147426912327845</v>
      </c>
      <c r="Z875" s="79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x14ac:dyDescent="0.3">
      <c r="A876" s="55">
        <v>4</v>
      </c>
      <c r="B876" s="61" t="s">
        <v>128</v>
      </c>
      <c r="C876" s="61">
        <f t="shared" si="276"/>
        <v>873</v>
      </c>
      <c r="D876" s="61">
        <f t="shared" si="262"/>
        <v>22.839770000000012</v>
      </c>
      <c r="E876" s="61">
        <f t="shared" si="274"/>
        <v>10.210000000000004</v>
      </c>
      <c r="F876" s="88">
        <f>($C$4/E876)+F875</f>
        <v>113.33033747015406</v>
      </c>
      <c r="G876" s="61">
        <f t="shared" si="275"/>
        <v>7000</v>
      </c>
      <c r="H876" s="61">
        <v>3</v>
      </c>
      <c r="I876" s="88">
        <f>E876-E875</f>
        <v>0.30000000000000071</v>
      </c>
      <c r="J876" s="61">
        <f>(0.5*VEHICLE!$C$71*VEHICLE!$C$28*VEHICLE!$C$27*'Drive Cycle'!E876^2)</f>
        <v>92.73597876081007</v>
      </c>
      <c r="K876" s="61">
        <f>IF(A876=1,VEHICLE!$S$5,IF(A876=2,VEHICLE!$Q$5,IF(A876=3,VEHICLE!$R$5,IF(A876=4,VEHICLE!$P$5,1))))</f>
        <v>111.31014600000002</v>
      </c>
      <c r="L876" s="61">
        <v>0</v>
      </c>
      <c r="M876" s="61">
        <f t="shared" si="270"/>
        <v>0</v>
      </c>
      <c r="N876" s="61">
        <f t="shared" si="263"/>
        <v>0</v>
      </c>
      <c r="O876" s="61">
        <f t="shared" si="264"/>
        <v>0</v>
      </c>
      <c r="P876" s="61">
        <f t="shared" si="265"/>
        <v>204.04612476081007</v>
      </c>
      <c r="Q876" s="61">
        <f>IF(H876=1,I876*VEHICLE!$C$69,IF(H876=2,VEHICLE!$C$70*I876,IF(H876=3,VEHICLE!$C$71*I876,0)))</f>
        <v>0.35010000000000085</v>
      </c>
      <c r="R876" s="61">
        <f>(J876+K876+O876+Q876)</f>
        <v>204.39622476081007</v>
      </c>
      <c r="S876" s="61">
        <f t="shared" si="266"/>
        <v>204.39622476081007</v>
      </c>
      <c r="T876" s="61">
        <f>ABS((R876)/((2*PI()*G876)/60))</f>
        <v>0.27883431017147126</v>
      </c>
      <c r="U876" s="61">
        <f t="shared" si="267"/>
        <v>1</v>
      </c>
      <c r="V876" s="61">
        <f>INDEX(BSFC!$D$4:$AD$26,MATCH(U876,BSFC!$B$4:$B$26,0),MATCH(G876,BSFC!$D$2:$AD$2,0))</f>
        <v>920.25590927999997</v>
      </c>
      <c r="W876" s="61">
        <f t="shared" si="271"/>
        <v>5.2249120464071812E-2</v>
      </c>
      <c r="X876" s="61">
        <f t="shared" si="268"/>
        <v>5.2249120464071812E-2</v>
      </c>
      <c r="Y876" s="61">
        <f t="shared" si="269"/>
        <v>0.1614497822339819</v>
      </c>
      <c r="Z876" s="79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x14ac:dyDescent="0.3">
      <c r="A877" s="55">
        <v>4</v>
      </c>
      <c r="B877" s="61" t="s">
        <v>128</v>
      </c>
      <c r="C877" s="61">
        <f t="shared" si="276"/>
        <v>874</v>
      </c>
      <c r="D877" s="61">
        <f t="shared" si="262"/>
        <v>22.839770000000001</v>
      </c>
      <c r="E877" s="61">
        <v>10.210000000000001</v>
      </c>
      <c r="F877" s="88">
        <f>($C$4/E877)+F876</f>
        <v>113.42828066310216</v>
      </c>
      <c r="G877" s="61">
        <f t="shared" ref="G877:G937" si="277">G876</f>
        <v>7000</v>
      </c>
      <c r="H877" s="61">
        <v>3</v>
      </c>
      <c r="I877" s="88">
        <f>E877-E876</f>
        <v>0</v>
      </c>
      <c r="J877" s="61">
        <f>(0.5*VEHICLE!$C$71*VEHICLE!$C$28*VEHICLE!$C$27*'Drive Cycle'!E877^2)</f>
        <v>92.735978760809999</v>
      </c>
      <c r="K877" s="61">
        <f>IF(A877=1,VEHICLE!$S$5,IF(A877=2,VEHICLE!$Q$5,IF(A877=3,VEHICLE!$R$5,IF(A877=4,VEHICLE!$P$5,1))))</f>
        <v>111.31014600000002</v>
      </c>
      <c r="L877" s="61">
        <v>0</v>
      </c>
      <c r="M877" s="61">
        <f t="shared" si="270"/>
        <v>0</v>
      </c>
      <c r="N877" s="61">
        <f t="shared" si="263"/>
        <v>0</v>
      </c>
      <c r="O877" s="61">
        <f t="shared" si="264"/>
        <v>0</v>
      </c>
      <c r="P877" s="61">
        <f t="shared" si="265"/>
        <v>204.04612476081002</v>
      </c>
      <c r="Q877" s="61">
        <f>IF(H877=1,I877*VEHICLE!$C$69,IF(H877=2,VEHICLE!$C$70*I877,IF(H877=3,VEHICLE!$C$71*I877,0)))</f>
        <v>0</v>
      </c>
      <c r="R877" s="61">
        <f>(J877+K877+O877+Q877)</f>
        <v>204.04612476081002</v>
      </c>
      <c r="S877" s="61">
        <f t="shared" si="266"/>
        <v>204.04612476081002</v>
      </c>
      <c r="T877" s="61">
        <f>ABS((R877)/((2*PI()*G877)/60))</f>
        <v>0.27835670892367281</v>
      </c>
      <c r="U877" s="61">
        <f t="shared" si="267"/>
        <v>1</v>
      </c>
      <c r="V877" s="61">
        <f>INDEX(BSFC!$D$4:$AD$26,MATCH(U877,BSFC!$B$4:$B$26,0),MATCH(G877,BSFC!$D$2:$AD$2,0))</f>
        <v>920.25590927999997</v>
      </c>
      <c r="W877" s="61">
        <f t="shared" si="271"/>
        <v>5.2159625576894311E-2</v>
      </c>
      <c r="X877" s="61">
        <f t="shared" si="268"/>
        <v>5.2159625576894311E-2</v>
      </c>
      <c r="Y877" s="61">
        <f t="shared" si="269"/>
        <v>0.16117324303260341</v>
      </c>
      <c r="Z877" s="79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x14ac:dyDescent="0.3">
      <c r="A878" s="55">
        <v>4</v>
      </c>
      <c r="B878" s="61" t="s">
        <v>128</v>
      </c>
      <c r="C878" s="61">
        <f t="shared" si="276"/>
        <v>875</v>
      </c>
      <c r="D878" s="61">
        <f t="shared" si="262"/>
        <v>22.839770000000001</v>
      </c>
      <c r="E878" s="61">
        <v>10.210000000000001</v>
      </c>
      <c r="F878" s="88">
        <f>($C$4/E878)+F877</f>
        <v>113.52622385605025</v>
      </c>
      <c r="G878" s="61">
        <f t="shared" si="277"/>
        <v>7000</v>
      </c>
      <c r="H878" s="61">
        <v>3</v>
      </c>
      <c r="I878" s="88">
        <f>E878-E877</f>
        <v>0</v>
      </c>
      <c r="J878" s="61">
        <f>(0.5*VEHICLE!$C$71*VEHICLE!$C$28*VEHICLE!$C$27*'Drive Cycle'!E878^2)</f>
        <v>92.735978760809999</v>
      </c>
      <c r="K878" s="61">
        <f>IF(A878=1,VEHICLE!$S$5,IF(A878=2,VEHICLE!$Q$5,IF(A878=3,VEHICLE!$R$5,IF(A878=4,VEHICLE!$P$5,1))))</f>
        <v>111.31014600000002</v>
      </c>
      <c r="L878" s="61">
        <v>0</v>
      </c>
      <c r="M878" s="61">
        <f t="shared" si="270"/>
        <v>0</v>
      </c>
      <c r="N878" s="61">
        <f t="shared" si="263"/>
        <v>0</v>
      </c>
      <c r="O878" s="61">
        <f t="shared" si="264"/>
        <v>0</v>
      </c>
      <c r="P878" s="61">
        <f t="shared" si="265"/>
        <v>204.04612476081002</v>
      </c>
      <c r="Q878" s="61">
        <f>IF(H878=1,I878*VEHICLE!$C$69,IF(H878=2,VEHICLE!$C$70*I878,IF(H878=3,VEHICLE!$C$71*I878,0)))</f>
        <v>0</v>
      </c>
      <c r="R878" s="61">
        <f>(J878+K878+O878+Q878)</f>
        <v>204.04612476081002</v>
      </c>
      <c r="S878" s="61">
        <f t="shared" si="266"/>
        <v>204.04612476081002</v>
      </c>
      <c r="T878" s="61">
        <f>ABS((R878)/((2*PI()*G878)/60))</f>
        <v>0.27835670892367281</v>
      </c>
      <c r="U878" s="61">
        <f t="shared" si="267"/>
        <v>1</v>
      </c>
      <c r="V878" s="61">
        <f>INDEX(BSFC!$D$4:$AD$26,MATCH(U878,BSFC!$B$4:$B$26,0),MATCH(G878,BSFC!$D$2:$AD$2,0))</f>
        <v>920.25590927999997</v>
      </c>
      <c r="W878" s="61">
        <f t="shared" si="271"/>
        <v>5.2159625576894311E-2</v>
      </c>
      <c r="X878" s="61">
        <f t="shared" si="268"/>
        <v>5.2159625576894311E-2</v>
      </c>
      <c r="Y878" s="61">
        <f t="shared" si="269"/>
        <v>0.16117324303260341</v>
      </c>
      <c r="Z878" s="79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x14ac:dyDescent="0.3">
      <c r="A879" s="55">
        <v>4</v>
      </c>
      <c r="B879" s="61" t="s">
        <v>128</v>
      </c>
      <c r="C879" s="61">
        <f t="shared" si="276"/>
        <v>876</v>
      </c>
      <c r="D879" s="61">
        <f t="shared" si="262"/>
        <v>22.839770000000001</v>
      </c>
      <c r="E879" s="61">
        <v>10.210000000000001</v>
      </c>
      <c r="F879" s="88">
        <f>($C$4/E879)+F878</f>
        <v>113.62416704899834</v>
      </c>
      <c r="G879" s="61">
        <f t="shared" si="277"/>
        <v>7000</v>
      </c>
      <c r="H879" s="61">
        <v>3</v>
      </c>
      <c r="I879" s="88">
        <f>E879-E878</f>
        <v>0</v>
      </c>
      <c r="J879" s="61">
        <f>(0.5*VEHICLE!$C$71*VEHICLE!$C$28*VEHICLE!$C$27*'Drive Cycle'!E879^2)</f>
        <v>92.735978760809999</v>
      </c>
      <c r="K879" s="61">
        <f>IF(A879=1,VEHICLE!$S$5,IF(A879=2,VEHICLE!$Q$5,IF(A879=3,VEHICLE!$R$5,IF(A879=4,VEHICLE!$P$5,1))))</f>
        <v>111.31014600000002</v>
      </c>
      <c r="L879" s="61">
        <v>0</v>
      </c>
      <c r="M879" s="61">
        <f t="shared" si="270"/>
        <v>0</v>
      </c>
      <c r="N879" s="61">
        <f t="shared" si="263"/>
        <v>0</v>
      </c>
      <c r="O879" s="61">
        <f t="shared" si="264"/>
        <v>0</v>
      </c>
      <c r="P879" s="61">
        <f t="shared" si="265"/>
        <v>204.04612476081002</v>
      </c>
      <c r="Q879" s="61">
        <f>IF(H879=1,I879*VEHICLE!$C$69,IF(H879=2,VEHICLE!$C$70*I879,IF(H879=3,VEHICLE!$C$71*I879,0)))</f>
        <v>0</v>
      </c>
      <c r="R879" s="61">
        <f>(J879+K879+O879+Q879)</f>
        <v>204.04612476081002</v>
      </c>
      <c r="S879" s="61">
        <f t="shared" si="266"/>
        <v>204.04612476081002</v>
      </c>
      <c r="T879" s="61">
        <f>ABS((R879)/((2*PI()*G879)/60))</f>
        <v>0.27835670892367281</v>
      </c>
      <c r="U879" s="61">
        <f t="shared" si="267"/>
        <v>1</v>
      </c>
      <c r="V879" s="61">
        <f>INDEX(BSFC!$D$4:$AD$26,MATCH(U879,BSFC!$B$4:$B$26,0),MATCH(G879,BSFC!$D$2:$AD$2,0))</f>
        <v>920.25590927999997</v>
      </c>
      <c r="W879" s="61">
        <f t="shared" si="271"/>
        <v>5.2159625576894311E-2</v>
      </c>
      <c r="X879" s="61">
        <f t="shared" si="268"/>
        <v>5.2159625576894311E-2</v>
      </c>
      <c r="Y879" s="61">
        <f t="shared" si="269"/>
        <v>0.16117324303260341</v>
      </c>
      <c r="Z879" s="79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x14ac:dyDescent="0.3">
      <c r="A880" s="55">
        <v>4</v>
      </c>
      <c r="B880" s="61" t="s">
        <v>128</v>
      </c>
      <c r="C880" s="61">
        <f t="shared" si="276"/>
        <v>877</v>
      </c>
      <c r="D880" s="61">
        <f t="shared" si="262"/>
        <v>22.839770000000001</v>
      </c>
      <c r="E880" s="61">
        <v>10.210000000000001</v>
      </c>
      <c r="F880" s="88">
        <f>($C$4/E880)+F879</f>
        <v>113.72211024194644</v>
      </c>
      <c r="G880" s="61">
        <f t="shared" si="277"/>
        <v>7000</v>
      </c>
      <c r="H880" s="61">
        <v>3</v>
      </c>
      <c r="I880" s="88">
        <f>E880-E879</f>
        <v>0</v>
      </c>
      <c r="J880" s="61">
        <f>(0.5*VEHICLE!$C$71*VEHICLE!$C$28*VEHICLE!$C$27*'Drive Cycle'!E880^2)</f>
        <v>92.735978760809999</v>
      </c>
      <c r="K880" s="61">
        <f>IF(A880=1,VEHICLE!$S$5,IF(A880=2,VEHICLE!$Q$5,IF(A880=3,VEHICLE!$R$5,IF(A880=4,VEHICLE!$P$5,1))))</f>
        <v>111.31014600000002</v>
      </c>
      <c r="L880" s="61">
        <v>0</v>
      </c>
      <c r="M880" s="61">
        <f t="shared" si="270"/>
        <v>0</v>
      </c>
      <c r="N880" s="61">
        <f t="shared" si="263"/>
        <v>0</v>
      </c>
      <c r="O880" s="61">
        <f t="shared" si="264"/>
        <v>0</v>
      </c>
      <c r="P880" s="61">
        <f t="shared" si="265"/>
        <v>204.04612476081002</v>
      </c>
      <c r="Q880" s="61">
        <f>IF(H880=1,I880*VEHICLE!$C$69,IF(H880=2,VEHICLE!$C$70*I880,IF(H880=3,VEHICLE!$C$71*I880,0)))</f>
        <v>0</v>
      </c>
      <c r="R880" s="61">
        <f>(J880+K880+O880+Q880)</f>
        <v>204.04612476081002</v>
      </c>
      <c r="S880" s="61">
        <f t="shared" si="266"/>
        <v>204.04612476081002</v>
      </c>
      <c r="T880" s="61">
        <f>ABS((R880)/((2*PI()*G880)/60))</f>
        <v>0.27835670892367281</v>
      </c>
      <c r="U880" s="61">
        <f t="shared" si="267"/>
        <v>1</v>
      </c>
      <c r="V880" s="61">
        <f>INDEX(BSFC!$D$4:$AD$26,MATCH(U880,BSFC!$B$4:$B$26,0),MATCH(G880,BSFC!$D$2:$AD$2,0))</f>
        <v>920.25590927999997</v>
      </c>
      <c r="W880" s="61">
        <f t="shared" si="271"/>
        <v>5.2159625576894311E-2</v>
      </c>
      <c r="X880" s="61">
        <f t="shared" si="268"/>
        <v>5.2159625576894311E-2</v>
      </c>
      <c r="Y880" s="61">
        <f t="shared" si="269"/>
        <v>0.16117324303260341</v>
      </c>
      <c r="Z880" s="79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x14ac:dyDescent="0.3">
      <c r="A881" s="55">
        <v>4</v>
      </c>
      <c r="B881" s="61" t="s">
        <v>128</v>
      </c>
      <c r="C881" s="61">
        <f t="shared" si="276"/>
        <v>878</v>
      </c>
      <c r="D881" s="61">
        <f t="shared" si="262"/>
        <v>22.839770000000001</v>
      </c>
      <c r="E881" s="61">
        <v>10.210000000000001</v>
      </c>
      <c r="F881" s="88">
        <f>($C$4/E881)+F880</f>
        <v>113.82005343489453</v>
      </c>
      <c r="G881" s="61">
        <f t="shared" si="277"/>
        <v>7000</v>
      </c>
      <c r="H881" s="61">
        <v>3</v>
      </c>
      <c r="I881" s="88">
        <f>E881-E880</f>
        <v>0</v>
      </c>
      <c r="J881" s="61">
        <f>(0.5*VEHICLE!$C$71*VEHICLE!$C$28*VEHICLE!$C$27*'Drive Cycle'!E881^2)</f>
        <v>92.735978760809999</v>
      </c>
      <c r="K881" s="61">
        <f>IF(A881=1,VEHICLE!$S$5,IF(A881=2,VEHICLE!$Q$5,IF(A881=3,VEHICLE!$R$5,IF(A881=4,VEHICLE!$P$5,1))))</f>
        <v>111.31014600000002</v>
      </c>
      <c r="L881" s="61">
        <v>0</v>
      </c>
      <c r="M881" s="61">
        <f t="shared" si="270"/>
        <v>0</v>
      </c>
      <c r="N881" s="61">
        <f t="shared" si="263"/>
        <v>0</v>
      </c>
      <c r="O881" s="61">
        <f t="shared" si="264"/>
        <v>0</v>
      </c>
      <c r="P881" s="61">
        <f t="shared" si="265"/>
        <v>204.04612476081002</v>
      </c>
      <c r="Q881" s="61">
        <f>IF(H881=1,I881*VEHICLE!$C$69,IF(H881=2,VEHICLE!$C$70*I881,IF(H881=3,VEHICLE!$C$71*I881,0)))</f>
        <v>0</v>
      </c>
      <c r="R881" s="61">
        <f>(J881+K881+O881+Q881)</f>
        <v>204.04612476081002</v>
      </c>
      <c r="S881" s="61">
        <f t="shared" si="266"/>
        <v>204.04612476081002</v>
      </c>
      <c r="T881" s="61">
        <f>ABS((R881)/((2*PI()*G881)/60))</f>
        <v>0.27835670892367281</v>
      </c>
      <c r="U881" s="61">
        <f t="shared" si="267"/>
        <v>1</v>
      </c>
      <c r="V881" s="61">
        <f>INDEX(BSFC!$D$4:$AD$26,MATCH(U881,BSFC!$B$4:$B$26,0),MATCH(G881,BSFC!$D$2:$AD$2,0))</f>
        <v>920.25590927999997</v>
      </c>
      <c r="W881" s="61">
        <f t="shared" si="271"/>
        <v>5.2159625576894311E-2</v>
      </c>
      <c r="X881" s="61">
        <f t="shared" si="268"/>
        <v>5.2159625576894311E-2</v>
      </c>
      <c r="Y881" s="61">
        <f t="shared" si="269"/>
        <v>0.16117324303260341</v>
      </c>
      <c r="Z881" s="79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x14ac:dyDescent="0.3">
      <c r="A882" s="55">
        <v>4</v>
      </c>
      <c r="B882" s="61" t="s">
        <v>128</v>
      </c>
      <c r="C882" s="61">
        <f t="shared" si="276"/>
        <v>879</v>
      </c>
      <c r="D882" s="61">
        <f t="shared" si="262"/>
        <v>22.839770000000001</v>
      </c>
      <c r="E882" s="61">
        <v>10.210000000000001</v>
      </c>
      <c r="F882" s="88">
        <f>($C$4/E882)+F881</f>
        <v>113.91799662784263</v>
      </c>
      <c r="G882" s="61">
        <f t="shared" si="277"/>
        <v>7000</v>
      </c>
      <c r="H882" s="61">
        <v>3</v>
      </c>
      <c r="I882" s="88">
        <f>E882-E881</f>
        <v>0</v>
      </c>
      <c r="J882" s="61">
        <f>(0.5*VEHICLE!$C$71*VEHICLE!$C$28*VEHICLE!$C$27*'Drive Cycle'!E882^2)</f>
        <v>92.735978760809999</v>
      </c>
      <c r="K882" s="61">
        <f>IF(A882=1,VEHICLE!$S$5,IF(A882=2,VEHICLE!$Q$5,IF(A882=3,VEHICLE!$R$5,IF(A882=4,VEHICLE!$P$5,1))))</f>
        <v>111.31014600000002</v>
      </c>
      <c r="L882" s="61">
        <v>0</v>
      </c>
      <c r="M882" s="61">
        <f t="shared" si="270"/>
        <v>0</v>
      </c>
      <c r="N882" s="61">
        <f t="shared" si="263"/>
        <v>0</v>
      </c>
      <c r="O882" s="61">
        <f t="shared" si="264"/>
        <v>0</v>
      </c>
      <c r="P882" s="61">
        <f t="shared" si="265"/>
        <v>204.04612476081002</v>
      </c>
      <c r="Q882" s="61">
        <f>IF(H882=1,I882*VEHICLE!$C$69,IF(H882=2,VEHICLE!$C$70*I882,IF(H882=3,VEHICLE!$C$71*I882,0)))</f>
        <v>0</v>
      </c>
      <c r="R882" s="61">
        <f>(J882+K882+O882+Q882)</f>
        <v>204.04612476081002</v>
      </c>
      <c r="S882" s="61">
        <f t="shared" si="266"/>
        <v>204.04612476081002</v>
      </c>
      <c r="T882" s="61">
        <f>ABS((R882)/((2*PI()*G882)/60))</f>
        <v>0.27835670892367281</v>
      </c>
      <c r="U882" s="61">
        <f t="shared" si="267"/>
        <v>1</v>
      </c>
      <c r="V882" s="61">
        <f>INDEX(BSFC!$D$4:$AD$26,MATCH(U882,BSFC!$B$4:$B$26,0),MATCH(G882,BSFC!$D$2:$AD$2,0))</f>
        <v>920.25590927999997</v>
      </c>
      <c r="W882" s="61">
        <f t="shared" si="271"/>
        <v>5.2159625576894311E-2</v>
      </c>
      <c r="X882" s="61">
        <f t="shared" si="268"/>
        <v>5.2159625576894311E-2</v>
      </c>
      <c r="Y882" s="61">
        <f t="shared" si="269"/>
        <v>0.16117324303260341</v>
      </c>
      <c r="Z882" s="79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x14ac:dyDescent="0.3">
      <c r="A883" s="55">
        <v>4</v>
      </c>
      <c r="B883" s="61" t="s">
        <v>128</v>
      </c>
      <c r="C883" s="61">
        <f t="shared" si="276"/>
        <v>880</v>
      </c>
      <c r="D883" s="61">
        <f t="shared" si="262"/>
        <v>22.839770000000001</v>
      </c>
      <c r="E883" s="61">
        <v>10.210000000000001</v>
      </c>
      <c r="F883" s="88">
        <f>($C$4/E883)+F882</f>
        <v>114.01593982079072</v>
      </c>
      <c r="G883" s="61">
        <f t="shared" si="277"/>
        <v>7000</v>
      </c>
      <c r="H883" s="61">
        <v>3</v>
      </c>
      <c r="I883" s="88">
        <f>E883-E882</f>
        <v>0</v>
      </c>
      <c r="J883" s="61">
        <f>(0.5*VEHICLE!$C$71*VEHICLE!$C$28*VEHICLE!$C$27*'Drive Cycle'!E883^2)</f>
        <v>92.735978760809999</v>
      </c>
      <c r="K883" s="61">
        <f>IF(A883=1,VEHICLE!$S$5,IF(A883=2,VEHICLE!$Q$5,IF(A883=3,VEHICLE!$R$5,IF(A883=4,VEHICLE!$P$5,1))))</f>
        <v>111.31014600000002</v>
      </c>
      <c r="L883" s="61">
        <v>0</v>
      </c>
      <c r="M883" s="61">
        <f t="shared" si="270"/>
        <v>0</v>
      </c>
      <c r="N883" s="61">
        <f t="shared" si="263"/>
        <v>0</v>
      </c>
      <c r="O883" s="61">
        <f t="shared" si="264"/>
        <v>0</v>
      </c>
      <c r="P883" s="61">
        <f t="shared" si="265"/>
        <v>204.04612476081002</v>
      </c>
      <c r="Q883" s="61">
        <f>IF(H883=1,I883*VEHICLE!$C$69,IF(H883=2,VEHICLE!$C$70*I883,IF(H883=3,VEHICLE!$C$71*I883,0)))</f>
        <v>0</v>
      </c>
      <c r="R883" s="61">
        <f>(J883+K883+O883+Q883)</f>
        <v>204.04612476081002</v>
      </c>
      <c r="S883" s="61">
        <f t="shared" si="266"/>
        <v>204.04612476081002</v>
      </c>
      <c r="T883" s="61">
        <f>ABS((R883)/((2*PI()*G883)/60))</f>
        <v>0.27835670892367281</v>
      </c>
      <c r="U883" s="61">
        <f t="shared" si="267"/>
        <v>1</v>
      </c>
      <c r="V883" s="61">
        <f>INDEX(BSFC!$D$4:$AD$26,MATCH(U883,BSFC!$B$4:$B$26,0),MATCH(G883,BSFC!$D$2:$AD$2,0))</f>
        <v>920.25590927999997</v>
      </c>
      <c r="W883" s="61">
        <f t="shared" si="271"/>
        <v>5.2159625576894311E-2</v>
      </c>
      <c r="X883" s="61">
        <f t="shared" si="268"/>
        <v>5.2159625576894311E-2</v>
      </c>
      <c r="Y883" s="61">
        <f t="shared" si="269"/>
        <v>0.16117324303260341</v>
      </c>
      <c r="Z883" s="79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x14ac:dyDescent="0.3">
      <c r="A884" s="55">
        <v>4</v>
      </c>
      <c r="B884" s="61" t="s">
        <v>128</v>
      </c>
      <c r="C884" s="61">
        <f t="shared" si="276"/>
        <v>881</v>
      </c>
      <c r="D884" s="61">
        <f t="shared" si="262"/>
        <v>22.839770000000001</v>
      </c>
      <c r="E884" s="61">
        <v>10.210000000000001</v>
      </c>
      <c r="F884" s="88">
        <f>($C$4/E884)+F883</f>
        <v>114.11388301373881</v>
      </c>
      <c r="G884" s="61">
        <f t="shared" si="277"/>
        <v>7000</v>
      </c>
      <c r="H884" s="61">
        <v>3</v>
      </c>
      <c r="I884" s="88">
        <f>E884-E883</f>
        <v>0</v>
      </c>
      <c r="J884" s="61">
        <f>(0.5*VEHICLE!$C$71*VEHICLE!$C$28*VEHICLE!$C$27*'Drive Cycle'!E884^2)</f>
        <v>92.735978760809999</v>
      </c>
      <c r="K884" s="61">
        <f>IF(A884=1,VEHICLE!$S$5,IF(A884=2,VEHICLE!$Q$5,IF(A884=3,VEHICLE!$R$5,IF(A884=4,VEHICLE!$P$5,1))))</f>
        <v>111.31014600000002</v>
      </c>
      <c r="L884" s="61">
        <v>0</v>
      </c>
      <c r="M884" s="61">
        <f t="shared" si="270"/>
        <v>0</v>
      </c>
      <c r="N884" s="61">
        <f t="shared" si="263"/>
        <v>0</v>
      </c>
      <c r="O884" s="61">
        <f t="shared" si="264"/>
        <v>0</v>
      </c>
      <c r="P884" s="61">
        <f t="shared" si="265"/>
        <v>204.04612476081002</v>
      </c>
      <c r="Q884" s="61">
        <f>IF(H884=1,I884*VEHICLE!$C$69,IF(H884=2,VEHICLE!$C$70*I884,IF(H884=3,VEHICLE!$C$71*I884,0)))</f>
        <v>0</v>
      </c>
      <c r="R884" s="61">
        <f>(J884+K884+O884+Q884)</f>
        <v>204.04612476081002</v>
      </c>
      <c r="S884" s="61">
        <f t="shared" si="266"/>
        <v>204.04612476081002</v>
      </c>
      <c r="T884" s="61">
        <f>ABS((R884)/((2*PI()*G884)/60))</f>
        <v>0.27835670892367281</v>
      </c>
      <c r="U884" s="61">
        <f t="shared" si="267"/>
        <v>1</v>
      </c>
      <c r="V884" s="61">
        <f>INDEX(BSFC!$D$4:$AD$26,MATCH(U884,BSFC!$B$4:$B$26,0),MATCH(G884,BSFC!$D$2:$AD$2,0))</f>
        <v>920.25590927999997</v>
      </c>
      <c r="W884" s="61">
        <f t="shared" si="271"/>
        <v>5.2159625576894311E-2</v>
      </c>
      <c r="X884" s="61">
        <f t="shared" si="268"/>
        <v>5.2159625576894311E-2</v>
      </c>
      <c r="Y884" s="61">
        <f t="shared" si="269"/>
        <v>0.16117324303260341</v>
      </c>
      <c r="Z884" s="79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x14ac:dyDescent="0.3">
      <c r="A885" s="55">
        <v>4</v>
      </c>
      <c r="B885" s="61" t="s">
        <v>128</v>
      </c>
      <c r="C885" s="61">
        <f t="shared" si="276"/>
        <v>882</v>
      </c>
      <c r="D885" s="61">
        <f t="shared" si="262"/>
        <v>22.839770000000001</v>
      </c>
      <c r="E885" s="61">
        <v>10.210000000000001</v>
      </c>
      <c r="F885" s="88">
        <f>($C$4/E885)+F884</f>
        <v>114.21182620668691</v>
      </c>
      <c r="G885" s="61">
        <f t="shared" si="277"/>
        <v>7000</v>
      </c>
      <c r="H885" s="61">
        <v>3</v>
      </c>
      <c r="I885" s="88">
        <f>E885-E884</f>
        <v>0</v>
      </c>
      <c r="J885" s="61">
        <f>(0.5*VEHICLE!$C$71*VEHICLE!$C$28*VEHICLE!$C$27*'Drive Cycle'!E885^2)</f>
        <v>92.735978760809999</v>
      </c>
      <c r="K885" s="61">
        <f>IF(A885=1,VEHICLE!$S$5,IF(A885=2,VEHICLE!$Q$5,IF(A885=3,VEHICLE!$R$5,IF(A885=4,VEHICLE!$P$5,1))))</f>
        <v>111.31014600000002</v>
      </c>
      <c r="L885" s="61">
        <v>0</v>
      </c>
      <c r="M885" s="61">
        <f t="shared" si="270"/>
        <v>0</v>
      </c>
      <c r="N885" s="61">
        <f t="shared" si="263"/>
        <v>0</v>
      </c>
      <c r="O885" s="61">
        <f t="shared" si="264"/>
        <v>0</v>
      </c>
      <c r="P885" s="61">
        <f t="shared" si="265"/>
        <v>204.04612476081002</v>
      </c>
      <c r="Q885" s="61">
        <f>IF(H885=1,I885*VEHICLE!$C$69,IF(H885=2,VEHICLE!$C$70*I885,IF(H885=3,VEHICLE!$C$71*I885,0)))</f>
        <v>0</v>
      </c>
      <c r="R885" s="61">
        <f>(J885+K885+O885+Q885)</f>
        <v>204.04612476081002</v>
      </c>
      <c r="S885" s="61">
        <f t="shared" si="266"/>
        <v>204.04612476081002</v>
      </c>
      <c r="T885" s="61">
        <f>ABS((R885)/((2*PI()*G885)/60))</f>
        <v>0.27835670892367281</v>
      </c>
      <c r="U885" s="61">
        <f t="shared" si="267"/>
        <v>1</v>
      </c>
      <c r="V885" s="61">
        <f>INDEX(BSFC!$D$4:$AD$26,MATCH(U885,BSFC!$B$4:$B$26,0),MATCH(G885,BSFC!$D$2:$AD$2,0))</f>
        <v>920.25590927999997</v>
      </c>
      <c r="W885" s="61">
        <f t="shared" si="271"/>
        <v>5.2159625576894311E-2</v>
      </c>
      <c r="X885" s="61">
        <f t="shared" si="268"/>
        <v>5.2159625576894311E-2</v>
      </c>
      <c r="Y885" s="61">
        <f t="shared" si="269"/>
        <v>0.16117324303260341</v>
      </c>
      <c r="Z885" s="79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x14ac:dyDescent="0.3">
      <c r="A886" s="55">
        <v>4</v>
      </c>
      <c r="B886" s="61" t="s">
        <v>129</v>
      </c>
      <c r="C886" s="61">
        <f t="shared" si="276"/>
        <v>883</v>
      </c>
      <c r="D886" s="61">
        <f t="shared" si="262"/>
        <v>22.839770000000001</v>
      </c>
      <c r="E886" s="61">
        <v>10.210000000000001</v>
      </c>
      <c r="F886" s="88">
        <f>($C$4/E886)+F885</f>
        <v>114.309769399635</v>
      </c>
      <c r="G886" s="61">
        <f t="shared" si="277"/>
        <v>7000</v>
      </c>
      <c r="H886" s="61">
        <v>3</v>
      </c>
      <c r="I886" s="88">
        <f>E886-E885</f>
        <v>0</v>
      </c>
      <c r="J886" s="61">
        <f>(0.5*VEHICLE!$C$71*VEHICLE!$C$28*VEHICLE!$C$27*'Drive Cycle'!E886^2)</f>
        <v>92.735978760809999</v>
      </c>
      <c r="K886" s="61">
        <f>IF(A886=1,VEHICLE!$S$5,IF(A886=2,VEHICLE!$Q$5,IF(A886=3,VEHICLE!$R$5,IF(A886=4,VEHICLE!$P$5,1))))</f>
        <v>111.31014600000002</v>
      </c>
      <c r="L886" s="61">
        <v>0</v>
      </c>
      <c r="M886" s="61">
        <f t="shared" si="270"/>
        <v>0</v>
      </c>
      <c r="N886" s="61">
        <f t="shared" si="263"/>
        <v>0</v>
      </c>
      <c r="O886" s="61">
        <f t="shared" si="264"/>
        <v>0</v>
      </c>
      <c r="P886" s="61">
        <f t="shared" si="265"/>
        <v>204.04612476081002</v>
      </c>
      <c r="Q886" s="61">
        <f>IF(H886=1,I886*VEHICLE!$C$69,IF(H886=2,VEHICLE!$C$70*I886,IF(H886=3,VEHICLE!$C$71*I886,0)))</f>
        <v>0</v>
      </c>
      <c r="R886" s="61">
        <f>(J886+K886+O886+Q886)</f>
        <v>204.04612476081002</v>
      </c>
      <c r="S886" s="61">
        <f t="shared" si="266"/>
        <v>204.04612476081002</v>
      </c>
      <c r="T886" s="61">
        <f>ABS((R886)/((2*PI()*G886)/60))</f>
        <v>0.27835670892367281</v>
      </c>
      <c r="U886" s="61">
        <f t="shared" si="267"/>
        <v>1</v>
      </c>
      <c r="V886" s="61">
        <f>INDEX(BSFC!$D$4:$AD$26,MATCH(U886,BSFC!$B$4:$B$26,0),MATCH(G886,BSFC!$D$2:$AD$2,0))</f>
        <v>920.25590927999997</v>
      </c>
      <c r="W886" s="61">
        <f t="shared" si="271"/>
        <v>5.2159625576894311E-2</v>
      </c>
      <c r="X886" s="61">
        <f t="shared" si="268"/>
        <v>5.2159625576894311E-2</v>
      </c>
      <c r="Y886" s="61">
        <f t="shared" si="269"/>
        <v>0.16117324303260341</v>
      </c>
      <c r="Z886" s="79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x14ac:dyDescent="0.3">
      <c r="A887" s="55">
        <v>4</v>
      </c>
      <c r="B887" s="61" t="s">
        <v>129</v>
      </c>
      <c r="C887" s="61">
        <f t="shared" si="276"/>
        <v>884</v>
      </c>
      <c r="D887" s="61">
        <f t="shared" si="262"/>
        <v>22.839770000000001</v>
      </c>
      <c r="E887" s="61">
        <v>10.210000000000001</v>
      </c>
      <c r="F887" s="88">
        <f>($C$4/E887)+F886</f>
        <v>114.4077125925831</v>
      </c>
      <c r="G887" s="61">
        <f t="shared" si="277"/>
        <v>7000</v>
      </c>
      <c r="H887" s="61">
        <v>3</v>
      </c>
      <c r="I887" s="88">
        <f>E887-E886</f>
        <v>0</v>
      </c>
      <c r="J887" s="61">
        <f>(0.5*VEHICLE!$C$71*VEHICLE!$C$28*VEHICLE!$C$27*'Drive Cycle'!E887^2)</f>
        <v>92.735978760809999</v>
      </c>
      <c r="K887" s="61">
        <f>IF(A887=1,VEHICLE!$S$5,IF(A887=2,VEHICLE!$Q$5,IF(A887=3,VEHICLE!$R$5,IF(A887=4,VEHICLE!$P$5,1))))</f>
        <v>111.31014600000002</v>
      </c>
      <c r="L887" s="61">
        <v>0</v>
      </c>
      <c r="M887" s="61">
        <f t="shared" si="270"/>
        <v>0</v>
      </c>
      <c r="N887" s="61">
        <f t="shared" si="263"/>
        <v>0</v>
      </c>
      <c r="O887" s="61">
        <f t="shared" si="264"/>
        <v>0</v>
      </c>
      <c r="P887" s="61">
        <f t="shared" si="265"/>
        <v>204.04612476081002</v>
      </c>
      <c r="Q887" s="61">
        <f>IF(H887=1,I887*VEHICLE!$C$69,IF(H887=2,VEHICLE!$C$70*I887,IF(H887=3,VEHICLE!$C$71*I887,0)))</f>
        <v>0</v>
      </c>
      <c r="R887" s="61">
        <f>(J887+K887+O887+Q887)</f>
        <v>204.04612476081002</v>
      </c>
      <c r="S887" s="61">
        <f t="shared" si="266"/>
        <v>204.04612476081002</v>
      </c>
      <c r="T887" s="61">
        <f>ABS((R887)/((2*PI()*G887)/60))</f>
        <v>0.27835670892367281</v>
      </c>
      <c r="U887" s="61">
        <f t="shared" si="267"/>
        <v>1</v>
      </c>
      <c r="V887" s="61">
        <f>INDEX(BSFC!$D$4:$AD$26,MATCH(U887,BSFC!$B$4:$B$26,0),MATCH(G887,BSFC!$D$2:$AD$2,0))</f>
        <v>920.25590927999997</v>
      </c>
      <c r="W887" s="61">
        <f t="shared" si="271"/>
        <v>5.2159625576894311E-2</v>
      </c>
      <c r="X887" s="61">
        <f t="shared" si="268"/>
        <v>5.2159625576894311E-2</v>
      </c>
      <c r="Y887" s="61">
        <f t="shared" si="269"/>
        <v>0.16117324303260341</v>
      </c>
      <c r="Z887" s="79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x14ac:dyDescent="0.3">
      <c r="A888" s="55">
        <v>4</v>
      </c>
      <c r="B888" s="61" t="s">
        <v>129</v>
      </c>
      <c r="C888" s="61">
        <f t="shared" si="276"/>
        <v>885</v>
      </c>
      <c r="D888" s="61">
        <f t="shared" si="262"/>
        <v>22.839770000000001</v>
      </c>
      <c r="E888" s="61">
        <v>10.210000000000001</v>
      </c>
      <c r="F888" s="88">
        <f>($C$4/E888)+F887</f>
        <v>114.50565578553119</v>
      </c>
      <c r="G888" s="61">
        <f t="shared" si="277"/>
        <v>7000</v>
      </c>
      <c r="H888" s="61">
        <v>3</v>
      </c>
      <c r="I888" s="88">
        <f>E888-E887</f>
        <v>0</v>
      </c>
      <c r="J888" s="61">
        <f>(0.5*VEHICLE!$C$71*VEHICLE!$C$28*VEHICLE!$C$27*'Drive Cycle'!E888^2)</f>
        <v>92.735978760809999</v>
      </c>
      <c r="K888" s="61">
        <f>IF(A888=1,VEHICLE!$S$5,IF(A888=2,VEHICLE!$Q$5,IF(A888=3,VEHICLE!$R$5,IF(A888=4,VEHICLE!$P$5,1))))</f>
        <v>111.31014600000002</v>
      </c>
      <c r="L888" s="61">
        <v>0</v>
      </c>
      <c r="M888" s="61">
        <f t="shared" si="270"/>
        <v>0</v>
      </c>
      <c r="N888" s="61">
        <f t="shared" si="263"/>
        <v>0</v>
      </c>
      <c r="O888" s="61">
        <f t="shared" si="264"/>
        <v>0</v>
      </c>
      <c r="P888" s="61">
        <f t="shared" si="265"/>
        <v>204.04612476081002</v>
      </c>
      <c r="Q888" s="61">
        <f>IF(H888=1,I888*VEHICLE!$C$69,IF(H888=2,VEHICLE!$C$70*I888,IF(H888=3,VEHICLE!$C$71*I888,0)))</f>
        <v>0</v>
      </c>
      <c r="R888" s="61">
        <f>(J888+K888+O888+Q888)</f>
        <v>204.04612476081002</v>
      </c>
      <c r="S888" s="61">
        <f t="shared" si="266"/>
        <v>204.04612476081002</v>
      </c>
      <c r="T888" s="61">
        <f>ABS((R888)/((2*PI()*G888)/60))</f>
        <v>0.27835670892367281</v>
      </c>
      <c r="U888" s="61">
        <f t="shared" si="267"/>
        <v>1</v>
      </c>
      <c r="V888" s="61">
        <f>INDEX(BSFC!$D$4:$AD$26,MATCH(U888,BSFC!$B$4:$B$26,0),MATCH(G888,BSFC!$D$2:$AD$2,0))</f>
        <v>920.25590927999997</v>
      </c>
      <c r="W888" s="61">
        <f t="shared" si="271"/>
        <v>5.2159625576894311E-2</v>
      </c>
      <c r="X888" s="61">
        <f t="shared" si="268"/>
        <v>5.2159625576894311E-2</v>
      </c>
      <c r="Y888" s="61">
        <f t="shared" si="269"/>
        <v>0.16117324303260341</v>
      </c>
      <c r="Z888" s="79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x14ac:dyDescent="0.3">
      <c r="A889" s="55">
        <v>4</v>
      </c>
      <c r="B889" s="61" t="s">
        <v>129</v>
      </c>
      <c r="C889" s="61">
        <f t="shared" si="276"/>
        <v>886</v>
      </c>
      <c r="D889" s="61">
        <f t="shared" si="262"/>
        <v>22.839770000000001</v>
      </c>
      <c r="E889" s="61">
        <v>10.210000000000001</v>
      </c>
      <c r="F889" s="88">
        <f>($C$4/E889)+F888</f>
        <v>114.60359897847928</v>
      </c>
      <c r="G889" s="61">
        <f t="shared" si="277"/>
        <v>7000</v>
      </c>
      <c r="H889" s="61">
        <v>3</v>
      </c>
      <c r="I889" s="88">
        <f>E889-E888</f>
        <v>0</v>
      </c>
      <c r="J889" s="61">
        <f>(0.5*VEHICLE!$C$71*VEHICLE!$C$28*VEHICLE!$C$27*'Drive Cycle'!E889^2)</f>
        <v>92.735978760809999</v>
      </c>
      <c r="K889" s="61">
        <f>IF(A889=1,VEHICLE!$S$5,IF(A889=2,VEHICLE!$Q$5,IF(A889=3,VEHICLE!$R$5,IF(A889=4,VEHICLE!$P$5,1))))</f>
        <v>111.31014600000002</v>
      </c>
      <c r="L889" s="61">
        <v>0</v>
      </c>
      <c r="M889" s="61">
        <f t="shared" si="270"/>
        <v>0</v>
      </c>
      <c r="N889" s="61">
        <f t="shared" si="263"/>
        <v>0</v>
      </c>
      <c r="O889" s="61">
        <f t="shared" si="264"/>
        <v>0</v>
      </c>
      <c r="P889" s="61">
        <f t="shared" si="265"/>
        <v>204.04612476081002</v>
      </c>
      <c r="Q889" s="61">
        <f>IF(H889=1,I889*VEHICLE!$C$69,IF(H889=2,VEHICLE!$C$70*I889,IF(H889=3,VEHICLE!$C$71*I889,0)))</f>
        <v>0</v>
      </c>
      <c r="R889" s="61">
        <f>(J889+K889+O889+Q889)</f>
        <v>204.04612476081002</v>
      </c>
      <c r="S889" s="61">
        <f t="shared" si="266"/>
        <v>204.04612476081002</v>
      </c>
      <c r="T889" s="61">
        <f>ABS((R889)/((2*PI()*G889)/60))</f>
        <v>0.27835670892367281</v>
      </c>
      <c r="U889" s="61">
        <f t="shared" si="267"/>
        <v>1</v>
      </c>
      <c r="V889" s="61">
        <f>INDEX(BSFC!$D$4:$AD$26,MATCH(U889,BSFC!$B$4:$B$26,0),MATCH(G889,BSFC!$D$2:$AD$2,0))</f>
        <v>920.25590927999997</v>
      </c>
      <c r="W889" s="61">
        <f t="shared" si="271"/>
        <v>5.2159625576894311E-2</v>
      </c>
      <c r="X889" s="61">
        <f t="shared" si="268"/>
        <v>5.2159625576894311E-2</v>
      </c>
      <c r="Y889" s="61">
        <f t="shared" si="269"/>
        <v>0.16117324303260341</v>
      </c>
      <c r="Z889" s="79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x14ac:dyDescent="0.3">
      <c r="A890" s="55">
        <v>4</v>
      </c>
      <c r="B890" s="61" t="s">
        <v>129</v>
      </c>
      <c r="C890" s="61">
        <f t="shared" si="276"/>
        <v>887</v>
      </c>
      <c r="D890" s="61">
        <f t="shared" si="262"/>
        <v>22.839770000000001</v>
      </c>
      <c r="E890" s="61">
        <v>10.210000000000001</v>
      </c>
      <c r="F890" s="88">
        <f>($C$4/E890)+F889</f>
        <v>114.70154217142738</v>
      </c>
      <c r="G890" s="61">
        <f t="shared" si="277"/>
        <v>7000</v>
      </c>
      <c r="H890" s="61">
        <v>3</v>
      </c>
      <c r="I890" s="88">
        <f>E890-E889</f>
        <v>0</v>
      </c>
      <c r="J890" s="61">
        <f>(0.5*VEHICLE!$C$71*VEHICLE!$C$28*VEHICLE!$C$27*'Drive Cycle'!E890^2)</f>
        <v>92.735978760809999</v>
      </c>
      <c r="K890" s="61">
        <f>IF(A890=1,VEHICLE!$S$5,IF(A890=2,VEHICLE!$Q$5,IF(A890=3,VEHICLE!$R$5,IF(A890=4,VEHICLE!$P$5,1))))</f>
        <v>111.31014600000002</v>
      </c>
      <c r="L890" s="61">
        <v>0</v>
      </c>
      <c r="M890" s="61">
        <f t="shared" si="270"/>
        <v>0</v>
      </c>
      <c r="N890" s="61">
        <f t="shared" si="263"/>
        <v>0</v>
      </c>
      <c r="O890" s="61">
        <f t="shared" si="264"/>
        <v>0</v>
      </c>
      <c r="P890" s="61">
        <f t="shared" si="265"/>
        <v>204.04612476081002</v>
      </c>
      <c r="Q890" s="61">
        <f>IF(H890=1,I890*VEHICLE!$C$69,IF(H890=2,VEHICLE!$C$70*I890,IF(H890=3,VEHICLE!$C$71*I890,0)))</f>
        <v>0</v>
      </c>
      <c r="R890" s="61">
        <f>(J890+K890+O890+Q890)</f>
        <v>204.04612476081002</v>
      </c>
      <c r="S890" s="61">
        <f t="shared" si="266"/>
        <v>204.04612476081002</v>
      </c>
      <c r="T890" s="61">
        <f>ABS((R890)/((2*PI()*G890)/60))</f>
        <v>0.27835670892367281</v>
      </c>
      <c r="U890" s="61">
        <f t="shared" si="267"/>
        <v>1</v>
      </c>
      <c r="V890" s="61">
        <f>INDEX(BSFC!$D$4:$AD$26,MATCH(U890,BSFC!$B$4:$B$26,0),MATCH(G890,BSFC!$D$2:$AD$2,0))</f>
        <v>920.25590927999997</v>
      </c>
      <c r="W890" s="61">
        <f t="shared" si="271"/>
        <v>5.2159625576894311E-2</v>
      </c>
      <c r="X890" s="61">
        <f t="shared" si="268"/>
        <v>5.2159625576894311E-2</v>
      </c>
      <c r="Y890" s="61">
        <f t="shared" si="269"/>
        <v>0.16117324303260341</v>
      </c>
      <c r="Z890" s="79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x14ac:dyDescent="0.3">
      <c r="A891" s="55">
        <v>4</v>
      </c>
      <c r="B891" s="61" t="s">
        <v>129</v>
      </c>
      <c r="C891" s="61">
        <f t="shared" si="276"/>
        <v>888</v>
      </c>
      <c r="D891" s="61">
        <f t="shared" si="262"/>
        <v>22.839770000000001</v>
      </c>
      <c r="E891" s="61">
        <v>10.210000000000001</v>
      </c>
      <c r="F891" s="88">
        <f>($C$4/E891)+F890</f>
        <v>114.79948536437547</v>
      </c>
      <c r="G891" s="61">
        <f t="shared" si="277"/>
        <v>7000</v>
      </c>
      <c r="H891" s="61">
        <v>3</v>
      </c>
      <c r="I891" s="88">
        <f>E891-E890</f>
        <v>0</v>
      </c>
      <c r="J891" s="61">
        <f>(0.5*VEHICLE!$C$71*VEHICLE!$C$28*VEHICLE!$C$27*'Drive Cycle'!E891^2)</f>
        <v>92.735978760809999</v>
      </c>
      <c r="K891" s="61">
        <f>IF(A891=1,VEHICLE!$S$5,IF(A891=2,VEHICLE!$Q$5,IF(A891=3,VEHICLE!$R$5,IF(A891=4,VEHICLE!$P$5,1))))</f>
        <v>111.31014600000002</v>
      </c>
      <c r="L891" s="61">
        <v>0</v>
      </c>
      <c r="M891" s="61">
        <f t="shared" si="270"/>
        <v>0</v>
      </c>
      <c r="N891" s="61">
        <f t="shared" si="263"/>
        <v>0</v>
      </c>
      <c r="O891" s="61">
        <f t="shared" si="264"/>
        <v>0</v>
      </c>
      <c r="P891" s="61">
        <f t="shared" si="265"/>
        <v>204.04612476081002</v>
      </c>
      <c r="Q891" s="61">
        <f>IF(H891=1,I891*VEHICLE!$C$69,IF(H891=2,VEHICLE!$C$70*I891,IF(H891=3,VEHICLE!$C$71*I891,0)))</f>
        <v>0</v>
      </c>
      <c r="R891" s="61">
        <f>(J891+K891+O891+Q891)</f>
        <v>204.04612476081002</v>
      </c>
      <c r="S891" s="61">
        <f t="shared" si="266"/>
        <v>204.04612476081002</v>
      </c>
      <c r="T891" s="61">
        <f>ABS((R891)/((2*PI()*G891)/60))</f>
        <v>0.27835670892367281</v>
      </c>
      <c r="U891" s="61">
        <f t="shared" si="267"/>
        <v>1</v>
      </c>
      <c r="V891" s="61">
        <f>INDEX(BSFC!$D$4:$AD$26,MATCH(U891,BSFC!$B$4:$B$26,0),MATCH(G891,BSFC!$D$2:$AD$2,0))</f>
        <v>920.25590927999997</v>
      </c>
      <c r="W891" s="61">
        <f t="shared" si="271"/>
        <v>5.2159625576894311E-2</v>
      </c>
      <c r="X891" s="61">
        <f t="shared" si="268"/>
        <v>5.2159625576894311E-2</v>
      </c>
      <c r="Y891" s="61">
        <f t="shared" si="269"/>
        <v>0.16117324303260341</v>
      </c>
      <c r="Z891" s="79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x14ac:dyDescent="0.3">
      <c r="A892" s="55">
        <v>4</v>
      </c>
      <c r="B892" s="61" t="s">
        <v>129</v>
      </c>
      <c r="C892" s="61">
        <f t="shared" si="276"/>
        <v>889</v>
      </c>
      <c r="D892" s="61">
        <f t="shared" si="262"/>
        <v>22.839770000000001</v>
      </c>
      <c r="E892" s="61">
        <v>10.210000000000001</v>
      </c>
      <c r="F892" s="88">
        <f>($C$4/E892)+F891</f>
        <v>114.89742855732356</v>
      </c>
      <c r="G892" s="61">
        <f t="shared" si="277"/>
        <v>7000</v>
      </c>
      <c r="H892" s="61">
        <v>3</v>
      </c>
      <c r="I892" s="88">
        <f>E892-E891</f>
        <v>0</v>
      </c>
      <c r="J892" s="61">
        <f>(0.5*VEHICLE!$C$71*VEHICLE!$C$28*VEHICLE!$C$27*'Drive Cycle'!E892^2)</f>
        <v>92.735978760809999</v>
      </c>
      <c r="K892" s="61">
        <f>IF(A892=1,VEHICLE!$S$5,IF(A892=2,VEHICLE!$Q$5,IF(A892=3,VEHICLE!$R$5,IF(A892=4,VEHICLE!$P$5,1))))</f>
        <v>111.31014600000002</v>
      </c>
      <c r="L892" s="61">
        <v>0</v>
      </c>
      <c r="M892" s="61">
        <f t="shared" si="270"/>
        <v>0</v>
      </c>
      <c r="N892" s="61">
        <f t="shared" si="263"/>
        <v>0</v>
      </c>
      <c r="O892" s="61">
        <f t="shared" si="264"/>
        <v>0</v>
      </c>
      <c r="P892" s="61">
        <f t="shared" si="265"/>
        <v>204.04612476081002</v>
      </c>
      <c r="Q892" s="61">
        <f>IF(H892=1,I892*VEHICLE!$C$69,IF(H892=2,VEHICLE!$C$70*I892,IF(H892=3,VEHICLE!$C$71*I892,0)))</f>
        <v>0</v>
      </c>
      <c r="R892" s="61">
        <f>(J892+K892+O892+Q892)</f>
        <v>204.04612476081002</v>
      </c>
      <c r="S892" s="61">
        <f t="shared" si="266"/>
        <v>204.04612476081002</v>
      </c>
      <c r="T892" s="61">
        <f>ABS((R892)/((2*PI()*G892)/60))</f>
        <v>0.27835670892367281</v>
      </c>
      <c r="U892" s="61">
        <f t="shared" si="267"/>
        <v>1</v>
      </c>
      <c r="V892" s="61">
        <f>INDEX(BSFC!$D$4:$AD$26,MATCH(U892,BSFC!$B$4:$B$26,0),MATCH(G892,BSFC!$D$2:$AD$2,0))</f>
        <v>920.25590927999997</v>
      </c>
      <c r="W892" s="61">
        <f t="shared" si="271"/>
        <v>5.2159625576894311E-2</v>
      </c>
      <c r="X892" s="61">
        <f t="shared" si="268"/>
        <v>5.2159625576894311E-2</v>
      </c>
      <c r="Y892" s="61">
        <f t="shared" si="269"/>
        <v>0.16117324303260341</v>
      </c>
      <c r="Z892" s="79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x14ac:dyDescent="0.3">
      <c r="A893" s="55">
        <v>4</v>
      </c>
      <c r="B893" s="61" t="s">
        <v>129</v>
      </c>
      <c r="C893" s="61">
        <f t="shared" si="276"/>
        <v>890</v>
      </c>
      <c r="D893" s="61">
        <f t="shared" si="262"/>
        <v>22.839770000000001</v>
      </c>
      <c r="E893" s="61">
        <v>10.210000000000001</v>
      </c>
      <c r="F893" s="88">
        <f>($C$4/E893)+F892</f>
        <v>114.99537175027166</v>
      </c>
      <c r="G893" s="61">
        <f t="shared" si="277"/>
        <v>7000</v>
      </c>
      <c r="H893" s="61">
        <v>3</v>
      </c>
      <c r="I893" s="88">
        <f>E893-E892</f>
        <v>0</v>
      </c>
      <c r="J893" s="61">
        <f>(0.5*VEHICLE!$C$71*VEHICLE!$C$28*VEHICLE!$C$27*'Drive Cycle'!E893^2)</f>
        <v>92.735978760809999</v>
      </c>
      <c r="K893" s="61">
        <f>IF(A893=1,VEHICLE!$S$5,IF(A893=2,VEHICLE!$Q$5,IF(A893=3,VEHICLE!$R$5,IF(A893=4,VEHICLE!$P$5,1))))</f>
        <v>111.31014600000002</v>
      </c>
      <c r="L893" s="61">
        <v>0</v>
      </c>
      <c r="M893" s="61">
        <f t="shared" si="270"/>
        <v>0</v>
      </c>
      <c r="N893" s="61">
        <f t="shared" si="263"/>
        <v>0</v>
      </c>
      <c r="O893" s="61">
        <f t="shared" si="264"/>
        <v>0</v>
      </c>
      <c r="P893" s="61">
        <f t="shared" si="265"/>
        <v>204.04612476081002</v>
      </c>
      <c r="Q893" s="61">
        <f>IF(H893=1,I893*VEHICLE!$C$69,IF(H893=2,VEHICLE!$C$70*I893,IF(H893=3,VEHICLE!$C$71*I893,0)))</f>
        <v>0</v>
      </c>
      <c r="R893" s="61">
        <f>(J893+K893+O893+Q893)</f>
        <v>204.04612476081002</v>
      </c>
      <c r="S893" s="61">
        <f t="shared" si="266"/>
        <v>204.04612476081002</v>
      </c>
      <c r="T893" s="61">
        <f>ABS((R893)/((2*PI()*G893)/60))</f>
        <v>0.27835670892367281</v>
      </c>
      <c r="U893" s="61">
        <f t="shared" si="267"/>
        <v>1</v>
      </c>
      <c r="V893" s="61">
        <f>INDEX(BSFC!$D$4:$AD$26,MATCH(U893,BSFC!$B$4:$B$26,0),MATCH(G893,BSFC!$D$2:$AD$2,0))</f>
        <v>920.25590927999997</v>
      </c>
      <c r="W893" s="61">
        <f t="shared" si="271"/>
        <v>5.2159625576894311E-2</v>
      </c>
      <c r="X893" s="61">
        <f t="shared" si="268"/>
        <v>5.2159625576894311E-2</v>
      </c>
      <c r="Y893" s="61">
        <f t="shared" si="269"/>
        <v>0.16117324303260341</v>
      </c>
      <c r="Z893" s="79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x14ac:dyDescent="0.3">
      <c r="A894" s="55">
        <v>4</v>
      </c>
      <c r="B894" s="61" t="s">
        <v>129</v>
      </c>
      <c r="C894" s="61">
        <f t="shared" si="276"/>
        <v>891</v>
      </c>
      <c r="D894" s="61">
        <f t="shared" si="262"/>
        <v>22.839770000000001</v>
      </c>
      <c r="E894" s="61">
        <v>10.210000000000001</v>
      </c>
      <c r="F894" s="88">
        <f>($C$4/E894)+F893</f>
        <v>115.09331494321975</v>
      </c>
      <c r="G894" s="61">
        <f t="shared" si="277"/>
        <v>7000</v>
      </c>
      <c r="H894" s="61">
        <v>3</v>
      </c>
      <c r="I894" s="88">
        <f>E894-E893</f>
        <v>0</v>
      </c>
      <c r="J894" s="61">
        <f>(0.5*VEHICLE!$C$71*VEHICLE!$C$28*VEHICLE!$C$27*'Drive Cycle'!E894^2)</f>
        <v>92.735978760809999</v>
      </c>
      <c r="K894" s="61">
        <f>IF(A894=1,VEHICLE!$S$5,IF(A894=2,VEHICLE!$Q$5,IF(A894=3,VEHICLE!$R$5,IF(A894=4,VEHICLE!$P$5,1))))</f>
        <v>111.31014600000002</v>
      </c>
      <c r="L894" s="61">
        <v>0</v>
      </c>
      <c r="M894" s="61">
        <f t="shared" si="270"/>
        <v>0</v>
      </c>
      <c r="N894" s="61">
        <f t="shared" si="263"/>
        <v>0</v>
      </c>
      <c r="O894" s="61">
        <f t="shared" si="264"/>
        <v>0</v>
      </c>
      <c r="P894" s="61">
        <f t="shared" si="265"/>
        <v>204.04612476081002</v>
      </c>
      <c r="Q894" s="61">
        <f>IF(H894=1,I894*VEHICLE!$C$69,IF(H894=2,VEHICLE!$C$70*I894,IF(H894=3,VEHICLE!$C$71*I894,0)))</f>
        <v>0</v>
      </c>
      <c r="R894" s="61">
        <f>(J894+K894+O894+Q894)</f>
        <v>204.04612476081002</v>
      </c>
      <c r="S894" s="61">
        <f t="shared" si="266"/>
        <v>204.04612476081002</v>
      </c>
      <c r="T894" s="61">
        <f>ABS((R894)/((2*PI()*G894)/60))</f>
        <v>0.27835670892367281</v>
      </c>
      <c r="U894" s="61">
        <f t="shared" si="267"/>
        <v>1</v>
      </c>
      <c r="V894" s="61">
        <f>INDEX(BSFC!$D$4:$AD$26,MATCH(U894,BSFC!$B$4:$B$26,0),MATCH(G894,BSFC!$D$2:$AD$2,0))</f>
        <v>920.25590927999997</v>
      </c>
      <c r="W894" s="61">
        <f t="shared" si="271"/>
        <v>5.2159625576894311E-2</v>
      </c>
      <c r="X894" s="61">
        <f t="shared" si="268"/>
        <v>5.2159625576894311E-2</v>
      </c>
      <c r="Y894" s="61">
        <f t="shared" si="269"/>
        <v>0.16117324303260341</v>
      </c>
      <c r="Z894" s="79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x14ac:dyDescent="0.3">
      <c r="A895" s="55">
        <v>4</v>
      </c>
      <c r="B895" s="61" t="s">
        <v>129</v>
      </c>
      <c r="C895" s="61">
        <f t="shared" si="276"/>
        <v>892</v>
      </c>
      <c r="D895" s="61">
        <f t="shared" si="262"/>
        <v>22.839770000000001</v>
      </c>
      <c r="E895" s="61">
        <v>10.210000000000001</v>
      </c>
      <c r="F895" s="88">
        <f>($C$4/E895)+F894</f>
        <v>115.19125813616785</v>
      </c>
      <c r="G895" s="61">
        <f t="shared" si="277"/>
        <v>7000</v>
      </c>
      <c r="H895" s="61">
        <v>3</v>
      </c>
      <c r="I895" s="88">
        <f>E895-E894</f>
        <v>0</v>
      </c>
      <c r="J895" s="61">
        <f>(0.5*VEHICLE!$C$71*VEHICLE!$C$28*VEHICLE!$C$27*'Drive Cycle'!E895^2)</f>
        <v>92.735978760809999</v>
      </c>
      <c r="K895" s="61">
        <f>IF(A895=1,VEHICLE!$S$5,IF(A895=2,VEHICLE!$Q$5,IF(A895=3,VEHICLE!$R$5,IF(A895=4,VEHICLE!$P$5,1))))</f>
        <v>111.31014600000002</v>
      </c>
      <c r="L895" s="61">
        <v>0</v>
      </c>
      <c r="M895" s="61">
        <f t="shared" si="270"/>
        <v>0</v>
      </c>
      <c r="N895" s="61">
        <f t="shared" si="263"/>
        <v>0</v>
      </c>
      <c r="O895" s="61">
        <f t="shared" si="264"/>
        <v>0</v>
      </c>
      <c r="P895" s="61">
        <f t="shared" si="265"/>
        <v>204.04612476081002</v>
      </c>
      <c r="Q895" s="61">
        <f>IF(H895=1,I895*VEHICLE!$C$69,IF(H895=2,VEHICLE!$C$70*I895,IF(H895=3,VEHICLE!$C$71*I895,0)))</f>
        <v>0</v>
      </c>
      <c r="R895" s="61">
        <f>(J895+K895+O895+Q895)</f>
        <v>204.04612476081002</v>
      </c>
      <c r="S895" s="61">
        <f t="shared" si="266"/>
        <v>204.04612476081002</v>
      </c>
      <c r="T895" s="61">
        <f>ABS((R895)/((2*PI()*G895)/60))</f>
        <v>0.27835670892367281</v>
      </c>
      <c r="U895" s="61">
        <f t="shared" si="267"/>
        <v>1</v>
      </c>
      <c r="V895" s="61">
        <f>INDEX(BSFC!$D$4:$AD$26,MATCH(U895,BSFC!$B$4:$B$26,0),MATCH(G895,BSFC!$D$2:$AD$2,0))</f>
        <v>920.25590927999997</v>
      </c>
      <c r="W895" s="61">
        <f t="shared" si="271"/>
        <v>5.2159625576894311E-2</v>
      </c>
      <c r="X895" s="61">
        <f t="shared" si="268"/>
        <v>5.2159625576894311E-2</v>
      </c>
      <c r="Y895" s="61">
        <f t="shared" si="269"/>
        <v>0.16117324303260341</v>
      </c>
      <c r="Z895" s="79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x14ac:dyDescent="0.3">
      <c r="A896" s="55">
        <v>4</v>
      </c>
      <c r="B896" s="61" t="s">
        <v>129</v>
      </c>
      <c r="C896" s="61">
        <f t="shared" si="276"/>
        <v>893</v>
      </c>
      <c r="D896" s="61">
        <f t="shared" si="262"/>
        <v>22.839770000000001</v>
      </c>
      <c r="E896" s="61">
        <v>10.210000000000001</v>
      </c>
      <c r="F896" s="88">
        <f>($C$4/E896)+F895</f>
        <v>115.28920132911594</v>
      </c>
      <c r="G896" s="61">
        <f t="shared" si="277"/>
        <v>7000</v>
      </c>
      <c r="H896" s="61">
        <v>3</v>
      </c>
      <c r="I896" s="88">
        <f>E896-E895</f>
        <v>0</v>
      </c>
      <c r="J896" s="61">
        <f>(0.5*VEHICLE!$C$71*VEHICLE!$C$28*VEHICLE!$C$27*'Drive Cycle'!E896^2)</f>
        <v>92.735978760809999</v>
      </c>
      <c r="K896" s="61">
        <f>IF(A896=1,VEHICLE!$S$5,IF(A896=2,VEHICLE!$Q$5,IF(A896=3,VEHICLE!$R$5,IF(A896=4,VEHICLE!$P$5,1))))</f>
        <v>111.31014600000002</v>
      </c>
      <c r="L896" s="61">
        <v>0</v>
      </c>
      <c r="M896" s="61">
        <f t="shared" si="270"/>
        <v>0</v>
      </c>
      <c r="N896" s="61">
        <f t="shared" si="263"/>
        <v>0</v>
      </c>
      <c r="O896" s="61">
        <f t="shared" si="264"/>
        <v>0</v>
      </c>
      <c r="P896" s="61">
        <f t="shared" si="265"/>
        <v>204.04612476081002</v>
      </c>
      <c r="Q896" s="61">
        <f>IF(H896=1,I896*VEHICLE!$C$69,IF(H896=2,VEHICLE!$C$70*I896,IF(H896=3,VEHICLE!$C$71*I896,0)))</f>
        <v>0</v>
      </c>
      <c r="R896" s="61">
        <f>(J896+K896+O896+Q896)</f>
        <v>204.04612476081002</v>
      </c>
      <c r="S896" s="61">
        <f t="shared" si="266"/>
        <v>204.04612476081002</v>
      </c>
      <c r="T896" s="61">
        <f>ABS((R896)/((2*PI()*G896)/60))</f>
        <v>0.27835670892367281</v>
      </c>
      <c r="U896" s="61">
        <f t="shared" si="267"/>
        <v>1</v>
      </c>
      <c r="V896" s="61">
        <f>INDEX(BSFC!$D$4:$AD$26,MATCH(U896,BSFC!$B$4:$B$26,0),MATCH(G896,BSFC!$D$2:$AD$2,0))</f>
        <v>920.25590927999997</v>
      </c>
      <c r="W896" s="61">
        <f t="shared" si="271"/>
        <v>5.2159625576894311E-2</v>
      </c>
      <c r="X896" s="61">
        <f t="shared" si="268"/>
        <v>5.2159625576894311E-2</v>
      </c>
      <c r="Y896" s="61">
        <f t="shared" si="269"/>
        <v>0.16117324303260341</v>
      </c>
      <c r="Z896" s="79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x14ac:dyDescent="0.3">
      <c r="A897" s="55">
        <v>4</v>
      </c>
      <c r="B897" s="61" t="s">
        <v>129</v>
      </c>
      <c r="C897" s="61">
        <f t="shared" si="276"/>
        <v>894</v>
      </c>
      <c r="D897" s="61">
        <f t="shared" si="262"/>
        <v>22.839770000000001</v>
      </c>
      <c r="E897" s="61">
        <v>10.210000000000001</v>
      </c>
      <c r="F897" s="88">
        <f>($C$4/E897)+F896</f>
        <v>115.38714452206403</v>
      </c>
      <c r="G897" s="61">
        <f t="shared" si="277"/>
        <v>7000</v>
      </c>
      <c r="H897" s="61">
        <v>3</v>
      </c>
      <c r="I897" s="88">
        <f>E897-E896</f>
        <v>0</v>
      </c>
      <c r="J897" s="61">
        <f>(0.5*VEHICLE!$C$71*VEHICLE!$C$28*VEHICLE!$C$27*'Drive Cycle'!E897^2)</f>
        <v>92.735978760809999</v>
      </c>
      <c r="K897" s="61">
        <f>IF(A897=1,VEHICLE!$S$5,IF(A897=2,VEHICLE!$Q$5,IF(A897=3,VEHICLE!$R$5,IF(A897=4,VEHICLE!$P$5,1))))</f>
        <v>111.31014600000002</v>
      </c>
      <c r="L897" s="61">
        <v>0</v>
      </c>
      <c r="M897" s="61">
        <f t="shared" si="270"/>
        <v>0</v>
      </c>
      <c r="N897" s="61">
        <f t="shared" si="263"/>
        <v>0</v>
      </c>
      <c r="O897" s="61">
        <f t="shared" si="264"/>
        <v>0</v>
      </c>
      <c r="P897" s="61">
        <f t="shared" si="265"/>
        <v>204.04612476081002</v>
      </c>
      <c r="Q897" s="61">
        <f>IF(H897=1,I897*VEHICLE!$C$69,IF(H897=2,VEHICLE!$C$70*I897,IF(H897=3,VEHICLE!$C$71*I897,0)))</f>
        <v>0</v>
      </c>
      <c r="R897" s="61">
        <f>(J897+K897+O897+Q897)</f>
        <v>204.04612476081002</v>
      </c>
      <c r="S897" s="61">
        <f t="shared" si="266"/>
        <v>204.04612476081002</v>
      </c>
      <c r="T897" s="61">
        <f>ABS((R897)/((2*PI()*G897)/60))</f>
        <v>0.27835670892367281</v>
      </c>
      <c r="U897" s="61">
        <f t="shared" si="267"/>
        <v>1</v>
      </c>
      <c r="V897" s="61">
        <f>INDEX(BSFC!$D$4:$AD$26,MATCH(U897,BSFC!$B$4:$B$26,0),MATCH(G897,BSFC!$D$2:$AD$2,0))</f>
        <v>920.25590927999997</v>
      </c>
      <c r="W897" s="61">
        <f t="shared" si="271"/>
        <v>5.2159625576894311E-2</v>
      </c>
      <c r="X897" s="61">
        <f t="shared" si="268"/>
        <v>5.2159625576894311E-2</v>
      </c>
      <c r="Y897" s="61">
        <f t="shared" si="269"/>
        <v>0.16117324303260341</v>
      </c>
      <c r="Z897" s="79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x14ac:dyDescent="0.3">
      <c r="A898" s="55">
        <v>4</v>
      </c>
      <c r="B898" s="61" t="s">
        <v>129</v>
      </c>
      <c r="C898" s="61">
        <f t="shared" si="276"/>
        <v>895</v>
      </c>
      <c r="D898" s="61">
        <f t="shared" si="262"/>
        <v>22.839770000000001</v>
      </c>
      <c r="E898" s="61">
        <v>10.210000000000001</v>
      </c>
      <c r="F898" s="88">
        <f>($C$4/E898)+F897</f>
        <v>115.48508771501213</v>
      </c>
      <c r="G898" s="61">
        <f t="shared" si="277"/>
        <v>7000</v>
      </c>
      <c r="H898" s="61">
        <v>3</v>
      </c>
      <c r="I898" s="88">
        <f>E898-E897</f>
        <v>0</v>
      </c>
      <c r="J898" s="61">
        <f>(0.5*VEHICLE!$C$71*VEHICLE!$C$28*VEHICLE!$C$27*'Drive Cycle'!E898^2)</f>
        <v>92.735978760809999</v>
      </c>
      <c r="K898" s="61">
        <f>IF(A898=1,VEHICLE!$S$5,IF(A898=2,VEHICLE!$Q$5,IF(A898=3,VEHICLE!$R$5,IF(A898=4,VEHICLE!$P$5,1))))</f>
        <v>111.31014600000002</v>
      </c>
      <c r="L898" s="61">
        <v>0</v>
      </c>
      <c r="M898" s="61">
        <f t="shared" si="270"/>
        <v>0</v>
      </c>
      <c r="N898" s="61">
        <f t="shared" si="263"/>
        <v>0</v>
      </c>
      <c r="O898" s="61">
        <f t="shared" si="264"/>
        <v>0</v>
      </c>
      <c r="P898" s="61">
        <f t="shared" si="265"/>
        <v>204.04612476081002</v>
      </c>
      <c r="Q898" s="61">
        <f>IF(H898=1,I898*VEHICLE!$C$69,IF(H898=2,VEHICLE!$C$70*I898,IF(H898=3,VEHICLE!$C$71*I898,0)))</f>
        <v>0</v>
      </c>
      <c r="R898" s="61">
        <f>(J898+K898+O898+Q898)</f>
        <v>204.04612476081002</v>
      </c>
      <c r="S898" s="61">
        <f t="shared" si="266"/>
        <v>204.04612476081002</v>
      </c>
      <c r="T898" s="61">
        <f>ABS((R898)/((2*PI()*G898)/60))</f>
        <v>0.27835670892367281</v>
      </c>
      <c r="U898" s="61">
        <f t="shared" si="267"/>
        <v>1</v>
      </c>
      <c r="V898" s="61">
        <f>INDEX(BSFC!$D$4:$AD$26,MATCH(U898,BSFC!$B$4:$B$26,0),MATCH(G898,BSFC!$D$2:$AD$2,0))</f>
        <v>920.25590927999997</v>
      </c>
      <c r="W898" s="61">
        <f t="shared" si="271"/>
        <v>5.2159625576894311E-2</v>
      </c>
      <c r="X898" s="61">
        <f t="shared" si="268"/>
        <v>5.2159625576894311E-2</v>
      </c>
      <c r="Y898" s="61">
        <f t="shared" si="269"/>
        <v>0.16117324303260341</v>
      </c>
      <c r="Z898" s="79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x14ac:dyDescent="0.3">
      <c r="A899" s="55">
        <v>4</v>
      </c>
      <c r="B899" s="61" t="s">
        <v>129</v>
      </c>
      <c r="C899" s="61">
        <f t="shared" si="276"/>
        <v>896</v>
      </c>
      <c r="D899" s="61">
        <f t="shared" si="262"/>
        <v>22.839770000000001</v>
      </c>
      <c r="E899" s="61">
        <v>10.210000000000001</v>
      </c>
      <c r="F899" s="88">
        <f>($C$4/E899)+F898</f>
        <v>115.58303090796022</v>
      </c>
      <c r="G899" s="61">
        <f t="shared" si="277"/>
        <v>7000</v>
      </c>
      <c r="H899" s="61">
        <v>3</v>
      </c>
      <c r="I899" s="88">
        <f>E899-E898</f>
        <v>0</v>
      </c>
      <c r="J899" s="61">
        <f>(0.5*VEHICLE!$C$71*VEHICLE!$C$28*VEHICLE!$C$27*'Drive Cycle'!E899^2)</f>
        <v>92.735978760809999</v>
      </c>
      <c r="K899" s="61">
        <f>IF(A899=1,VEHICLE!$S$5,IF(A899=2,VEHICLE!$Q$5,IF(A899=3,VEHICLE!$R$5,IF(A899=4,VEHICLE!$P$5,1))))</f>
        <v>111.31014600000002</v>
      </c>
      <c r="L899" s="61">
        <v>0</v>
      </c>
      <c r="M899" s="61">
        <f t="shared" si="270"/>
        <v>0</v>
      </c>
      <c r="N899" s="61">
        <f t="shared" si="263"/>
        <v>0</v>
      </c>
      <c r="O899" s="61">
        <f t="shared" si="264"/>
        <v>0</v>
      </c>
      <c r="P899" s="61">
        <f t="shared" si="265"/>
        <v>204.04612476081002</v>
      </c>
      <c r="Q899" s="61">
        <f>IF(H899=1,I899*VEHICLE!$C$69,IF(H899=2,VEHICLE!$C$70*I899,IF(H899=3,VEHICLE!$C$71*I899,0)))</f>
        <v>0</v>
      </c>
      <c r="R899" s="61">
        <f>(J899+K899+O899+Q899)</f>
        <v>204.04612476081002</v>
      </c>
      <c r="S899" s="61">
        <f t="shared" si="266"/>
        <v>204.04612476081002</v>
      </c>
      <c r="T899" s="61">
        <f>ABS((R899)/((2*PI()*G899)/60))</f>
        <v>0.27835670892367281</v>
      </c>
      <c r="U899" s="61">
        <f t="shared" si="267"/>
        <v>1</v>
      </c>
      <c r="V899" s="61">
        <f>INDEX(BSFC!$D$4:$AD$26,MATCH(U899,BSFC!$B$4:$B$26,0),MATCH(G899,BSFC!$D$2:$AD$2,0))</f>
        <v>920.25590927999997</v>
      </c>
      <c r="W899" s="61">
        <f t="shared" si="271"/>
        <v>5.2159625576894311E-2</v>
      </c>
      <c r="X899" s="61">
        <f t="shared" si="268"/>
        <v>5.2159625576894311E-2</v>
      </c>
      <c r="Y899" s="61">
        <f t="shared" si="269"/>
        <v>0.16117324303260341</v>
      </c>
      <c r="Z899" s="79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x14ac:dyDescent="0.3">
      <c r="A900" s="55">
        <v>4</v>
      </c>
      <c r="B900" s="61" t="s">
        <v>129</v>
      </c>
      <c r="C900" s="61">
        <f t="shared" si="276"/>
        <v>897</v>
      </c>
      <c r="D900" s="61">
        <f t="shared" ref="D900:D963" si="278">E900*2.237</f>
        <v>22.839770000000001</v>
      </c>
      <c r="E900" s="61">
        <v>10.210000000000001</v>
      </c>
      <c r="F900" s="88">
        <f>($C$4/E900)+F899</f>
        <v>115.68097410090832</v>
      </c>
      <c r="G900" s="61">
        <f t="shared" si="277"/>
        <v>7000</v>
      </c>
      <c r="H900" s="61">
        <v>3</v>
      </c>
      <c r="I900" s="88">
        <f>E900-E899</f>
        <v>0</v>
      </c>
      <c r="J900" s="61">
        <f>(0.5*VEHICLE!$C$71*VEHICLE!$C$28*VEHICLE!$C$27*'Drive Cycle'!E900^2)</f>
        <v>92.735978760809999</v>
      </c>
      <c r="K900" s="61">
        <f>IF(A900=1,VEHICLE!$S$5,IF(A900=2,VEHICLE!$Q$5,IF(A900=3,VEHICLE!$R$5,IF(A900=4,VEHICLE!$P$5,1))))</f>
        <v>111.31014600000002</v>
      </c>
      <c r="L900" s="61">
        <v>0</v>
      </c>
      <c r="M900" s="61">
        <f t="shared" si="270"/>
        <v>0</v>
      </c>
      <c r="N900" s="61">
        <f t="shared" ref="N900:N963" si="279">DEGREES(ATAN(M900/$C$4))</f>
        <v>0</v>
      </c>
      <c r="O900" s="61">
        <f t="shared" ref="O900:O963" si="280">9.81*SIN(RADIANS(N900))*($C$47)</f>
        <v>0</v>
      </c>
      <c r="P900" s="61">
        <f t="shared" ref="P900:P963" si="281">J900+K900+O900</f>
        <v>204.04612476081002</v>
      </c>
      <c r="Q900" s="61">
        <f>IF(H900=1,I900*VEHICLE!$C$69,IF(H900=2,VEHICLE!$C$70*I900,IF(H900=3,VEHICLE!$C$71*I900,0)))</f>
        <v>0</v>
      </c>
      <c r="R900" s="61">
        <f>(J900+K900+O900+Q900)</f>
        <v>204.04612476081002</v>
      </c>
      <c r="S900" s="61">
        <f t="shared" ref="S900:S963" si="282">ABS(R900)</f>
        <v>204.04612476081002</v>
      </c>
      <c r="T900" s="61">
        <f>ABS((R900)/((2*PI()*G900)/60))</f>
        <v>0.27835670892367281</v>
      </c>
      <c r="U900" s="61">
        <f t="shared" ref="U900:U963" si="283">ROUNDUP(T900,0)</f>
        <v>1</v>
      </c>
      <c r="V900" s="61">
        <f>INDEX(BSFC!$D$4:$AD$26,MATCH(U900,BSFC!$B$4:$B$26,0),MATCH(G900,BSFC!$D$2:$AD$2,0))</f>
        <v>920.25590927999997</v>
      </c>
      <c r="W900" s="61">
        <f t="shared" si="271"/>
        <v>5.2159625576894311E-2</v>
      </c>
      <c r="X900" s="61">
        <f t="shared" ref="X900:X963" si="284">ABS(W900)</f>
        <v>5.2159625576894311E-2</v>
      </c>
      <c r="Y900" s="61">
        <f t="shared" ref="Y900:Y963" si="285">W900*3.09</f>
        <v>0.16117324303260341</v>
      </c>
      <c r="Z900" s="79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x14ac:dyDescent="0.3">
      <c r="A901" s="55">
        <v>4</v>
      </c>
      <c r="B901" s="61" t="s">
        <v>129</v>
      </c>
      <c r="C901" s="61">
        <f t="shared" si="276"/>
        <v>898</v>
      </c>
      <c r="D901" s="61">
        <f t="shared" si="278"/>
        <v>22.839770000000001</v>
      </c>
      <c r="E901" s="61">
        <v>10.210000000000001</v>
      </c>
      <c r="F901" s="88">
        <f>($C$4/E901)+F900</f>
        <v>115.77891729385641</v>
      </c>
      <c r="G901" s="61">
        <f t="shared" si="277"/>
        <v>7000</v>
      </c>
      <c r="H901" s="61">
        <v>3</v>
      </c>
      <c r="I901" s="88">
        <f>E901-E900</f>
        <v>0</v>
      </c>
      <c r="J901" s="61">
        <f>(0.5*VEHICLE!$C$71*VEHICLE!$C$28*VEHICLE!$C$27*'Drive Cycle'!E901^2)</f>
        <v>92.735978760809999</v>
      </c>
      <c r="K901" s="61">
        <f>IF(A901=1,VEHICLE!$S$5,IF(A901=2,VEHICLE!$Q$5,IF(A901=3,VEHICLE!$R$5,IF(A901=4,VEHICLE!$P$5,1))))</f>
        <v>111.31014600000002</v>
      </c>
      <c r="L901" s="61">
        <v>0</v>
      </c>
      <c r="M901" s="61">
        <f t="shared" ref="M901:M964" si="286">L901-L900</f>
        <v>0</v>
      </c>
      <c r="N901" s="61">
        <f t="shared" si="279"/>
        <v>0</v>
      </c>
      <c r="O901" s="61">
        <f t="shared" si="280"/>
        <v>0</v>
      </c>
      <c r="P901" s="61">
        <f t="shared" si="281"/>
        <v>204.04612476081002</v>
      </c>
      <c r="Q901" s="61">
        <f>IF(H901=1,I901*VEHICLE!$C$69,IF(H901=2,VEHICLE!$C$70*I901,IF(H901=3,VEHICLE!$C$71*I901,0)))</f>
        <v>0</v>
      </c>
      <c r="R901" s="61">
        <f>(J901+K901+O901+Q901)</f>
        <v>204.04612476081002</v>
      </c>
      <c r="S901" s="61">
        <f t="shared" si="282"/>
        <v>204.04612476081002</v>
      </c>
      <c r="T901" s="61">
        <f>ABS((R901)/((2*PI()*G901)/60))</f>
        <v>0.27835670892367281</v>
      </c>
      <c r="U901" s="61">
        <f t="shared" si="283"/>
        <v>1</v>
      </c>
      <c r="V901" s="61">
        <f>INDEX(BSFC!$D$4:$AD$26,MATCH(U901,BSFC!$B$4:$B$26,0),MATCH(G901,BSFC!$D$2:$AD$2,0))</f>
        <v>920.25590927999997</v>
      </c>
      <c r="W901" s="61">
        <f t="shared" ref="W901:W964" si="287">(R901*V901/3600)/1000</f>
        <v>5.2159625576894311E-2</v>
      </c>
      <c r="X901" s="61">
        <f t="shared" si="284"/>
        <v>5.2159625576894311E-2</v>
      </c>
      <c r="Y901" s="61">
        <f t="shared" si="285"/>
        <v>0.16117324303260341</v>
      </c>
      <c r="Z901" s="79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x14ac:dyDescent="0.3">
      <c r="A902" s="55">
        <v>4</v>
      </c>
      <c r="B902" s="61" t="s">
        <v>129</v>
      </c>
      <c r="C902" s="61">
        <f t="shared" si="276"/>
        <v>899</v>
      </c>
      <c r="D902" s="61">
        <f t="shared" si="278"/>
        <v>22.839770000000001</v>
      </c>
      <c r="E902" s="61">
        <v>10.210000000000001</v>
      </c>
      <c r="F902" s="88">
        <f>($C$4/E902)+F901</f>
        <v>115.8768604868045</v>
      </c>
      <c r="G902" s="61">
        <f t="shared" si="277"/>
        <v>7000</v>
      </c>
      <c r="H902" s="61">
        <v>3</v>
      </c>
      <c r="I902" s="88">
        <f>E902-E901</f>
        <v>0</v>
      </c>
      <c r="J902" s="61">
        <f>(0.5*VEHICLE!$C$71*VEHICLE!$C$28*VEHICLE!$C$27*'Drive Cycle'!E902^2)</f>
        <v>92.735978760809999</v>
      </c>
      <c r="K902" s="61">
        <f>IF(A902=1,VEHICLE!$S$5,IF(A902=2,VEHICLE!$Q$5,IF(A902=3,VEHICLE!$R$5,IF(A902=4,VEHICLE!$P$5,1))))</f>
        <v>111.31014600000002</v>
      </c>
      <c r="L902" s="61">
        <v>0</v>
      </c>
      <c r="M902" s="61">
        <f t="shared" si="286"/>
        <v>0</v>
      </c>
      <c r="N902" s="61">
        <f t="shared" si="279"/>
        <v>0</v>
      </c>
      <c r="O902" s="61">
        <f t="shared" si="280"/>
        <v>0</v>
      </c>
      <c r="P902" s="61">
        <f t="shared" si="281"/>
        <v>204.04612476081002</v>
      </c>
      <c r="Q902" s="61">
        <f>IF(H902=1,I902*VEHICLE!$C$69,IF(H902=2,VEHICLE!$C$70*I902,IF(H902=3,VEHICLE!$C$71*I902,0)))</f>
        <v>0</v>
      </c>
      <c r="R902" s="61">
        <f>(J902+K902+O902+Q902)</f>
        <v>204.04612476081002</v>
      </c>
      <c r="S902" s="61">
        <f t="shared" si="282"/>
        <v>204.04612476081002</v>
      </c>
      <c r="T902" s="61">
        <f>ABS((R902)/((2*PI()*G902)/60))</f>
        <v>0.27835670892367281</v>
      </c>
      <c r="U902" s="61">
        <f t="shared" si="283"/>
        <v>1</v>
      </c>
      <c r="V902" s="61">
        <f>INDEX(BSFC!$D$4:$AD$26,MATCH(U902,BSFC!$B$4:$B$26,0),MATCH(G902,BSFC!$D$2:$AD$2,0))</f>
        <v>920.25590927999997</v>
      </c>
      <c r="W902" s="61">
        <f t="shared" si="287"/>
        <v>5.2159625576894311E-2</v>
      </c>
      <c r="X902" s="61">
        <f t="shared" si="284"/>
        <v>5.2159625576894311E-2</v>
      </c>
      <c r="Y902" s="61">
        <f t="shared" si="285"/>
        <v>0.16117324303260341</v>
      </c>
      <c r="Z902" s="79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x14ac:dyDescent="0.3">
      <c r="A903" s="55">
        <v>4</v>
      </c>
      <c r="B903" s="61" t="s">
        <v>129</v>
      </c>
      <c r="C903" s="61">
        <f t="shared" si="276"/>
        <v>900</v>
      </c>
      <c r="D903" s="61">
        <f t="shared" si="278"/>
        <v>22.839770000000001</v>
      </c>
      <c r="E903" s="61">
        <v>10.210000000000001</v>
      </c>
      <c r="F903" s="88">
        <f>($C$4/E903)+F902</f>
        <v>115.9748036797526</v>
      </c>
      <c r="G903" s="61">
        <f t="shared" si="277"/>
        <v>7000</v>
      </c>
      <c r="H903" s="61">
        <v>3</v>
      </c>
      <c r="I903" s="88">
        <f>E903-E902</f>
        <v>0</v>
      </c>
      <c r="J903" s="61">
        <f>(0.5*VEHICLE!$C$71*VEHICLE!$C$28*VEHICLE!$C$27*'Drive Cycle'!E903^2)</f>
        <v>92.735978760809999</v>
      </c>
      <c r="K903" s="61">
        <f>IF(A903=1,VEHICLE!$S$5,IF(A903=2,VEHICLE!$Q$5,IF(A903=3,VEHICLE!$R$5,IF(A903=4,VEHICLE!$P$5,1))))</f>
        <v>111.31014600000002</v>
      </c>
      <c r="L903" s="61">
        <v>0</v>
      </c>
      <c r="M903" s="61">
        <f t="shared" si="286"/>
        <v>0</v>
      </c>
      <c r="N903" s="61">
        <f t="shared" si="279"/>
        <v>0</v>
      </c>
      <c r="O903" s="61">
        <f t="shared" si="280"/>
        <v>0</v>
      </c>
      <c r="P903" s="61">
        <f t="shared" si="281"/>
        <v>204.04612476081002</v>
      </c>
      <c r="Q903" s="61">
        <f>IF(H903=1,I903*VEHICLE!$C$69,IF(H903=2,VEHICLE!$C$70*I903,IF(H903=3,VEHICLE!$C$71*I903,0)))</f>
        <v>0</v>
      </c>
      <c r="R903" s="61">
        <f>(J903+K903+O903+Q903)</f>
        <v>204.04612476081002</v>
      </c>
      <c r="S903" s="61">
        <f t="shared" si="282"/>
        <v>204.04612476081002</v>
      </c>
      <c r="T903" s="61">
        <f>ABS((R903)/((2*PI()*G903)/60))</f>
        <v>0.27835670892367281</v>
      </c>
      <c r="U903" s="61">
        <f t="shared" si="283"/>
        <v>1</v>
      </c>
      <c r="V903" s="61">
        <f>INDEX(BSFC!$D$4:$AD$26,MATCH(U903,BSFC!$B$4:$B$26,0),MATCH(G903,BSFC!$D$2:$AD$2,0))</f>
        <v>920.25590927999997</v>
      </c>
      <c r="W903" s="61">
        <f t="shared" si="287"/>
        <v>5.2159625576894311E-2</v>
      </c>
      <c r="X903" s="61">
        <f t="shared" si="284"/>
        <v>5.2159625576894311E-2</v>
      </c>
      <c r="Y903" s="61">
        <f t="shared" si="285"/>
        <v>0.16117324303260341</v>
      </c>
      <c r="Z903" s="79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x14ac:dyDescent="0.3">
      <c r="A904" s="55">
        <v>4</v>
      </c>
      <c r="B904" s="61" t="s">
        <v>129</v>
      </c>
      <c r="C904" s="61">
        <f t="shared" si="276"/>
        <v>901</v>
      </c>
      <c r="D904" s="61">
        <f t="shared" si="278"/>
        <v>22.839770000000001</v>
      </c>
      <c r="E904" s="61">
        <v>10.210000000000001</v>
      </c>
      <c r="F904" s="88">
        <f>($C$4/E904)+F903</f>
        <v>116.07274687270069</v>
      </c>
      <c r="G904" s="61">
        <f t="shared" si="277"/>
        <v>7000</v>
      </c>
      <c r="H904" s="61">
        <v>3</v>
      </c>
      <c r="I904" s="88">
        <f>E904-E903</f>
        <v>0</v>
      </c>
      <c r="J904" s="61">
        <f>(0.5*VEHICLE!$C$71*VEHICLE!$C$28*VEHICLE!$C$27*'Drive Cycle'!E904^2)</f>
        <v>92.735978760809999</v>
      </c>
      <c r="K904" s="61">
        <f>IF(A904=1,VEHICLE!$S$5,IF(A904=2,VEHICLE!$Q$5,IF(A904=3,VEHICLE!$R$5,IF(A904=4,VEHICLE!$P$5,1))))</f>
        <v>111.31014600000002</v>
      </c>
      <c r="L904" s="61">
        <v>0</v>
      </c>
      <c r="M904" s="61">
        <f t="shared" si="286"/>
        <v>0</v>
      </c>
      <c r="N904" s="61">
        <f t="shared" si="279"/>
        <v>0</v>
      </c>
      <c r="O904" s="61">
        <f t="shared" si="280"/>
        <v>0</v>
      </c>
      <c r="P904" s="61">
        <f t="shared" si="281"/>
        <v>204.04612476081002</v>
      </c>
      <c r="Q904" s="61">
        <f>IF(H904=1,I904*VEHICLE!$C$69,IF(H904=2,VEHICLE!$C$70*I904,IF(H904=3,VEHICLE!$C$71*I904,0)))</f>
        <v>0</v>
      </c>
      <c r="R904" s="61">
        <f>(J904+K904+O904+Q904)</f>
        <v>204.04612476081002</v>
      </c>
      <c r="S904" s="61">
        <f t="shared" si="282"/>
        <v>204.04612476081002</v>
      </c>
      <c r="T904" s="61">
        <f>ABS((R904)/((2*PI()*G904)/60))</f>
        <v>0.27835670892367281</v>
      </c>
      <c r="U904" s="61">
        <f t="shared" si="283"/>
        <v>1</v>
      </c>
      <c r="V904" s="61">
        <f>INDEX(BSFC!$D$4:$AD$26,MATCH(U904,BSFC!$B$4:$B$26,0),MATCH(G904,BSFC!$D$2:$AD$2,0))</f>
        <v>920.25590927999997</v>
      </c>
      <c r="W904" s="61">
        <f t="shared" si="287"/>
        <v>5.2159625576894311E-2</v>
      </c>
      <c r="X904" s="61">
        <f t="shared" si="284"/>
        <v>5.2159625576894311E-2</v>
      </c>
      <c r="Y904" s="61">
        <f t="shared" si="285"/>
        <v>0.16117324303260341</v>
      </c>
      <c r="Z904" s="79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x14ac:dyDescent="0.3">
      <c r="A905" s="55">
        <v>4</v>
      </c>
      <c r="B905" s="61" t="s">
        <v>129</v>
      </c>
      <c r="C905" s="61">
        <f t="shared" si="276"/>
        <v>902</v>
      </c>
      <c r="D905" s="61">
        <f t="shared" si="278"/>
        <v>22.839770000000001</v>
      </c>
      <c r="E905" s="61">
        <v>10.210000000000001</v>
      </c>
      <c r="F905" s="88">
        <f>($C$4/E905)+F904</f>
        <v>116.17069006564878</v>
      </c>
      <c r="G905" s="61">
        <f t="shared" si="277"/>
        <v>7000</v>
      </c>
      <c r="H905" s="61">
        <v>3</v>
      </c>
      <c r="I905" s="88">
        <f>E905-E904</f>
        <v>0</v>
      </c>
      <c r="J905" s="61">
        <f>(0.5*VEHICLE!$C$71*VEHICLE!$C$28*VEHICLE!$C$27*'Drive Cycle'!E905^2)</f>
        <v>92.735978760809999</v>
      </c>
      <c r="K905" s="61">
        <f>IF(A905=1,VEHICLE!$S$5,IF(A905=2,VEHICLE!$Q$5,IF(A905=3,VEHICLE!$R$5,IF(A905=4,VEHICLE!$P$5,1))))</f>
        <v>111.31014600000002</v>
      </c>
      <c r="L905" s="61">
        <v>0</v>
      </c>
      <c r="M905" s="61">
        <f t="shared" si="286"/>
        <v>0</v>
      </c>
      <c r="N905" s="61">
        <f t="shared" si="279"/>
        <v>0</v>
      </c>
      <c r="O905" s="61">
        <f t="shared" si="280"/>
        <v>0</v>
      </c>
      <c r="P905" s="61">
        <f t="shared" si="281"/>
        <v>204.04612476081002</v>
      </c>
      <c r="Q905" s="61">
        <f>IF(H905=1,I905*VEHICLE!$C$69,IF(H905=2,VEHICLE!$C$70*I905,IF(H905=3,VEHICLE!$C$71*I905,0)))</f>
        <v>0</v>
      </c>
      <c r="R905" s="61">
        <f>(J905+K905+O905+Q905)</f>
        <v>204.04612476081002</v>
      </c>
      <c r="S905" s="61">
        <f t="shared" si="282"/>
        <v>204.04612476081002</v>
      </c>
      <c r="T905" s="61">
        <f>ABS((R905)/((2*PI()*G905)/60))</f>
        <v>0.27835670892367281</v>
      </c>
      <c r="U905" s="61">
        <f t="shared" si="283"/>
        <v>1</v>
      </c>
      <c r="V905" s="61">
        <f>INDEX(BSFC!$D$4:$AD$26,MATCH(U905,BSFC!$B$4:$B$26,0),MATCH(G905,BSFC!$D$2:$AD$2,0))</f>
        <v>920.25590927999997</v>
      </c>
      <c r="W905" s="61">
        <f t="shared" si="287"/>
        <v>5.2159625576894311E-2</v>
      </c>
      <c r="X905" s="61">
        <f t="shared" si="284"/>
        <v>5.2159625576894311E-2</v>
      </c>
      <c r="Y905" s="61">
        <f t="shared" si="285"/>
        <v>0.16117324303260341</v>
      </c>
      <c r="Z905" s="79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x14ac:dyDescent="0.3">
      <c r="A906" s="55">
        <v>4</v>
      </c>
      <c r="B906" s="61" t="s">
        <v>129</v>
      </c>
      <c r="C906" s="61">
        <f t="shared" si="276"/>
        <v>903</v>
      </c>
      <c r="D906" s="61">
        <f t="shared" si="278"/>
        <v>22.839770000000001</v>
      </c>
      <c r="E906" s="61">
        <v>10.210000000000001</v>
      </c>
      <c r="F906" s="88">
        <f>($C$4/E906)+F905</f>
        <v>116.26863325859688</v>
      </c>
      <c r="G906" s="61">
        <f t="shared" si="277"/>
        <v>7000</v>
      </c>
      <c r="H906" s="61">
        <v>3</v>
      </c>
      <c r="I906" s="88">
        <f>E906-E905</f>
        <v>0</v>
      </c>
      <c r="J906" s="61">
        <f>(0.5*VEHICLE!$C$71*VEHICLE!$C$28*VEHICLE!$C$27*'Drive Cycle'!E906^2)</f>
        <v>92.735978760809999</v>
      </c>
      <c r="K906" s="61">
        <f>IF(A906=1,VEHICLE!$S$5,IF(A906=2,VEHICLE!$Q$5,IF(A906=3,VEHICLE!$R$5,IF(A906=4,VEHICLE!$P$5,1))))</f>
        <v>111.31014600000002</v>
      </c>
      <c r="L906" s="61">
        <v>0</v>
      </c>
      <c r="M906" s="61">
        <f t="shared" si="286"/>
        <v>0</v>
      </c>
      <c r="N906" s="61">
        <f t="shared" si="279"/>
        <v>0</v>
      </c>
      <c r="O906" s="61">
        <f t="shared" si="280"/>
        <v>0</v>
      </c>
      <c r="P906" s="61">
        <f t="shared" si="281"/>
        <v>204.04612476081002</v>
      </c>
      <c r="Q906" s="61">
        <f>IF(H906=1,I906*VEHICLE!$C$69,IF(H906=2,VEHICLE!$C$70*I906,IF(H906=3,VEHICLE!$C$71*I906,0)))</f>
        <v>0</v>
      </c>
      <c r="R906" s="61">
        <f>(J906+K906+O906+Q906)</f>
        <v>204.04612476081002</v>
      </c>
      <c r="S906" s="61">
        <f t="shared" si="282"/>
        <v>204.04612476081002</v>
      </c>
      <c r="T906" s="61">
        <f>ABS((R906)/((2*PI()*G906)/60))</f>
        <v>0.27835670892367281</v>
      </c>
      <c r="U906" s="61">
        <f t="shared" si="283"/>
        <v>1</v>
      </c>
      <c r="V906" s="61">
        <f>INDEX(BSFC!$D$4:$AD$26,MATCH(U906,BSFC!$B$4:$B$26,0),MATCH(G906,BSFC!$D$2:$AD$2,0))</f>
        <v>920.25590927999997</v>
      </c>
      <c r="W906" s="61">
        <f t="shared" si="287"/>
        <v>5.2159625576894311E-2</v>
      </c>
      <c r="X906" s="61">
        <f t="shared" si="284"/>
        <v>5.2159625576894311E-2</v>
      </c>
      <c r="Y906" s="61">
        <f t="shared" si="285"/>
        <v>0.16117324303260341</v>
      </c>
      <c r="Z906" s="79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x14ac:dyDescent="0.3">
      <c r="A907" s="55">
        <v>4</v>
      </c>
      <c r="B907" s="61" t="s">
        <v>129</v>
      </c>
      <c r="C907" s="61">
        <f t="shared" si="276"/>
        <v>904</v>
      </c>
      <c r="D907" s="61">
        <f t="shared" si="278"/>
        <v>22.839770000000001</v>
      </c>
      <c r="E907" s="61">
        <v>10.210000000000001</v>
      </c>
      <c r="F907" s="88">
        <f>($C$4/E907)+F906</f>
        <v>116.36657645154497</v>
      </c>
      <c r="G907" s="61">
        <f t="shared" si="277"/>
        <v>7000</v>
      </c>
      <c r="H907" s="61">
        <v>3</v>
      </c>
      <c r="I907" s="88">
        <f>E907-E906</f>
        <v>0</v>
      </c>
      <c r="J907" s="61">
        <f>(0.5*VEHICLE!$C$71*VEHICLE!$C$28*VEHICLE!$C$27*'Drive Cycle'!E907^2)</f>
        <v>92.735978760809999</v>
      </c>
      <c r="K907" s="61">
        <f>IF(A907=1,VEHICLE!$S$5,IF(A907=2,VEHICLE!$Q$5,IF(A907=3,VEHICLE!$R$5,IF(A907=4,VEHICLE!$P$5,1))))</f>
        <v>111.31014600000002</v>
      </c>
      <c r="L907" s="61">
        <v>0</v>
      </c>
      <c r="M907" s="61">
        <f t="shared" si="286"/>
        <v>0</v>
      </c>
      <c r="N907" s="61">
        <f t="shared" si="279"/>
        <v>0</v>
      </c>
      <c r="O907" s="61">
        <f t="shared" si="280"/>
        <v>0</v>
      </c>
      <c r="P907" s="61">
        <f t="shared" si="281"/>
        <v>204.04612476081002</v>
      </c>
      <c r="Q907" s="61">
        <f>IF(H907=1,I907*VEHICLE!$C$69,IF(H907=2,VEHICLE!$C$70*I907,IF(H907=3,VEHICLE!$C$71*I907,0)))</f>
        <v>0</v>
      </c>
      <c r="R907" s="61">
        <f>(J907+K907+O907+Q907)</f>
        <v>204.04612476081002</v>
      </c>
      <c r="S907" s="61">
        <f t="shared" si="282"/>
        <v>204.04612476081002</v>
      </c>
      <c r="T907" s="61">
        <f>ABS((R907)/((2*PI()*G907)/60))</f>
        <v>0.27835670892367281</v>
      </c>
      <c r="U907" s="61">
        <f t="shared" si="283"/>
        <v>1</v>
      </c>
      <c r="V907" s="61">
        <f>INDEX(BSFC!$D$4:$AD$26,MATCH(U907,BSFC!$B$4:$B$26,0),MATCH(G907,BSFC!$D$2:$AD$2,0))</f>
        <v>920.25590927999997</v>
      </c>
      <c r="W907" s="61">
        <f t="shared" si="287"/>
        <v>5.2159625576894311E-2</v>
      </c>
      <c r="X907" s="61">
        <f t="shared" si="284"/>
        <v>5.2159625576894311E-2</v>
      </c>
      <c r="Y907" s="61">
        <f t="shared" si="285"/>
        <v>0.16117324303260341</v>
      </c>
      <c r="Z907" s="79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x14ac:dyDescent="0.3">
      <c r="A908" s="55">
        <v>4</v>
      </c>
      <c r="B908" s="61" t="s">
        <v>129</v>
      </c>
      <c r="C908" s="61">
        <f t="shared" si="276"/>
        <v>905</v>
      </c>
      <c r="D908" s="61">
        <f t="shared" si="278"/>
        <v>22.839770000000001</v>
      </c>
      <c r="E908" s="61">
        <v>10.210000000000001</v>
      </c>
      <c r="F908" s="88">
        <f>($C$4/E908)+F907</f>
        <v>116.46451964449307</v>
      </c>
      <c r="G908" s="61">
        <f t="shared" si="277"/>
        <v>7000</v>
      </c>
      <c r="H908" s="61">
        <v>3</v>
      </c>
      <c r="I908" s="88">
        <f>E908-E907</f>
        <v>0</v>
      </c>
      <c r="J908" s="61">
        <f>(0.5*VEHICLE!$C$71*VEHICLE!$C$28*VEHICLE!$C$27*'Drive Cycle'!E908^2)</f>
        <v>92.735978760809999</v>
      </c>
      <c r="K908" s="61">
        <f>IF(A908=1,VEHICLE!$S$5,IF(A908=2,VEHICLE!$Q$5,IF(A908=3,VEHICLE!$R$5,IF(A908=4,VEHICLE!$P$5,1))))</f>
        <v>111.31014600000002</v>
      </c>
      <c r="L908" s="61">
        <v>0</v>
      </c>
      <c r="M908" s="61">
        <f t="shared" si="286"/>
        <v>0</v>
      </c>
      <c r="N908" s="61">
        <f t="shared" si="279"/>
        <v>0</v>
      </c>
      <c r="O908" s="61">
        <f t="shared" si="280"/>
        <v>0</v>
      </c>
      <c r="P908" s="61">
        <f t="shared" si="281"/>
        <v>204.04612476081002</v>
      </c>
      <c r="Q908" s="61">
        <f>IF(H908=1,I908*VEHICLE!$C$69,IF(H908=2,VEHICLE!$C$70*I908,IF(H908=3,VEHICLE!$C$71*I908,0)))</f>
        <v>0</v>
      </c>
      <c r="R908" s="61">
        <f>(J908+K908+O908+Q908)</f>
        <v>204.04612476081002</v>
      </c>
      <c r="S908" s="61">
        <f t="shared" si="282"/>
        <v>204.04612476081002</v>
      </c>
      <c r="T908" s="61">
        <f>ABS((R908)/((2*PI()*G908)/60))</f>
        <v>0.27835670892367281</v>
      </c>
      <c r="U908" s="61">
        <f t="shared" si="283"/>
        <v>1</v>
      </c>
      <c r="V908" s="61">
        <f>INDEX(BSFC!$D$4:$AD$26,MATCH(U908,BSFC!$B$4:$B$26,0),MATCH(G908,BSFC!$D$2:$AD$2,0))</f>
        <v>920.25590927999997</v>
      </c>
      <c r="W908" s="61">
        <f t="shared" si="287"/>
        <v>5.2159625576894311E-2</v>
      </c>
      <c r="X908" s="61">
        <f t="shared" si="284"/>
        <v>5.2159625576894311E-2</v>
      </c>
      <c r="Y908" s="61">
        <f t="shared" si="285"/>
        <v>0.16117324303260341</v>
      </c>
      <c r="Z908" s="79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x14ac:dyDescent="0.3">
      <c r="A909" s="55">
        <v>4</v>
      </c>
      <c r="B909" s="61" t="s">
        <v>129</v>
      </c>
      <c r="C909" s="61">
        <f t="shared" si="276"/>
        <v>906</v>
      </c>
      <c r="D909" s="61">
        <f t="shared" si="278"/>
        <v>22.839770000000001</v>
      </c>
      <c r="E909" s="61">
        <v>10.210000000000001</v>
      </c>
      <c r="F909" s="88">
        <f>($C$4/E909)+F908</f>
        <v>116.56246283744116</v>
      </c>
      <c r="G909" s="61">
        <f t="shared" si="277"/>
        <v>7000</v>
      </c>
      <c r="H909" s="61">
        <v>3</v>
      </c>
      <c r="I909" s="88">
        <f>E909-E908</f>
        <v>0</v>
      </c>
      <c r="J909" s="61">
        <f>(0.5*VEHICLE!$C$71*VEHICLE!$C$28*VEHICLE!$C$27*'Drive Cycle'!E909^2)</f>
        <v>92.735978760809999</v>
      </c>
      <c r="K909" s="61">
        <f>IF(A909=1,VEHICLE!$S$5,IF(A909=2,VEHICLE!$Q$5,IF(A909=3,VEHICLE!$R$5,IF(A909=4,VEHICLE!$P$5,1))))</f>
        <v>111.31014600000002</v>
      </c>
      <c r="L909" s="61">
        <v>0</v>
      </c>
      <c r="M909" s="61">
        <f t="shared" si="286"/>
        <v>0</v>
      </c>
      <c r="N909" s="61">
        <f t="shared" si="279"/>
        <v>0</v>
      </c>
      <c r="O909" s="61">
        <f t="shared" si="280"/>
        <v>0</v>
      </c>
      <c r="P909" s="61">
        <f t="shared" si="281"/>
        <v>204.04612476081002</v>
      </c>
      <c r="Q909" s="61">
        <f>IF(H909=1,I909*VEHICLE!$C$69,IF(H909=2,VEHICLE!$C$70*I909,IF(H909=3,VEHICLE!$C$71*I909,0)))</f>
        <v>0</v>
      </c>
      <c r="R909" s="61">
        <f>(J909+K909+O909+Q909)</f>
        <v>204.04612476081002</v>
      </c>
      <c r="S909" s="61">
        <f t="shared" si="282"/>
        <v>204.04612476081002</v>
      </c>
      <c r="T909" s="61">
        <f>ABS((R909)/((2*PI()*G909)/60))</f>
        <v>0.27835670892367281</v>
      </c>
      <c r="U909" s="61">
        <f t="shared" si="283"/>
        <v>1</v>
      </c>
      <c r="V909" s="61">
        <f>INDEX(BSFC!$D$4:$AD$26,MATCH(U909,BSFC!$B$4:$B$26,0),MATCH(G909,BSFC!$D$2:$AD$2,0))</f>
        <v>920.25590927999997</v>
      </c>
      <c r="W909" s="61">
        <f t="shared" si="287"/>
        <v>5.2159625576894311E-2</v>
      </c>
      <c r="X909" s="61">
        <f t="shared" si="284"/>
        <v>5.2159625576894311E-2</v>
      </c>
      <c r="Y909" s="61">
        <f t="shared" si="285"/>
        <v>0.16117324303260341</v>
      </c>
      <c r="Z909" s="79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x14ac:dyDescent="0.3">
      <c r="A910" s="55">
        <v>4</v>
      </c>
      <c r="B910" s="61" t="s">
        <v>129</v>
      </c>
      <c r="C910" s="61">
        <f t="shared" si="276"/>
        <v>907</v>
      </c>
      <c r="D910" s="61">
        <f t="shared" si="278"/>
        <v>22.839770000000001</v>
      </c>
      <c r="E910" s="61">
        <v>10.210000000000001</v>
      </c>
      <c r="F910" s="88">
        <f>($C$4/E910)+F909</f>
        <v>116.66040603038925</v>
      </c>
      <c r="G910" s="61">
        <f t="shared" si="277"/>
        <v>7000</v>
      </c>
      <c r="H910" s="61">
        <v>3</v>
      </c>
      <c r="I910" s="88">
        <f>E910-E909</f>
        <v>0</v>
      </c>
      <c r="J910" s="61">
        <f>(0.5*VEHICLE!$C$71*VEHICLE!$C$28*VEHICLE!$C$27*'Drive Cycle'!E910^2)</f>
        <v>92.735978760809999</v>
      </c>
      <c r="K910" s="61">
        <f>IF(A910=1,VEHICLE!$S$5,IF(A910=2,VEHICLE!$Q$5,IF(A910=3,VEHICLE!$R$5,IF(A910=4,VEHICLE!$P$5,1))))</f>
        <v>111.31014600000002</v>
      </c>
      <c r="L910" s="61">
        <v>0</v>
      </c>
      <c r="M910" s="61">
        <f t="shared" si="286"/>
        <v>0</v>
      </c>
      <c r="N910" s="61">
        <f t="shared" si="279"/>
        <v>0</v>
      </c>
      <c r="O910" s="61">
        <f t="shared" si="280"/>
        <v>0</v>
      </c>
      <c r="P910" s="61">
        <f t="shared" si="281"/>
        <v>204.04612476081002</v>
      </c>
      <c r="Q910" s="61">
        <f>IF(H910=1,I910*VEHICLE!$C$69,IF(H910=2,VEHICLE!$C$70*I910,IF(H910=3,VEHICLE!$C$71*I910,0)))</f>
        <v>0</v>
      </c>
      <c r="R910" s="61">
        <f>(J910+K910+O910+Q910)</f>
        <v>204.04612476081002</v>
      </c>
      <c r="S910" s="61">
        <f t="shared" si="282"/>
        <v>204.04612476081002</v>
      </c>
      <c r="T910" s="61">
        <f>ABS((R910)/((2*PI()*G910)/60))</f>
        <v>0.27835670892367281</v>
      </c>
      <c r="U910" s="61">
        <f t="shared" si="283"/>
        <v>1</v>
      </c>
      <c r="V910" s="61">
        <f>INDEX(BSFC!$D$4:$AD$26,MATCH(U910,BSFC!$B$4:$B$26,0),MATCH(G910,BSFC!$D$2:$AD$2,0))</f>
        <v>920.25590927999997</v>
      </c>
      <c r="W910" s="61">
        <f t="shared" si="287"/>
        <v>5.2159625576894311E-2</v>
      </c>
      <c r="X910" s="61">
        <f t="shared" si="284"/>
        <v>5.2159625576894311E-2</v>
      </c>
      <c r="Y910" s="61">
        <f t="shared" si="285"/>
        <v>0.16117324303260341</v>
      </c>
      <c r="Z910" s="79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x14ac:dyDescent="0.3">
      <c r="A911" s="55">
        <v>4</v>
      </c>
      <c r="B911" s="61" t="s">
        <v>129</v>
      </c>
      <c r="C911" s="61">
        <f t="shared" si="276"/>
        <v>908</v>
      </c>
      <c r="D911" s="61">
        <f t="shared" si="278"/>
        <v>22.839770000000001</v>
      </c>
      <c r="E911" s="61">
        <v>10.210000000000001</v>
      </c>
      <c r="F911" s="88">
        <f>($C$4/E911)+F910</f>
        <v>116.75834922333735</v>
      </c>
      <c r="G911" s="61">
        <f t="shared" si="277"/>
        <v>7000</v>
      </c>
      <c r="H911" s="61">
        <v>3</v>
      </c>
      <c r="I911" s="88">
        <f>E911-E910</f>
        <v>0</v>
      </c>
      <c r="J911" s="61">
        <f>(0.5*VEHICLE!$C$71*VEHICLE!$C$28*VEHICLE!$C$27*'Drive Cycle'!E911^2)</f>
        <v>92.735978760809999</v>
      </c>
      <c r="K911" s="61">
        <f>IF(A911=1,VEHICLE!$S$5,IF(A911=2,VEHICLE!$Q$5,IF(A911=3,VEHICLE!$R$5,IF(A911=4,VEHICLE!$P$5,1))))</f>
        <v>111.31014600000002</v>
      </c>
      <c r="L911" s="61">
        <v>0</v>
      </c>
      <c r="M911" s="61">
        <f t="shared" si="286"/>
        <v>0</v>
      </c>
      <c r="N911" s="61">
        <f t="shared" si="279"/>
        <v>0</v>
      </c>
      <c r="O911" s="61">
        <f t="shared" si="280"/>
        <v>0</v>
      </c>
      <c r="P911" s="61">
        <f t="shared" si="281"/>
        <v>204.04612476081002</v>
      </c>
      <c r="Q911" s="61">
        <f>IF(H911=1,I911*VEHICLE!$C$69,IF(H911=2,VEHICLE!$C$70*I911,IF(H911=3,VEHICLE!$C$71*I911,0)))</f>
        <v>0</v>
      </c>
      <c r="R911" s="61">
        <f>(J911+K911+O911+Q911)</f>
        <v>204.04612476081002</v>
      </c>
      <c r="S911" s="61">
        <f t="shared" si="282"/>
        <v>204.04612476081002</v>
      </c>
      <c r="T911" s="61">
        <f>ABS((R911)/((2*PI()*G911)/60))</f>
        <v>0.27835670892367281</v>
      </c>
      <c r="U911" s="61">
        <f t="shared" si="283"/>
        <v>1</v>
      </c>
      <c r="V911" s="61">
        <f>INDEX(BSFC!$D$4:$AD$26,MATCH(U911,BSFC!$B$4:$B$26,0),MATCH(G911,BSFC!$D$2:$AD$2,0))</f>
        <v>920.25590927999997</v>
      </c>
      <c r="W911" s="61">
        <f t="shared" si="287"/>
        <v>5.2159625576894311E-2</v>
      </c>
      <c r="X911" s="61">
        <f t="shared" si="284"/>
        <v>5.2159625576894311E-2</v>
      </c>
      <c r="Y911" s="61">
        <f t="shared" si="285"/>
        <v>0.16117324303260341</v>
      </c>
      <c r="Z911" s="79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x14ac:dyDescent="0.3">
      <c r="A912" s="55">
        <v>4</v>
      </c>
      <c r="B912" s="61" t="s">
        <v>129</v>
      </c>
      <c r="C912" s="61">
        <f t="shared" si="276"/>
        <v>909</v>
      </c>
      <c r="D912" s="61">
        <f t="shared" si="278"/>
        <v>22.839770000000001</v>
      </c>
      <c r="E912" s="61">
        <v>10.210000000000001</v>
      </c>
      <c r="F912" s="88">
        <f>($C$4/E912)+F911</f>
        <v>116.85629241628544</v>
      </c>
      <c r="G912" s="61">
        <f t="shared" si="277"/>
        <v>7000</v>
      </c>
      <c r="H912" s="61">
        <v>3</v>
      </c>
      <c r="I912" s="88">
        <f>E912-E911</f>
        <v>0</v>
      </c>
      <c r="J912" s="61">
        <f>(0.5*VEHICLE!$C$71*VEHICLE!$C$28*VEHICLE!$C$27*'Drive Cycle'!E912^2)</f>
        <v>92.735978760809999</v>
      </c>
      <c r="K912" s="61">
        <f>IF(A912=1,VEHICLE!$S$5,IF(A912=2,VEHICLE!$Q$5,IF(A912=3,VEHICLE!$R$5,IF(A912=4,VEHICLE!$P$5,1))))</f>
        <v>111.31014600000002</v>
      </c>
      <c r="L912" s="61">
        <v>0</v>
      </c>
      <c r="M912" s="61">
        <f t="shared" si="286"/>
        <v>0</v>
      </c>
      <c r="N912" s="61">
        <f t="shared" si="279"/>
        <v>0</v>
      </c>
      <c r="O912" s="61">
        <f t="shared" si="280"/>
        <v>0</v>
      </c>
      <c r="P912" s="61">
        <f t="shared" si="281"/>
        <v>204.04612476081002</v>
      </c>
      <c r="Q912" s="61">
        <f>IF(H912=1,I912*VEHICLE!$C$69,IF(H912=2,VEHICLE!$C$70*I912,IF(H912=3,VEHICLE!$C$71*I912,0)))</f>
        <v>0</v>
      </c>
      <c r="R912" s="61">
        <f>(J912+K912+O912+Q912)</f>
        <v>204.04612476081002</v>
      </c>
      <c r="S912" s="61">
        <f t="shared" si="282"/>
        <v>204.04612476081002</v>
      </c>
      <c r="T912" s="61">
        <f>ABS((R912)/((2*PI()*G912)/60))</f>
        <v>0.27835670892367281</v>
      </c>
      <c r="U912" s="61">
        <f t="shared" si="283"/>
        <v>1</v>
      </c>
      <c r="V912" s="61">
        <f>INDEX(BSFC!$D$4:$AD$26,MATCH(U912,BSFC!$B$4:$B$26,0),MATCH(G912,BSFC!$D$2:$AD$2,0))</f>
        <v>920.25590927999997</v>
      </c>
      <c r="W912" s="61">
        <f t="shared" si="287"/>
        <v>5.2159625576894311E-2</v>
      </c>
      <c r="X912" s="61">
        <f t="shared" si="284"/>
        <v>5.2159625576894311E-2</v>
      </c>
      <c r="Y912" s="61">
        <f t="shared" si="285"/>
        <v>0.16117324303260341</v>
      </c>
      <c r="Z912" s="79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x14ac:dyDescent="0.3">
      <c r="A913" s="55">
        <v>4</v>
      </c>
      <c r="B913" s="61" t="s">
        <v>129</v>
      </c>
      <c r="C913" s="61">
        <f t="shared" si="276"/>
        <v>910</v>
      </c>
      <c r="D913" s="61">
        <f t="shared" si="278"/>
        <v>22.839770000000001</v>
      </c>
      <c r="E913" s="61">
        <v>10.210000000000001</v>
      </c>
      <c r="F913" s="88">
        <f>($C$4/E913)+F912</f>
        <v>116.95423560923354</v>
      </c>
      <c r="G913" s="61">
        <f t="shared" si="277"/>
        <v>7000</v>
      </c>
      <c r="H913" s="61">
        <v>3</v>
      </c>
      <c r="I913" s="88">
        <f>E913-E912</f>
        <v>0</v>
      </c>
      <c r="J913" s="61">
        <f>(0.5*VEHICLE!$C$71*VEHICLE!$C$28*VEHICLE!$C$27*'Drive Cycle'!E913^2)</f>
        <v>92.735978760809999</v>
      </c>
      <c r="K913" s="61">
        <f>IF(A913=1,VEHICLE!$S$5,IF(A913=2,VEHICLE!$Q$5,IF(A913=3,VEHICLE!$R$5,IF(A913=4,VEHICLE!$P$5,1))))</f>
        <v>111.31014600000002</v>
      </c>
      <c r="L913" s="61">
        <v>0</v>
      </c>
      <c r="M913" s="61">
        <f t="shared" si="286"/>
        <v>0</v>
      </c>
      <c r="N913" s="61">
        <f t="shared" si="279"/>
        <v>0</v>
      </c>
      <c r="O913" s="61">
        <f t="shared" si="280"/>
        <v>0</v>
      </c>
      <c r="P913" s="61">
        <f t="shared" si="281"/>
        <v>204.04612476081002</v>
      </c>
      <c r="Q913" s="61">
        <f>IF(H913=1,I913*VEHICLE!$C$69,IF(H913=2,VEHICLE!$C$70*I913,IF(H913=3,VEHICLE!$C$71*I913,0)))</f>
        <v>0</v>
      </c>
      <c r="R913" s="61">
        <f>(J913+K913+O913+Q913)</f>
        <v>204.04612476081002</v>
      </c>
      <c r="S913" s="61">
        <f t="shared" si="282"/>
        <v>204.04612476081002</v>
      </c>
      <c r="T913" s="61">
        <f>ABS((R913)/((2*PI()*G913)/60))</f>
        <v>0.27835670892367281</v>
      </c>
      <c r="U913" s="61">
        <f t="shared" si="283"/>
        <v>1</v>
      </c>
      <c r="V913" s="61">
        <f>INDEX(BSFC!$D$4:$AD$26,MATCH(U913,BSFC!$B$4:$B$26,0),MATCH(G913,BSFC!$D$2:$AD$2,0))</f>
        <v>920.25590927999997</v>
      </c>
      <c r="W913" s="61">
        <f t="shared" si="287"/>
        <v>5.2159625576894311E-2</v>
      </c>
      <c r="X913" s="61">
        <f t="shared" si="284"/>
        <v>5.2159625576894311E-2</v>
      </c>
      <c r="Y913" s="61">
        <f t="shared" si="285"/>
        <v>0.16117324303260341</v>
      </c>
      <c r="Z913" s="79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x14ac:dyDescent="0.3">
      <c r="A914" s="55">
        <v>4</v>
      </c>
      <c r="B914" s="61" t="s">
        <v>129</v>
      </c>
      <c r="C914" s="61">
        <f t="shared" si="276"/>
        <v>911</v>
      </c>
      <c r="D914" s="61">
        <f t="shared" si="278"/>
        <v>22.839770000000001</v>
      </c>
      <c r="E914" s="61">
        <v>10.210000000000001</v>
      </c>
      <c r="F914" s="88">
        <f>($C$4/E914)+F913</f>
        <v>117.05217880218163</v>
      </c>
      <c r="G914" s="61">
        <f t="shared" si="277"/>
        <v>7000</v>
      </c>
      <c r="H914" s="61">
        <v>3</v>
      </c>
      <c r="I914" s="88">
        <f>E914-E913</f>
        <v>0</v>
      </c>
      <c r="J914" s="61">
        <f>(0.5*VEHICLE!$C$71*VEHICLE!$C$28*VEHICLE!$C$27*'Drive Cycle'!E914^2)</f>
        <v>92.735978760809999</v>
      </c>
      <c r="K914" s="61">
        <f>IF(A914=1,VEHICLE!$S$5,IF(A914=2,VEHICLE!$Q$5,IF(A914=3,VEHICLE!$R$5,IF(A914=4,VEHICLE!$P$5,1))))</f>
        <v>111.31014600000002</v>
      </c>
      <c r="L914" s="61">
        <v>0</v>
      </c>
      <c r="M914" s="61">
        <f t="shared" si="286"/>
        <v>0</v>
      </c>
      <c r="N914" s="61">
        <f t="shared" si="279"/>
        <v>0</v>
      </c>
      <c r="O914" s="61">
        <f t="shared" si="280"/>
        <v>0</v>
      </c>
      <c r="P914" s="61">
        <f t="shared" si="281"/>
        <v>204.04612476081002</v>
      </c>
      <c r="Q914" s="61">
        <f>IF(H914=1,I914*VEHICLE!$C$69,IF(H914=2,VEHICLE!$C$70*I914,IF(H914=3,VEHICLE!$C$71*I914,0)))</f>
        <v>0</v>
      </c>
      <c r="R914" s="61">
        <f>(J914+K914+O914+Q914)</f>
        <v>204.04612476081002</v>
      </c>
      <c r="S914" s="61">
        <f t="shared" si="282"/>
        <v>204.04612476081002</v>
      </c>
      <c r="T914" s="61">
        <f>ABS((R914)/((2*PI()*G914)/60))</f>
        <v>0.27835670892367281</v>
      </c>
      <c r="U914" s="61">
        <f t="shared" si="283"/>
        <v>1</v>
      </c>
      <c r="V914" s="61">
        <f>INDEX(BSFC!$D$4:$AD$26,MATCH(U914,BSFC!$B$4:$B$26,0),MATCH(G914,BSFC!$D$2:$AD$2,0))</f>
        <v>920.25590927999997</v>
      </c>
      <c r="W914" s="61">
        <f t="shared" si="287"/>
        <v>5.2159625576894311E-2</v>
      </c>
      <c r="X914" s="61">
        <f t="shared" si="284"/>
        <v>5.2159625576894311E-2</v>
      </c>
      <c r="Y914" s="61">
        <f t="shared" si="285"/>
        <v>0.16117324303260341</v>
      </c>
      <c r="Z914" s="79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x14ac:dyDescent="0.3">
      <c r="A915" s="55">
        <v>4</v>
      </c>
      <c r="B915" s="61" t="s">
        <v>129</v>
      </c>
      <c r="C915" s="61">
        <f t="shared" si="276"/>
        <v>912</v>
      </c>
      <c r="D915" s="61">
        <f t="shared" si="278"/>
        <v>22.839770000000001</v>
      </c>
      <c r="E915" s="61">
        <v>10.210000000000001</v>
      </c>
      <c r="F915" s="88">
        <f>($C$4/E915)+F914</f>
        <v>117.15012199512972</v>
      </c>
      <c r="G915" s="61">
        <f t="shared" si="277"/>
        <v>7000</v>
      </c>
      <c r="H915" s="61">
        <v>3</v>
      </c>
      <c r="I915" s="88">
        <f>E915-E914</f>
        <v>0</v>
      </c>
      <c r="J915" s="61">
        <f>(0.5*VEHICLE!$C$71*VEHICLE!$C$28*VEHICLE!$C$27*'Drive Cycle'!E915^2)</f>
        <v>92.735978760809999</v>
      </c>
      <c r="K915" s="61">
        <f>IF(A915=1,VEHICLE!$S$5,IF(A915=2,VEHICLE!$Q$5,IF(A915=3,VEHICLE!$R$5,IF(A915=4,VEHICLE!$P$5,1))))</f>
        <v>111.31014600000002</v>
      </c>
      <c r="L915" s="61">
        <v>0</v>
      </c>
      <c r="M915" s="61">
        <f t="shared" si="286"/>
        <v>0</v>
      </c>
      <c r="N915" s="61">
        <f t="shared" si="279"/>
        <v>0</v>
      </c>
      <c r="O915" s="61">
        <f t="shared" si="280"/>
        <v>0</v>
      </c>
      <c r="P915" s="61">
        <f t="shared" si="281"/>
        <v>204.04612476081002</v>
      </c>
      <c r="Q915" s="61">
        <f>IF(H915=1,I915*VEHICLE!$C$69,IF(H915=2,VEHICLE!$C$70*I915,IF(H915=3,VEHICLE!$C$71*I915,0)))</f>
        <v>0</v>
      </c>
      <c r="R915" s="61">
        <f>(J915+K915+O915+Q915)</f>
        <v>204.04612476081002</v>
      </c>
      <c r="S915" s="61">
        <f t="shared" si="282"/>
        <v>204.04612476081002</v>
      </c>
      <c r="T915" s="61">
        <f>ABS((R915)/((2*PI()*G915)/60))</f>
        <v>0.27835670892367281</v>
      </c>
      <c r="U915" s="61">
        <f t="shared" si="283"/>
        <v>1</v>
      </c>
      <c r="V915" s="61">
        <f>INDEX(BSFC!$D$4:$AD$26,MATCH(U915,BSFC!$B$4:$B$26,0),MATCH(G915,BSFC!$D$2:$AD$2,0))</f>
        <v>920.25590927999997</v>
      </c>
      <c r="W915" s="61">
        <f t="shared" si="287"/>
        <v>5.2159625576894311E-2</v>
      </c>
      <c r="X915" s="61">
        <f t="shared" si="284"/>
        <v>5.2159625576894311E-2</v>
      </c>
      <c r="Y915" s="61">
        <f t="shared" si="285"/>
        <v>0.16117324303260341</v>
      </c>
      <c r="Z915" s="79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  <row r="916" spans="1:39" x14ac:dyDescent="0.3">
      <c r="A916" s="55">
        <v>4</v>
      </c>
      <c r="B916" s="61" t="s">
        <v>129</v>
      </c>
      <c r="C916" s="61">
        <f t="shared" si="276"/>
        <v>913</v>
      </c>
      <c r="D916" s="61">
        <f t="shared" si="278"/>
        <v>22.839770000000001</v>
      </c>
      <c r="E916" s="61">
        <v>10.210000000000001</v>
      </c>
      <c r="F916" s="88">
        <f>($C$4/E916)+F915</f>
        <v>117.24806518807782</v>
      </c>
      <c r="G916" s="61">
        <f t="shared" si="277"/>
        <v>7000</v>
      </c>
      <c r="H916" s="61">
        <v>3</v>
      </c>
      <c r="I916" s="88">
        <f>E916-E915</f>
        <v>0</v>
      </c>
      <c r="J916" s="61">
        <f>(0.5*VEHICLE!$C$71*VEHICLE!$C$28*VEHICLE!$C$27*'Drive Cycle'!E916^2)</f>
        <v>92.735978760809999</v>
      </c>
      <c r="K916" s="61">
        <f>IF(A916=1,VEHICLE!$S$5,IF(A916=2,VEHICLE!$Q$5,IF(A916=3,VEHICLE!$R$5,IF(A916=4,VEHICLE!$P$5,1))))</f>
        <v>111.31014600000002</v>
      </c>
      <c r="L916" s="61">
        <v>0</v>
      </c>
      <c r="M916" s="61">
        <f t="shared" si="286"/>
        <v>0</v>
      </c>
      <c r="N916" s="61">
        <f t="shared" si="279"/>
        <v>0</v>
      </c>
      <c r="O916" s="61">
        <f t="shared" si="280"/>
        <v>0</v>
      </c>
      <c r="P916" s="61">
        <f t="shared" si="281"/>
        <v>204.04612476081002</v>
      </c>
      <c r="Q916" s="61">
        <f>IF(H916=1,I916*VEHICLE!$C$69,IF(H916=2,VEHICLE!$C$70*I916,IF(H916=3,VEHICLE!$C$71*I916,0)))</f>
        <v>0</v>
      </c>
      <c r="R916" s="61">
        <f>(J916+K916+O916+Q916)</f>
        <v>204.04612476081002</v>
      </c>
      <c r="S916" s="61">
        <f t="shared" si="282"/>
        <v>204.04612476081002</v>
      </c>
      <c r="T916" s="61">
        <f>ABS((R916)/((2*PI()*G916)/60))</f>
        <v>0.27835670892367281</v>
      </c>
      <c r="U916" s="61">
        <f t="shared" si="283"/>
        <v>1</v>
      </c>
      <c r="V916" s="61">
        <f>INDEX(BSFC!$D$4:$AD$26,MATCH(U916,BSFC!$B$4:$B$26,0),MATCH(G916,BSFC!$D$2:$AD$2,0))</f>
        <v>920.25590927999997</v>
      </c>
      <c r="W916" s="61">
        <f t="shared" si="287"/>
        <v>5.2159625576894311E-2</v>
      </c>
      <c r="X916" s="61">
        <f t="shared" si="284"/>
        <v>5.2159625576894311E-2</v>
      </c>
      <c r="Y916" s="61">
        <f t="shared" si="285"/>
        <v>0.16117324303260341</v>
      </c>
      <c r="Z916" s="79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</row>
    <row r="917" spans="1:39" x14ac:dyDescent="0.3">
      <c r="A917" s="55">
        <v>4</v>
      </c>
      <c r="B917" s="61" t="s">
        <v>129</v>
      </c>
      <c r="C917" s="61">
        <f t="shared" si="276"/>
        <v>914</v>
      </c>
      <c r="D917" s="61">
        <f t="shared" si="278"/>
        <v>22.839770000000001</v>
      </c>
      <c r="E917" s="61">
        <v>10.210000000000001</v>
      </c>
      <c r="F917" s="88">
        <f>($C$4/E917)+F916</f>
        <v>117.34600838102591</v>
      </c>
      <c r="G917" s="61">
        <f t="shared" si="277"/>
        <v>7000</v>
      </c>
      <c r="H917" s="61">
        <v>3</v>
      </c>
      <c r="I917" s="88">
        <f>E917-E916</f>
        <v>0</v>
      </c>
      <c r="J917" s="61">
        <f>(0.5*VEHICLE!$C$71*VEHICLE!$C$28*VEHICLE!$C$27*'Drive Cycle'!E917^2)</f>
        <v>92.735978760809999</v>
      </c>
      <c r="K917" s="61">
        <f>IF(A917=1,VEHICLE!$S$5,IF(A917=2,VEHICLE!$Q$5,IF(A917=3,VEHICLE!$R$5,IF(A917=4,VEHICLE!$P$5,1))))</f>
        <v>111.31014600000002</v>
      </c>
      <c r="L917" s="61">
        <v>0</v>
      </c>
      <c r="M917" s="61">
        <f t="shared" si="286"/>
        <v>0</v>
      </c>
      <c r="N917" s="61">
        <f t="shared" si="279"/>
        <v>0</v>
      </c>
      <c r="O917" s="61">
        <f t="shared" si="280"/>
        <v>0</v>
      </c>
      <c r="P917" s="61">
        <f t="shared" si="281"/>
        <v>204.04612476081002</v>
      </c>
      <c r="Q917" s="61">
        <f>IF(H917=1,I917*VEHICLE!$C$69,IF(H917=2,VEHICLE!$C$70*I917,IF(H917=3,VEHICLE!$C$71*I917,0)))</f>
        <v>0</v>
      </c>
      <c r="R917" s="61">
        <f>(J917+K917+O917+Q917)</f>
        <v>204.04612476081002</v>
      </c>
      <c r="S917" s="61">
        <f t="shared" si="282"/>
        <v>204.04612476081002</v>
      </c>
      <c r="T917" s="61">
        <f>ABS((R917)/((2*PI()*G917)/60))</f>
        <v>0.27835670892367281</v>
      </c>
      <c r="U917" s="61">
        <f t="shared" si="283"/>
        <v>1</v>
      </c>
      <c r="V917" s="61">
        <f>INDEX(BSFC!$D$4:$AD$26,MATCH(U917,BSFC!$B$4:$B$26,0),MATCH(G917,BSFC!$D$2:$AD$2,0))</f>
        <v>920.25590927999997</v>
      </c>
      <c r="W917" s="61">
        <f t="shared" si="287"/>
        <v>5.2159625576894311E-2</v>
      </c>
      <c r="X917" s="61">
        <f t="shared" si="284"/>
        <v>5.2159625576894311E-2</v>
      </c>
      <c r="Y917" s="61">
        <f t="shared" si="285"/>
        <v>0.16117324303260341</v>
      </c>
      <c r="Z917" s="79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</row>
    <row r="918" spans="1:39" x14ac:dyDescent="0.3">
      <c r="A918" s="55">
        <v>4</v>
      </c>
      <c r="B918" s="61" t="s">
        <v>129</v>
      </c>
      <c r="C918" s="61">
        <f t="shared" si="276"/>
        <v>915</v>
      </c>
      <c r="D918" s="61">
        <f t="shared" si="278"/>
        <v>22.839770000000001</v>
      </c>
      <c r="E918" s="61">
        <v>10.210000000000001</v>
      </c>
      <c r="F918" s="88">
        <f>($C$4/E918)+F917</f>
        <v>117.443951573974</v>
      </c>
      <c r="G918" s="61">
        <f t="shared" si="277"/>
        <v>7000</v>
      </c>
      <c r="H918" s="61">
        <v>3</v>
      </c>
      <c r="I918" s="88">
        <f>E918-E917</f>
        <v>0</v>
      </c>
      <c r="J918" s="61">
        <f>(0.5*VEHICLE!$C$71*VEHICLE!$C$28*VEHICLE!$C$27*'Drive Cycle'!E918^2)</f>
        <v>92.735978760809999</v>
      </c>
      <c r="K918" s="61">
        <f>IF(A918=1,VEHICLE!$S$5,IF(A918=2,VEHICLE!$Q$5,IF(A918=3,VEHICLE!$R$5,IF(A918=4,VEHICLE!$P$5,1))))</f>
        <v>111.31014600000002</v>
      </c>
      <c r="L918" s="61">
        <v>0</v>
      </c>
      <c r="M918" s="61">
        <f t="shared" si="286"/>
        <v>0</v>
      </c>
      <c r="N918" s="61">
        <f t="shared" si="279"/>
        <v>0</v>
      </c>
      <c r="O918" s="61">
        <f t="shared" si="280"/>
        <v>0</v>
      </c>
      <c r="P918" s="61">
        <f t="shared" si="281"/>
        <v>204.04612476081002</v>
      </c>
      <c r="Q918" s="61">
        <f>IF(H918=1,I918*VEHICLE!$C$69,IF(H918=2,VEHICLE!$C$70*I918,IF(H918=3,VEHICLE!$C$71*I918,0)))</f>
        <v>0</v>
      </c>
      <c r="R918" s="61">
        <f>(J918+K918+O918+Q918)</f>
        <v>204.04612476081002</v>
      </c>
      <c r="S918" s="61">
        <f t="shared" si="282"/>
        <v>204.04612476081002</v>
      </c>
      <c r="T918" s="61">
        <f>ABS((R918)/((2*PI()*G918)/60))</f>
        <v>0.27835670892367281</v>
      </c>
      <c r="U918" s="61">
        <f t="shared" si="283"/>
        <v>1</v>
      </c>
      <c r="V918" s="61">
        <f>INDEX(BSFC!$D$4:$AD$26,MATCH(U918,BSFC!$B$4:$B$26,0),MATCH(G918,BSFC!$D$2:$AD$2,0))</f>
        <v>920.25590927999997</v>
      </c>
      <c r="W918" s="61">
        <f t="shared" si="287"/>
        <v>5.2159625576894311E-2</v>
      </c>
      <c r="X918" s="61">
        <f t="shared" si="284"/>
        <v>5.2159625576894311E-2</v>
      </c>
      <c r="Y918" s="61">
        <f t="shared" si="285"/>
        <v>0.16117324303260341</v>
      </c>
      <c r="Z918" s="79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</row>
    <row r="919" spans="1:39" x14ac:dyDescent="0.3">
      <c r="A919" s="55">
        <v>4</v>
      </c>
      <c r="B919" s="61" t="s">
        <v>129</v>
      </c>
      <c r="C919" s="61">
        <f t="shared" si="276"/>
        <v>916</v>
      </c>
      <c r="D919" s="61">
        <f t="shared" si="278"/>
        <v>22.839770000000001</v>
      </c>
      <c r="E919" s="61">
        <v>10.210000000000001</v>
      </c>
      <c r="F919" s="88">
        <f>($C$4/E919)+F918</f>
        <v>117.5418947669221</v>
      </c>
      <c r="G919" s="61">
        <f t="shared" si="277"/>
        <v>7000</v>
      </c>
      <c r="H919" s="61">
        <v>3</v>
      </c>
      <c r="I919" s="88">
        <f>E919-E918</f>
        <v>0</v>
      </c>
      <c r="J919" s="61">
        <f>(0.5*VEHICLE!$C$71*VEHICLE!$C$28*VEHICLE!$C$27*'Drive Cycle'!E919^2)</f>
        <v>92.735978760809999</v>
      </c>
      <c r="K919" s="61">
        <f>IF(A919=1,VEHICLE!$S$5,IF(A919=2,VEHICLE!$Q$5,IF(A919=3,VEHICLE!$R$5,IF(A919=4,VEHICLE!$P$5,1))))</f>
        <v>111.31014600000002</v>
      </c>
      <c r="L919" s="61">
        <v>0</v>
      </c>
      <c r="M919" s="61">
        <f t="shared" si="286"/>
        <v>0</v>
      </c>
      <c r="N919" s="61">
        <f t="shared" si="279"/>
        <v>0</v>
      </c>
      <c r="O919" s="61">
        <f t="shared" si="280"/>
        <v>0</v>
      </c>
      <c r="P919" s="61">
        <f t="shared" si="281"/>
        <v>204.04612476081002</v>
      </c>
      <c r="Q919" s="61">
        <f>IF(H919=1,I919*VEHICLE!$C$69,IF(H919=2,VEHICLE!$C$70*I919,IF(H919=3,VEHICLE!$C$71*I919,0)))</f>
        <v>0</v>
      </c>
      <c r="R919" s="61">
        <f>(J919+K919+O919+Q919)</f>
        <v>204.04612476081002</v>
      </c>
      <c r="S919" s="61">
        <f t="shared" si="282"/>
        <v>204.04612476081002</v>
      </c>
      <c r="T919" s="61">
        <f>ABS((R919)/((2*PI()*G919)/60))</f>
        <v>0.27835670892367281</v>
      </c>
      <c r="U919" s="61">
        <f t="shared" si="283"/>
        <v>1</v>
      </c>
      <c r="V919" s="61">
        <f>INDEX(BSFC!$D$4:$AD$26,MATCH(U919,BSFC!$B$4:$B$26,0),MATCH(G919,BSFC!$D$2:$AD$2,0))</f>
        <v>920.25590927999997</v>
      </c>
      <c r="W919" s="61">
        <f t="shared" si="287"/>
        <v>5.2159625576894311E-2</v>
      </c>
      <c r="X919" s="61">
        <f t="shared" si="284"/>
        <v>5.2159625576894311E-2</v>
      </c>
      <c r="Y919" s="61">
        <f t="shared" si="285"/>
        <v>0.16117324303260341</v>
      </c>
      <c r="Z919" s="79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</row>
    <row r="920" spans="1:39" x14ac:dyDescent="0.3">
      <c r="A920" s="55">
        <v>4</v>
      </c>
      <c r="B920" s="61" t="s">
        <v>129</v>
      </c>
      <c r="C920" s="61">
        <f t="shared" si="276"/>
        <v>917</v>
      </c>
      <c r="D920" s="61">
        <f t="shared" si="278"/>
        <v>22.839770000000001</v>
      </c>
      <c r="E920" s="61">
        <v>10.210000000000001</v>
      </c>
      <c r="F920" s="88">
        <f>($C$4/E920)+F919</f>
        <v>117.63983795987019</v>
      </c>
      <c r="G920" s="61">
        <f t="shared" si="277"/>
        <v>7000</v>
      </c>
      <c r="H920" s="61">
        <v>3</v>
      </c>
      <c r="I920" s="88">
        <f>E920-E919</f>
        <v>0</v>
      </c>
      <c r="J920" s="61">
        <f>(0.5*VEHICLE!$C$71*VEHICLE!$C$28*VEHICLE!$C$27*'Drive Cycle'!E920^2)</f>
        <v>92.735978760809999</v>
      </c>
      <c r="K920" s="61">
        <f>IF(A920=1,VEHICLE!$S$5,IF(A920=2,VEHICLE!$Q$5,IF(A920=3,VEHICLE!$R$5,IF(A920=4,VEHICLE!$P$5,1))))</f>
        <v>111.31014600000002</v>
      </c>
      <c r="L920" s="61">
        <v>0</v>
      </c>
      <c r="M920" s="61">
        <f t="shared" si="286"/>
        <v>0</v>
      </c>
      <c r="N920" s="61">
        <f t="shared" si="279"/>
        <v>0</v>
      </c>
      <c r="O920" s="61">
        <f t="shared" si="280"/>
        <v>0</v>
      </c>
      <c r="P920" s="61">
        <f t="shared" si="281"/>
        <v>204.04612476081002</v>
      </c>
      <c r="Q920" s="61">
        <f>IF(H920=1,I920*VEHICLE!$C$69,IF(H920=2,VEHICLE!$C$70*I920,IF(H920=3,VEHICLE!$C$71*I920,0)))</f>
        <v>0</v>
      </c>
      <c r="R920" s="61">
        <f>(J920+K920+O920+Q920)</f>
        <v>204.04612476081002</v>
      </c>
      <c r="S920" s="61">
        <f t="shared" si="282"/>
        <v>204.04612476081002</v>
      </c>
      <c r="T920" s="61">
        <f>ABS((R920)/((2*PI()*G920)/60))</f>
        <v>0.27835670892367281</v>
      </c>
      <c r="U920" s="61">
        <f t="shared" si="283"/>
        <v>1</v>
      </c>
      <c r="V920" s="61">
        <f>INDEX(BSFC!$D$4:$AD$26,MATCH(U920,BSFC!$B$4:$B$26,0),MATCH(G920,BSFC!$D$2:$AD$2,0))</f>
        <v>920.25590927999997</v>
      </c>
      <c r="W920" s="61">
        <f t="shared" si="287"/>
        <v>5.2159625576894311E-2</v>
      </c>
      <c r="X920" s="61">
        <f t="shared" si="284"/>
        <v>5.2159625576894311E-2</v>
      </c>
      <c r="Y920" s="61">
        <f t="shared" si="285"/>
        <v>0.16117324303260341</v>
      </c>
      <c r="Z920" s="79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</row>
    <row r="921" spans="1:39" x14ac:dyDescent="0.3">
      <c r="A921" s="55">
        <v>4</v>
      </c>
      <c r="B921" s="61" t="s">
        <v>129</v>
      </c>
      <c r="C921" s="61">
        <f t="shared" si="276"/>
        <v>918</v>
      </c>
      <c r="D921" s="61">
        <f t="shared" si="278"/>
        <v>22.839770000000001</v>
      </c>
      <c r="E921" s="61">
        <v>10.210000000000001</v>
      </c>
      <c r="F921" s="88">
        <f>($C$4/E921)+F920</f>
        <v>117.73778115281829</v>
      </c>
      <c r="G921" s="61">
        <f t="shared" si="277"/>
        <v>7000</v>
      </c>
      <c r="H921" s="61">
        <v>3</v>
      </c>
      <c r="I921" s="88">
        <f>E921-E920</f>
        <v>0</v>
      </c>
      <c r="J921" s="61">
        <f>(0.5*VEHICLE!$C$71*VEHICLE!$C$28*VEHICLE!$C$27*'Drive Cycle'!E921^2)</f>
        <v>92.735978760809999</v>
      </c>
      <c r="K921" s="61">
        <f>IF(A921=1,VEHICLE!$S$5,IF(A921=2,VEHICLE!$Q$5,IF(A921=3,VEHICLE!$R$5,IF(A921=4,VEHICLE!$P$5,1))))</f>
        <v>111.31014600000002</v>
      </c>
      <c r="L921" s="61">
        <v>0</v>
      </c>
      <c r="M921" s="61">
        <f t="shared" si="286"/>
        <v>0</v>
      </c>
      <c r="N921" s="61">
        <f t="shared" si="279"/>
        <v>0</v>
      </c>
      <c r="O921" s="61">
        <f t="shared" si="280"/>
        <v>0</v>
      </c>
      <c r="P921" s="61">
        <f t="shared" si="281"/>
        <v>204.04612476081002</v>
      </c>
      <c r="Q921" s="61">
        <f>IF(H921=1,I921*VEHICLE!$C$69,IF(H921=2,VEHICLE!$C$70*I921,IF(H921=3,VEHICLE!$C$71*I921,0)))</f>
        <v>0</v>
      </c>
      <c r="R921" s="61">
        <f>(J921+K921+O921+Q921)</f>
        <v>204.04612476081002</v>
      </c>
      <c r="S921" s="61">
        <f t="shared" si="282"/>
        <v>204.04612476081002</v>
      </c>
      <c r="T921" s="61">
        <f>ABS((R921)/((2*PI()*G921)/60))</f>
        <v>0.27835670892367281</v>
      </c>
      <c r="U921" s="61">
        <f t="shared" si="283"/>
        <v>1</v>
      </c>
      <c r="V921" s="61">
        <f>INDEX(BSFC!$D$4:$AD$26,MATCH(U921,BSFC!$B$4:$B$26,0),MATCH(G921,BSFC!$D$2:$AD$2,0))</f>
        <v>920.25590927999997</v>
      </c>
      <c r="W921" s="61">
        <f t="shared" si="287"/>
        <v>5.2159625576894311E-2</v>
      </c>
      <c r="X921" s="61">
        <f t="shared" si="284"/>
        <v>5.2159625576894311E-2</v>
      </c>
      <c r="Y921" s="61">
        <f t="shared" si="285"/>
        <v>0.16117324303260341</v>
      </c>
      <c r="Z921" s="79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</row>
    <row r="922" spans="1:39" x14ac:dyDescent="0.3">
      <c r="A922" s="55">
        <v>4</v>
      </c>
      <c r="B922" s="61" t="s">
        <v>129</v>
      </c>
      <c r="C922" s="61">
        <f t="shared" si="276"/>
        <v>919</v>
      </c>
      <c r="D922" s="61">
        <f t="shared" si="278"/>
        <v>22.839770000000001</v>
      </c>
      <c r="E922" s="61">
        <v>10.210000000000001</v>
      </c>
      <c r="F922" s="88">
        <f>($C$4/E922)+F921</f>
        <v>117.83572434576638</v>
      </c>
      <c r="G922" s="61">
        <f t="shared" si="277"/>
        <v>7000</v>
      </c>
      <c r="H922" s="61">
        <v>3</v>
      </c>
      <c r="I922" s="88">
        <f>E922-E921</f>
        <v>0</v>
      </c>
      <c r="J922" s="61">
        <f>(0.5*VEHICLE!$C$71*VEHICLE!$C$28*VEHICLE!$C$27*'Drive Cycle'!E922^2)</f>
        <v>92.735978760809999</v>
      </c>
      <c r="K922" s="61">
        <f>IF(A922=1,VEHICLE!$S$5,IF(A922=2,VEHICLE!$Q$5,IF(A922=3,VEHICLE!$R$5,IF(A922=4,VEHICLE!$P$5,1))))</f>
        <v>111.31014600000002</v>
      </c>
      <c r="L922" s="61">
        <v>0</v>
      </c>
      <c r="M922" s="61">
        <f t="shared" si="286"/>
        <v>0</v>
      </c>
      <c r="N922" s="61">
        <f t="shared" si="279"/>
        <v>0</v>
      </c>
      <c r="O922" s="61">
        <f t="shared" si="280"/>
        <v>0</v>
      </c>
      <c r="P922" s="61">
        <f t="shared" si="281"/>
        <v>204.04612476081002</v>
      </c>
      <c r="Q922" s="61">
        <f>IF(H922=1,I922*VEHICLE!$C$69,IF(H922=2,VEHICLE!$C$70*I922,IF(H922=3,VEHICLE!$C$71*I922,0)))</f>
        <v>0</v>
      </c>
      <c r="R922" s="61">
        <f>(J922+K922+O922+Q922)</f>
        <v>204.04612476081002</v>
      </c>
      <c r="S922" s="61">
        <f t="shared" si="282"/>
        <v>204.04612476081002</v>
      </c>
      <c r="T922" s="61">
        <f>ABS((R922)/((2*PI()*G922)/60))</f>
        <v>0.27835670892367281</v>
      </c>
      <c r="U922" s="61">
        <f t="shared" si="283"/>
        <v>1</v>
      </c>
      <c r="V922" s="61">
        <f>INDEX(BSFC!$D$4:$AD$26,MATCH(U922,BSFC!$B$4:$B$26,0),MATCH(G922,BSFC!$D$2:$AD$2,0))</f>
        <v>920.25590927999997</v>
      </c>
      <c r="W922" s="61">
        <f t="shared" si="287"/>
        <v>5.2159625576894311E-2</v>
      </c>
      <c r="X922" s="61">
        <f t="shared" si="284"/>
        <v>5.2159625576894311E-2</v>
      </c>
      <c r="Y922" s="61">
        <f t="shared" si="285"/>
        <v>0.16117324303260341</v>
      </c>
      <c r="Z922" s="79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</row>
    <row r="923" spans="1:39" x14ac:dyDescent="0.3">
      <c r="A923" s="55">
        <v>4</v>
      </c>
      <c r="B923" s="61" t="s">
        <v>129</v>
      </c>
      <c r="C923" s="61">
        <f t="shared" si="276"/>
        <v>920</v>
      </c>
      <c r="D923" s="61">
        <f t="shared" si="278"/>
        <v>22.839770000000001</v>
      </c>
      <c r="E923" s="61">
        <v>10.210000000000001</v>
      </c>
      <c r="F923" s="88">
        <f>($C$4/E923)+F922</f>
        <v>117.93366753871447</v>
      </c>
      <c r="G923" s="61">
        <f t="shared" si="277"/>
        <v>7000</v>
      </c>
      <c r="H923" s="61">
        <v>3</v>
      </c>
      <c r="I923" s="88">
        <f>E923-E922</f>
        <v>0</v>
      </c>
      <c r="J923" s="61">
        <f>(0.5*VEHICLE!$C$71*VEHICLE!$C$28*VEHICLE!$C$27*'Drive Cycle'!E923^2)</f>
        <v>92.735978760809999</v>
      </c>
      <c r="K923" s="61">
        <f>IF(A923=1,VEHICLE!$S$5,IF(A923=2,VEHICLE!$Q$5,IF(A923=3,VEHICLE!$R$5,IF(A923=4,VEHICLE!$P$5,1))))</f>
        <v>111.31014600000002</v>
      </c>
      <c r="L923" s="61">
        <v>0</v>
      </c>
      <c r="M923" s="61">
        <f t="shared" si="286"/>
        <v>0</v>
      </c>
      <c r="N923" s="61">
        <f t="shared" si="279"/>
        <v>0</v>
      </c>
      <c r="O923" s="61">
        <f t="shared" si="280"/>
        <v>0</v>
      </c>
      <c r="P923" s="61">
        <f t="shared" si="281"/>
        <v>204.04612476081002</v>
      </c>
      <c r="Q923" s="61">
        <f>IF(H923=1,I923*VEHICLE!$C$69,IF(H923=2,VEHICLE!$C$70*I923,IF(H923=3,VEHICLE!$C$71*I923,0)))</f>
        <v>0</v>
      </c>
      <c r="R923" s="61">
        <f>(J923+K923+O923+Q923)</f>
        <v>204.04612476081002</v>
      </c>
      <c r="S923" s="61">
        <f t="shared" si="282"/>
        <v>204.04612476081002</v>
      </c>
      <c r="T923" s="61">
        <f>ABS((R923)/((2*PI()*G923)/60))</f>
        <v>0.27835670892367281</v>
      </c>
      <c r="U923" s="61">
        <f t="shared" si="283"/>
        <v>1</v>
      </c>
      <c r="V923" s="61">
        <f>INDEX(BSFC!$D$4:$AD$26,MATCH(U923,BSFC!$B$4:$B$26,0),MATCH(G923,BSFC!$D$2:$AD$2,0))</f>
        <v>920.25590927999997</v>
      </c>
      <c r="W923" s="61">
        <f t="shared" si="287"/>
        <v>5.2159625576894311E-2</v>
      </c>
      <c r="X923" s="61">
        <f t="shared" si="284"/>
        <v>5.2159625576894311E-2</v>
      </c>
      <c r="Y923" s="61">
        <f t="shared" si="285"/>
        <v>0.16117324303260341</v>
      </c>
      <c r="Z923" s="79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</row>
    <row r="924" spans="1:39" x14ac:dyDescent="0.3">
      <c r="A924" s="55">
        <v>4</v>
      </c>
      <c r="B924" s="61" t="s">
        <v>129</v>
      </c>
      <c r="C924" s="61">
        <f t="shared" si="276"/>
        <v>921</v>
      </c>
      <c r="D924" s="61">
        <f t="shared" si="278"/>
        <v>22.839770000000001</v>
      </c>
      <c r="E924" s="61">
        <v>10.210000000000001</v>
      </c>
      <c r="F924" s="88">
        <f>($C$4/E924)+F923</f>
        <v>118.03161073166257</v>
      </c>
      <c r="G924" s="61">
        <f t="shared" si="277"/>
        <v>7000</v>
      </c>
      <c r="H924" s="61">
        <v>3</v>
      </c>
      <c r="I924" s="88">
        <f>E924-E923</f>
        <v>0</v>
      </c>
      <c r="J924" s="61">
        <f>(0.5*VEHICLE!$C$71*VEHICLE!$C$28*VEHICLE!$C$27*'Drive Cycle'!E924^2)</f>
        <v>92.735978760809999</v>
      </c>
      <c r="K924" s="61">
        <f>IF(A924=1,VEHICLE!$S$5,IF(A924=2,VEHICLE!$Q$5,IF(A924=3,VEHICLE!$R$5,IF(A924=4,VEHICLE!$P$5,1))))</f>
        <v>111.31014600000002</v>
      </c>
      <c r="L924" s="61">
        <v>0</v>
      </c>
      <c r="M924" s="61">
        <f t="shared" si="286"/>
        <v>0</v>
      </c>
      <c r="N924" s="61">
        <f t="shared" si="279"/>
        <v>0</v>
      </c>
      <c r="O924" s="61">
        <f t="shared" si="280"/>
        <v>0</v>
      </c>
      <c r="P924" s="61">
        <f t="shared" si="281"/>
        <v>204.04612476081002</v>
      </c>
      <c r="Q924" s="61">
        <f>IF(H924=1,I924*VEHICLE!$C$69,IF(H924=2,VEHICLE!$C$70*I924,IF(H924=3,VEHICLE!$C$71*I924,0)))</f>
        <v>0</v>
      </c>
      <c r="R924" s="61">
        <f>(J924+K924+O924+Q924)</f>
        <v>204.04612476081002</v>
      </c>
      <c r="S924" s="61">
        <f t="shared" si="282"/>
        <v>204.04612476081002</v>
      </c>
      <c r="T924" s="61">
        <f>ABS((R924)/((2*PI()*G924)/60))</f>
        <v>0.27835670892367281</v>
      </c>
      <c r="U924" s="61">
        <f t="shared" si="283"/>
        <v>1</v>
      </c>
      <c r="V924" s="61">
        <f>INDEX(BSFC!$D$4:$AD$26,MATCH(U924,BSFC!$B$4:$B$26,0),MATCH(G924,BSFC!$D$2:$AD$2,0))</f>
        <v>920.25590927999997</v>
      </c>
      <c r="W924" s="61">
        <f t="shared" si="287"/>
        <v>5.2159625576894311E-2</v>
      </c>
      <c r="X924" s="61">
        <f t="shared" si="284"/>
        <v>5.2159625576894311E-2</v>
      </c>
      <c r="Y924" s="61">
        <f t="shared" si="285"/>
        <v>0.16117324303260341</v>
      </c>
      <c r="Z924" s="79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</row>
    <row r="925" spans="1:39" x14ac:dyDescent="0.3">
      <c r="A925" s="55">
        <v>4</v>
      </c>
      <c r="B925" s="61" t="s">
        <v>129</v>
      </c>
      <c r="C925" s="61">
        <f t="shared" si="276"/>
        <v>922</v>
      </c>
      <c r="D925" s="61">
        <f t="shared" si="278"/>
        <v>22.839770000000001</v>
      </c>
      <c r="E925" s="61">
        <v>10.210000000000001</v>
      </c>
      <c r="F925" s="88">
        <f>($C$4/E925)+F924</f>
        <v>118.12955392461066</v>
      </c>
      <c r="G925" s="61">
        <f t="shared" si="277"/>
        <v>7000</v>
      </c>
      <c r="H925" s="61">
        <v>3</v>
      </c>
      <c r="I925" s="88">
        <f>E925-E924</f>
        <v>0</v>
      </c>
      <c r="J925" s="61">
        <f>(0.5*VEHICLE!$C$71*VEHICLE!$C$28*VEHICLE!$C$27*'Drive Cycle'!E925^2)</f>
        <v>92.735978760809999</v>
      </c>
      <c r="K925" s="61">
        <f>IF(A925=1,VEHICLE!$S$5,IF(A925=2,VEHICLE!$Q$5,IF(A925=3,VEHICLE!$R$5,IF(A925=4,VEHICLE!$P$5,1))))</f>
        <v>111.31014600000002</v>
      </c>
      <c r="L925" s="61">
        <v>0</v>
      </c>
      <c r="M925" s="61">
        <f t="shared" si="286"/>
        <v>0</v>
      </c>
      <c r="N925" s="61">
        <f t="shared" si="279"/>
        <v>0</v>
      </c>
      <c r="O925" s="61">
        <f t="shared" si="280"/>
        <v>0</v>
      </c>
      <c r="P925" s="61">
        <f t="shared" si="281"/>
        <v>204.04612476081002</v>
      </c>
      <c r="Q925" s="61">
        <f>IF(H925=1,I925*VEHICLE!$C$69,IF(H925=2,VEHICLE!$C$70*I925,IF(H925=3,VEHICLE!$C$71*I925,0)))</f>
        <v>0</v>
      </c>
      <c r="R925" s="61">
        <f>(J925+K925+O925+Q925)</f>
        <v>204.04612476081002</v>
      </c>
      <c r="S925" s="61">
        <f t="shared" si="282"/>
        <v>204.04612476081002</v>
      </c>
      <c r="T925" s="61">
        <f>ABS((R925)/((2*PI()*G925)/60))</f>
        <v>0.27835670892367281</v>
      </c>
      <c r="U925" s="61">
        <f t="shared" si="283"/>
        <v>1</v>
      </c>
      <c r="V925" s="61">
        <f>INDEX(BSFC!$D$4:$AD$26,MATCH(U925,BSFC!$B$4:$B$26,0),MATCH(G925,BSFC!$D$2:$AD$2,0))</f>
        <v>920.25590927999997</v>
      </c>
      <c r="W925" s="61">
        <f t="shared" si="287"/>
        <v>5.2159625576894311E-2</v>
      </c>
      <c r="X925" s="61">
        <f t="shared" si="284"/>
        <v>5.2159625576894311E-2</v>
      </c>
      <c r="Y925" s="61">
        <f t="shared" si="285"/>
        <v>0.16117324303260341</v>
      </c>
      <c r="Z925" s="79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</row>
    <row r="926" spans="1:39" x14ac:dyDescent="0.3">
      <c r="A926" s="55">
        <v>4</v>
      </c>
      <c r="B926" s="61" t="s">
        <v>129</v>
      </c>
      <c r="C926" s="61">
        <f t="shared" si="276"/>
        <v>923</v>
      </c>
      <c r="D926" s="61">
        <f t="shared" si="278"/>
        <v>22.839770000000001</v>
      </c>
      <c r="E926" s="61">
        <v>10.210000000000001</v>
      </c>
      <c r="F926" s="88">
        <f>($C$4/E926)+F925</f>
        <v>118.22749711755876</v>
      </c>
      <c r="G926" s="61">
        <f t="shared" si="277"/>
        <v>7000</v>
      </c>
      <c r="H926" s="61">
        <v>3</v>
      </c>
      <c r="I926" s="88">
        <f>E926-E925</f>
        <v>0</v>
      </c>
      <c r="J926" s="61">
        <f>(0.5*VEHICLE!$C$71*VEHICLE!$C$28*VEHICLE!$C$27*'Drive Cycle'!E926^2)</f>
        <v>92.735978760809999</v>
      </c>
      <c r="K926" s="61">
        <f>IF(A926=1,VEHICLE!$S$5,IF(A926=2,VEHICLE!$Q$5,IF(A926=3,VEHICLE!$R$5,IF(A926=4,VEHICLE!$P$5,1))))</f>
        <v>111.31014600000002</v>
      </c>
      <c r="L926" s="61">
        <v>0</v>
      </c>
      <c r="M926" s="61">
        <f t="shared" si="286"/>
        <v>0</v>
      </c>
      <c r="N926" s="61">
        <f t="shared" si="279"/>
        <v>0</v>
      </c>
      <c r="O926" s="61">
        <f t="shared" si="280"/>
        <v>0</v>
      </c>
      <c r="P926" s="61">
        <f t="shared" si="281"/>
        <v>204.04612476081002</v>
      </c>
      <c r="Q926" s="61">
        <f>IF(H926=1,I926*VEHICLE!$C$69,IF(H926=2,VEHICLE!$C$70*I926,IF(H926=3,VEHICLE!$C$71*I926,0)))</f>
        <v>0</v>
      </c>
      <c r="R926" s="61">
        <f>(J926+K926+O926+Q926)</f>
        <v>204.04612476081002</v>
      </c>
      <c r="S926" s="61">
        <f t="shared" si="282"/>
        <v>204.04612476081002</v>
      </c>
      <c r="T926" s="61">
        <f>ABS((R926)/((2*PI()*G926)/60))</f>
        <v>0.27835670892367281</v>
      </c>
      <c r="U926" s="61">
        <f t="shared" si="283"/>
        <v>1</v>
      </c>
      <c r="V926" s="61">
        <f>INDEX(BSFC!$D$4:$AD$26,MATCH(U926,BSFC!$B$4:$B$26,0),MATCH(G926,BSFC!$D$2:$AD$2,0))</f>
        <v>920.25590927999997</v>
      </c>
      <c r="W926" s="61">
        <f t="shared" si="287"/>
        <v>5.2159625576894311E-2</v>
      </c>
      <c r="X926" s="61">
        <f t="shared" si="284"/>
        <v>5.2159625576894311E-2</v>
      </c>
      <c r="Y926" s="61">
        <f t="shared" si="285"/>
        <v>0.16117324303260341</v>
      </c>
      <c r="Z926" s="79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</row>
    <row r="927" spans="1:39" x14ac:dyDescent="0.3">
      <c r="A927" s="55">
        <v>4</v>
      </c>
      <c r="B927" s="61" t="s">
        <v>129</v>
      </c>
      <c r="C927" s="61">
        <f t="shared" si="276"/>
        <v>924</v>
      </c>
      <c r="D927" s="61">
        <f t="shared" si="278"/>
        <v>22.839770000000001</v>
      </c>
      <c r="E927" s="61">
        <v>10.210000000000001</v>
      </c>
      <c r="F927" s="88">
        <f>($C$4/E927)+F926</f>
        <v>118.32544031050685</v>
      </c>
      <c r="G927" s="61">
        <f t="shared" si="277"/>
        <v>7000</v>
      </c>
      <c r="H927" s="61">
        <v>3</v>
      </c>
      <c r="I927" s="88">
        <f>E927-E926</f>
        <v>0</v>
      </c>
      <c r="J927" s="61">
        <f>(0.5*VEHICLE!$C$71*VEHICLE!$C$28*VEHICLE!$C$27*'Drive Cycle'!E927^2)</f>
        <v>92.735978760809999</v>
      </c>
      <c r="K927" s="61">
        <f>IF(A927=1,VEHICLE!$S$5,IF(A927=2,VEHICLE!$Q$5,IF(A927=3,VEHICLE!$R$5,IF(A927=4,VEHICLE!$P$5,1))))</f>
        <v>111.31014600000002</v>
      </c>
      <c r="L927" s="61">
        <v>0</v>
      </c>
      <c r="M927" s="61">
        <f t="shared" si="286"/>
        <v>0</v>
      </c>
      <c r="N927" s="61">
        <f t="shared" si="279"/>
        <v>0</v>
      </c>
      <c r="O927" s="61">
        <f t="shared" si="280"/>
        <v>0</v>
      </c>
      <c r="P927" s="61">
        <f t="shared" si="281"/>
        <v>204.04612476081002</v>
      </c>
      <c r="Q927" s="61">
        <f>IF(H927=1,I927*VEHICLE!$C$69,IF(H927=2,VEHICLE!$C$70*I927,IF(H927=3,VEHICLE!$C$71*I927,0)))</f>
        <v>0</v>
      </c>
      <c r="R927" s="61">
        <f>(J927+K927+O927+Q927)</f>
        <v>204.04612476081002</v>
      </c>
      <c r="S927" s="61">
        <f t="shared" si="282"/>
        <v>204.04612476081002</v>
      </c>
      <c r="T927" s="61">
        <f>ABS((R927)/((2*PI()*G927)/60))</f>
        <v>0.27835670892367281</v>
      </c>
      <c r="U927" s="61">
        <f t="shared" si="283"/>
        <v>1</v>
      </c>
      <c r="V927" s="61">
        <f>INDEX(BSFC!$D$4:$AD$26,MATCH(U927,BSFC!$B$4:$B$26,0),MATCH(G927,BSFC!$D$2:$AD$2,0))</f>
        <v>920.25590927999997</v>
      </c>
      <c r="W927" s="61">
        <f t="shared" si="287"/>
        <v>5.2159625576894311E-2</v>
      </c>
      <c r="X927" s="61">
        <f t="shared" si="284"/>
        <v>5.2159625576894311E-2</v>
      </c>
      <c r="Y927" s="61">
        <f t="shared" si="285"/>
        <v>0.16117324303260341</v>
      </c>
      <c r="Z927" s="79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</row>
    <row r="928" spans="1:39" x14ac:dyDescent="0.3">
      <c r="A928" s="55">
        <v>4</v>
      </c>
      <c r="B928" s="61" t="s">
        <v>129</v>
      </c>
      <c r="C928" s="61">
        <f t="shared" si="276"/>
        <v>925</v>
      </c>
      <c r="D928" s="61">
        <f t="shared" si="278"/>
        <v>22.839770000000001</v>
      </c>
      <c r="E928" s="61">
        <v>10.210000000000001</v>
      </c>
      <c r="F928" s="88">
        <f>($C$4/E928)+F927</f>
        <v>118.42338350345494</v>
      </c>
      <c r="G928" s="61">
        <f t="shared" si="277"/>
        <v>7000</v>
      </c>
      <c r="H928" s="61">
        <v>3</v>
      </c>
      <c r="I928" s="88">
        <f>E928-E927</f>
        <v>0</v>
      </c>
      <c r="J928" s="61">
        <f>(0.5*VEHICLE!$C$71*VEHICLE!$C$28*VEHICLE!$C$27*'Drive Cycle'!E928^2)</f>
        <v>92.735978760809999</v>
      </c>
      <c r="K928" s="61">
        <f>IF(A928=1,VEHICLE!$S$5,IF(A928=2,VEHICLE!$Q$5,IF(A928=3,VEHICLE!$R$5,IF(A928=4,VEHICLE!$P$5,1))))</f>
        <v>111.31014600000002</v>
      </c>
      <c r="L928" s="61">
        <v>0</v>
      </c>
      <c r="M928" s="61">
        <f t="shared" si="286"/>
        <v>0</v>
      </c>
      <c r="N928" s="61">
        <f t="shared" si="279"/>
        <v>0</v>
      </c>
      <c r="O928" s="61">
        <f t="shared" si="280"/>
        <v>0</v>
      </c>
      <c r="P928" s="61">
        <f t="shared" si="281"/>
        <v>204.04612476081002</v>
      </c>
      <c r="Q928" s="61">
        <f>IF(H928=1,I928*VEHICLE!$C$69,IF(H928=2,VEHICLE!$C$70*I928,IF(H928=3,VEHICLE!$C$71*I928,0)))</f>
        <v>0</v>
      </c>
      <c r="R928" s="61">
        <f>(J928+K928+O928+Q928)</f>
        <v>204.04612476081002</v>
      </c>
      <c r="S928" s="61">
        <f t="shared" si="282"/>
        <v>204.04612476081002</v>
      </c>
      <c r="T928" s="61">
        <f>ABS((R928)/((2*PI()*G928)/60))</f>
        <v>0.27835670892367281</v>
      </c>
      <c r="U928" s="61">
        <f t="shared" si="283"/>
        <v>1</v>
      </c>
      <c r="V928" s="61">
        <f>INDEX(BSFC!$D$4:$AD$26,MATCH(U928,BSFC!$B$4:$B$26,0),MATCH(G928,BSFC!$D$2:$AD$2,0))</f>
        <v>920.25590927999997</v>
      </c>
      <c r="W928" s="61">
        <f t="shared" si="287"/>
        <v>5.2159625576894311E-2</v>
      </c>
      <c r="X928" s="61">
        <f t="shared" si="284"/>
        <v>5.2159625576894311E-2</v>
      </c>
      <c r="Y928" s="61">
        <f t="shared" si="285"/>
        <v>0.16117324303260341</v>
      </c>
      <c r="Z928" s="79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</row>
    <row r="929" spans="1:39" x14ac:dyDescent="0.3">
      <c r="A929" s="55">
        <v>4</v>
      </c>
      <c r="B929" s="61" t="s">
        <v>129</v>
      </c>
      <c r="C929" s="61">
        <f t="shared" si="276"/>
        <v>926</v>
      </c>
      <c r="D929" s="61">
        <f t="shared" si="278"/>
        <v>22.839770000000001</v>
      </c>
      <c r="E929" s="61">
        <v>10.210000000000001</v>
      </c>
      <c r="F929" s="88">
        <f>($C$4/E929)+F928</f>
        <v>118.52132669640304</v>
      </c>
      <c r="G929" s="61">
        <f t="shared" si="277"/>
        <v>7000</v>
      </c>
      <c r="H929" s="61">
        <v>3</v>
      </c>
      <c r="I929" s="88">
        <f>E929-E928</f>
        <v>0</v>
      </c>
      <c r="J929" s="61">
        <f>(0.5*VEHICLE!$C$71*VEHICLE!$C$28*VEHICLE!$C$27*'Drive Cycle'!E929^2)</f>
        <v>92.735978760809999</v>
      </c>
      <c r="K929" s="61">
        <f>IF(A929=1,VEHICLE!$S$5,IF(A929=2,VEHICLE!$Q$5,IF(A929=3,VEHICLE!$R$5,IF(A929=4,VEHICLE!$P$5,1))))</f>
        <v>111.31014600000002</v>
      </c>
      <c r="L929" s="61">
        <v>0</v>
      </c>
      <c r="M929" s="61">
        <f t="shared" si="286"/>
        <v>0</v>
      </c>
      <c r="N929" s="61">
        <f t="shared" si="279"/>
        <v>0</v>
      </c>
      <c r="O929" s="61">
        <f t="shared" si="280"/>
        <v>0</v>
      </c>
      <c r="P929" s="61">
        <f t="shared" si="281"/>
        <v>204.04612476081002</v>
      </c>
      <c r="Q929" s="61">
        <f>IF(H929=1,I929*VEHICLE!$C$69,IF(H929=2,VEHICLE!$C$70*I929,IF(H929=3,VEHICLE!$C$71*I929,0)))</f>
        <v>0</v>
      </c>
      <c r="R929" s="61">
        <f>(J929+K929+O929+Q929)</f>
        <v>204.04612476081002</v>
      </c>
      <c r="S929" s="61">
        <f t="shared" si="282"/>
        <v>204.04612476081002</v>
      </c>
      <c r="T929" s="61">
        <f>ABS((R929)/((2*PI()*G929)/60))</f>
        <v>0.27835670892367281</v>
      </c>
      <c r="U929" s="61">
        <f t="shared" si="283"/>
        <v>1</v>
      </c>
      <c r="V929" s="61">
        <f>INDEX(BSFC!$D$4:$AD$26,MATCH(U929,BSFC!$B$4:$B$26,0),MATCH(G929,BSFC!$D$2:$AD$2,0))</f>
        <v>920.25590927999997</v>
      </c>
      <c r="W929" s="61">
        <f t="shared" si="287"/>
        <v>5.2159625576894311E-2</v>
      </c>
      <c r="X929" s="61">
        <f t="shared" si="284"/>
        <v>5.2159625576894311E-2</v>
      </c>
      <c r="Y929" s="61">
        <f t="shared" si="285"/>
        <v>0.16117324303260341</v>
      </c>
      <c r="Z929" s="79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</row>
    <row r="930" spans="1:39" x14ac:dyDescent="0.3">
      <c r="A930" s="55">
        <v>4</v>
      </c>
      <c r="B930" s="61" t="s">
        <v>129</v>
      </c>
      <c r="C930" s="61">
        <f t="shared" si="276"/>
        <v>927</v>
      </c>
      <c r="D930" s="61">
        <f t="shared" si="278"/>
        <v>22.839770000000001</v>
      </c>
      <c r="E930" s="61">
        <v>10.210000000000001</v>
      </c>
      <c r="F930" s="88">
        <f>($C$4/E930)+F929</f>
        <v>118.61926988935113</v>
      </c>
      <c r="G930" s="61">
        <f t="shared" si="277"/>
        <v>7000</v>
      </c>
      <c r="H930" s="61">
        <v>3</v>
      </c>
      <c r="I930" s="88">
        <f>E930-E929</f>
        <v>0</v>
      </c>
      <c r="J930" s="61">
        <f>(0.5*VEHICLE!$C$71*VEHICLE!$C$28*VEHICLE!$C$27*'Drive Cycle'!E930^2)</f>
        <v>92.735978760809999</v>
      </c>
      <c r="K930" s="61">
        <f>IF(A930=1,VEHICLE!$S$5,IF(A930=2,VEHICLE!$Q$5,IF(A930=3,VEHICLE!$R$5,IF(A930=4,VEHICLE!$P$5,1))))</f>
        <v>111.31014600000002</v>
      </c>
      <c r="L930" s="61">
        <v>0</v>
      </c>
      <c r="M930" s="61">
        <f t="shared" si="286"/>
        <v>0</v>
      </c>
      <c r="N930" s="61">
        <f t="shared" si="279"/>
        <v>0</v>
      </c>
      <c r="O930" s="61">
        <f t="shared" si="280"/>
        <v>0</v>
      </c>
      <c r="P930" s="61">
        <f t="shared" si="281"/>
        <v>204.04612476081002</v>
      </c>
      <c r="Q930" s="61">
        <f>IF(H930=1,I930*VEHICLE!$C$69,IF(H930=2,VEHICLE!$C$70*I930,IF(H930=3,VEHICLE!$C$71*I930,0)))</f>
        <v>0</v>
      </c>
      <c r="R930" s="61">
        <f>(J930+K930+O930+Q930)</f>
        <v>204.04612476081002</v>
      </c>
      <c r="S930" s="61">
        <f t="shared" si="282"/>
        <v>204.04612476081002</v>
      </c>
      <c r="T930" s="61">
        <f>ABS((R930)/((2*PI()*G930)/60))</f>
        <v>0.27835670892367281</v>
      </c>
      <c r="U930" s="61">
        <f t="shared" si="283"/>
        <v>1</v>
      </c>
      <c r="V930" s="61">
        <f>INDEX(BSFC!$D$4:$AD$26,MATCH(U930,BSFC!$B$4:$B$26,0),MATCH(G930,BSFC!$D$2:$AD$2,0))</f>
        <v>920.25590927999997</v>
      </c>
      <c r="W930" s="61">
        <f t="shared" si="287"/>
        <v>5.2159625576894311E-2</v>
      </c>
      <c r="X930" s="61">
        <f t="shared" si="284"/>
        <v>5.2159625576894311E-2</v>
      </c>
      <c r="Y930" s="61">
        <f t="shared" si="285"/>
        <v>0.16117324303260341</v>
      </c>
      <c r="Z930" s="79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</row>
    <row r="931" spans="1:39" x14ac:dyDescent="0.3">
      <c r="A931" s="55">
        <v>4</v>
      </c>
      <c r="B931" s="61" t="s">
        <v>129</v>
      </c>
      <c r="C931" s="61">
        <f t="shared" si="276"/>
        <v>928</v>
      </c>
      <c r="D931" s="61">
        <f t="shared" si="278"/>
        <v>22.839770000000001</v>
      </c>
      <c r="E931" s="61">
        <v>10.210000000000001</v>
      </c>
      <c r="F931" s="88">
        <f>($C$4/E931)+F930</f>
        <v>118.71721308229922</v>
      </c>
      <c r="G931" s="61">
        <f t="shared" si="277"/>
        <v>7000</v>
      </c>
      <c r="H931" s="61">
        <v>3</v>
      </c>
      <c r="I931" s="88">
        <f>E931-E930</f>
        <v>0</v>
      </c>
      <c r="J931" s="61">
        <f>(0.5*VEHICLE!$C$71*VEHICLE!$C$28*VEHICLE!$C$27*'Drive Cycle'!E931^2)</f>
        <v>92.735978760809999</v>
      </c>
      <c r="K931" s="61">
        <f>IF(A931=1,VEHICLE!$S$5,IF(A931=2,VEHICLE!$Q$5,IF(A931=3,VEHICLE!$R$5,IF(A931=4,VEHICLE!$P$5,1))))</f>
        <v>111.31014600000002</v>
      </c>
      <c r="L931" s="61">
        <v>0</v>
      </c>
      <c r="M931" s="61">
        <f t="shared" si="286"/>
        <v>0</v>
      </c>
      <c r="N931" s="61">
        <f t="shared" si="279"/>
        <v>0</v>
      </c>
      <c r="O931" s="61">
        <f t="shared" si="280"/>
        <v>0</v>
      </c>
      <c r="P931" s="61">
        <f t="shared" si="281"/>
        <v>204.04612476081002</v>
      </c>
      <c r="Q931" s="61">
        <f>IF(H931=1,I931*VEHICLE!$C$69,IF(H931=2,VEHICLE!$C$70*I931,IF(H931=3,VEHICLE!$C$71*I931,0)))</f>
        <v>0</v>
      </c>
      <c r="R931" s="61">
        <f>(J931+K931+O931+Q931)</f>
        <v>204.04612476081002</v>
      </c>
      <c r="S931" s="61">
        <f t="shared" si="282"/>
        <v>204.04612476081002</v>
      </c>
      <c r="T931" s="61">
        <f>ABS((R931)/((2*PI()*G931)/60))</f>
        <v>0.27835670892367281</v>
      </c>
      <c r="U931" s="61">
        <f t="shared" si="283"/>
        <v>1</v>
      </c>
      <c r="V931" s="61">
        <f>INDEX(BSFC!$D$4:$AD$26,MATCH(U931,BSFC!$B$4:$B$26,0),MATCH(G931,BSFC!$D$2:$AD$2,0))</f>
        <v>920.25590927999997</v>
      </c>
      <c r="W931" s="61">
        <f t="shared" si="287"/>
        <v>5.2159625576894311E-2</v>
      </c>
      <c r="X931" s="61">
        <f t="shared" si="284"/>
        <v>5.2159625576894311E-2</v>
      </c>
      <c r="Y931" s="61">
        <f t="shared" si="285"/>
        <v>0.16117324303260341</v>
      </c>
      <c r="Z931" s="79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</row>
    <row r="932" spans="1:39" x14ac:dyDescent="0.3">
      <c r="A932" s="55">
        <v>4</v>
      </c>
      <c r="B932" s="61" t="s">
        <v>129</v>
      </c>
      <c r="C932" s="61">
        <f t="shared" si="276"/>
        <v>929</v>
      </c>
      <c r="D932" s="61">
        <f t="shared" si="278"/>
        <v>22.839770000000001</v>
      </c>
      <c r="E932" s="61">
        <v>10.210000000000001</v>
      </c>
      <c r="F932" s="88">
        <f>($C$4/E932)+F931</f>
        <v>118.81515627524732</v>
      </c>
      <c r="G932" s="61">
        <f t="shared" si="277"/>
        <v>7000</v>
      </c>
      <c r="H932" s="61">
        <v>3</v>
      </c>
      <c r="I932" s="88">
        <f>E932-E931</f>
        <v>0</v>
      </c>
      <c r="J932" s="61">
        <f>(0.5*VEHICLE!$C$71*VEHICLE!$C$28*VEHICLE!$C$27*'Drive Cycle'!E932^2)</f>
        <v>92.735978760809999</v>
      </c>
      <c r="K932" s="61">
        <f>IF(A932=1,VEHICLE!$S$5,IF(A932=2,VEHICLE!$Q$5,IF(A932=3,VEHICLE!$R$5,IF(A932=4,VEHICLE!$P$5,1))))</f>
        <v>111.31014600000002</v>
      </c>
      <c r="L932" s="61">
        <v>0</v>
      </c>
      <c r="M932" s="61">
        <f t="shared" si="286"/>
        <v>0</v>
      </c>
      <c r="N932" s="61">
        <f t="shared" si="279"/>
        <v>0</v>
      </c>
      <c r="O932" s="61">
        <f t="shared" si="280"/>
        <v>0</v>
      </c>
      <c r="P932" s="61">
        <f t="shared" si="281"/>
        <v>204.04612476081002</v>
      </c>
      <c r="Q932" s="61">
        <f>IF(H932=1,I932*VEHICLE!$C$69,IF(H932=2,VEHICLE!$C$70*I932,IF(H932=3,VEHICLE!$C$71*I932,0)))</f>
        <v>0</v>
      </c>
      <c r="R932" s="61">
        <f>(J932+K932+O932+Q932)</f>
        <v>204.04612476081002</v>
      </c>
      <c r="S932" s="61">
        <f t="shared" si="282"/>
        <v>204.04612476081002</v>
      </c>
      <c r="T932" s="61">
        <f>ABS((R932)/((2*PI()*G932)/60))</f>
        <v>0.27835670892367281</v>
      </c>
      <c r="U932" s="61">
        <f t="shared" si="283"/>
        <v>1</v>
      </c>
      <c r="V932" s="61">
        <f>INDEX(BSFC!$D$4:$AD$26,MATCH(U932,BSFC!$B$4:$B$26,0),MATCH(G932,BSFC!$D$2:$AD$2,0))</f>
        <v>920.25590927999997</v>
      </c>
      <c r="W932" s="61">
        <f t="shared" si="287"/>
        <v>5.2159625576894311E-2</v>
      </c>
      <c r="X932" s="61">
        <f t="shared" si="284"/>
        <v>5.2159625576894311E-2</v>
      </c>
      <c r="Y932" s="61">
        <f t="shared" si="285"/>
        <v>0.16117324303260341</v>
      </c>
      <c r="Z932" s="79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</row>
    <row r="933" spans="1:39" x14ac:dyDescent="0.3">
      <c r="A933" s="55">
        <v>4</v>
      </c>
      <c r="B933" s="61" t="s">
        <v>129</v>
      </c>
      <c r="C933" s="61">
        <f t="shared" si="276"/>
        <v>930</v>
      </c>
      <c r="D933" s="61">
        <f t="shared" si="278"/>
        <v>22.839770000000001</v>
      </c>
      <c r="E933" s="61">
        <v>10.210000000000001</v>
      </c>
      <c r="F933" s="88">
        <f>($C$4/E933)+F932</f>
        <v>118.91309946819541</v>
      </c>
      <c r="G933" s="61">
        <f t="shared" si="277"/>
        <v>7000</v>
      </c>
      <c r="H933" s="61">
        <v>3</v>
      </c>
      <c r="I933" s="88">
        <f>E933-E932</f>
        <v>0</v>
      </c>
      <c r="J933" s="61">
        <f>(0.5*VEHICLE!$C$71*VEHICLE!$C$28*VEHICLE!$C$27*'Drive Cycle'!E933^2)</f>
        <v>92.735978760809999</v>
      </c>
      <c r="K933" s="61">
        <f>IF(A933=1,VEHICLE!$S$5,IF(A933=2,VEHICLE!$Q$5,IF(A933=3,VEHICLE!$R$5,IF(A933=4,VEHICLE!$P$5,1))))</f>
        <v>111.31014600000002</v>
      </c>
      <c r="L933" s="61">
        <v>0</v>
      </c>
      <c r="M933" s="61">
        <f t="shared" si="286"/>
        <v>0</v>
      </c>
      <c r="N933" s="61">
        <f t="shared" si="279"/>
        <v>0</v>
      </c>
      <c r="O933" s="61">
        <f t="shared" si="280"/>
        <v>0</v>
      </c>
      <c r="P933" s="61">
        <f t="shared" si="281"/>
        <v>204.04612476081002</v>
      </c>
      <c r="Q933" s="61">
        <f>IF(H933=1,I933*VEHICLE!$C$69,IF(H933=2,VEHICLE!$C$70*I933,IF(H933=3,VEHICLE!$C$71*I933,0)))</f>
        <v>0</v>
      </c>
      <c r="R933" s="61">
        <f>(J933+K933+O933+Q933)</f>
        <v>204.04612476081002</v>
      </c>
      <c r="S933" s="61">
        <f t="shared" si="282"/>
        <v>204.04612476081002</v>
      </c>
      <c r="T933" s="61">
        <f>ABS((R933)/((2*PI()*G933)/60))</f>
        <v>0.27835670892367281</v>
      </c>
      <c r="U933" s="61">
        <f t="shared" si="283"/>
        <v>1</v>
      </c>
      <c r="V933" s="61">
        <f>INDEX(BSFC!$D$4:$AD$26,MATCH(U933,BSFC!$B$4:$B$26,0),MATCH(G933,BSFC!$D$2:$AD$2,0))</f>
        <v>920.25590927999997</v>
      </c>
      <c r="W933" s="61">
        <f t="shared" si="287"/>
        <v>5.2159625576894311E-2</v>
      </c>
      <c r="X933" s="61">
        <f t="shared" si="284"/>
        <v>5.2159625576894311E-2</v>
      </c>
      <c r="Y933" s="61">
        <f t="shared" si="285"/>
        <v>0.16117324303260341</v>
      </c>
      <c r="Z933" s="79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</row>
    <row r="934" spans="1:39" x14ac:dyDescent="0.3">
      <c r="A934" s="55">
        <v>4</v>
      </c>
      <c r="B934" s="61" t="s">
        <v>129</v>
      </c>
      <c r="C934" s="61">
        <f t="shared" si="276"/>
        <v>931</v>
      </c>
      <c r="D934" s="61">
        <f t="shared" si="278"/>
        <v>22.839770000000001</v>
      </c>
      <c r="E934" s="61">
        <v>10.210000000000001</v>
      </c>
      <c r="F934" s="88">
        <f>($C$4/E934)+F933</f>
        <v>119.01104266114351</v>
      </c>
      <c r="G934" s="61">
        <f t="shared" si="277"/>
        <v>7000</v>
      </c>
      <c r="H934" s="61">
        <v>3</v>
      </c>
      <c r="I934" s="88">
        <f>E934-E933</f>
        <v>0</v>
      </c>
      <c r="J934" s="61">
        <f>(0.5*VEHICLE!$C$71*VEHICLE!$C$28*VEHICLE!$C$27*'Drive Cycle'!E934^2)</f>
        <v>92.735978760809999</v>
      </c>
      <c r="K934" s="61">
        <f>IF(A934=1,VEHICLE!$S$5,IF(A934=2,VEHICLE!$Q$5,IF(A934=3,VEHICLE!$R$5,IF(A934=4,VEHICLE!$P$5,1))))</f>
        <v>111.31014600000002</v>
      </c>
      <c r="L934" s="61">
        <v>0</v>
      </c>
      <c r="M934" s="61">
        <f t="shared" si="286"/>
        <v>0</v>
      </c>
      <c r="N934" s="61">
        <f t="shared" si="279"/>
        <v>0</v>
      </c>
      <c r="O934" s="61">
        <f t="shared" si="280"/>
        <v>0</v>
      </c>
      <c r="P934" s="61">
        <f t="shared" si="281"/>
        <v>204.04612476081002</v>
      </c>
      <c r="Q934" s="61">
        <f>IF(H934=1,I934*VEHICLE!$C$69,IF(H934=2,VEHICLE!$C$70*I934,IF(H934=3,VEHICLE!$C$71*I934,0)))</f>
        <v>0</v>
      </c>
      <c r="R934" s="61">
        <f>(J934+K934+O934+Q934)</f>
        <v>204.04612476081002</v>
      </c>
      <c r="S934" s="61">
        <f t="shared" si="282"/>
        <v>204.04612476081002</v>
      </c>
      <c r="T934" s="61">
        <f>ABS((R934)/((2*PI()*G934)/60))</f>
        <v>0.27835670892367281</v>
      </c>
      <c r="U934" s="61">
        <f t="shared" si="283"/>
        <v>1</v>
      </c>
      <c r="V934" s="61">
        <f>INDEX(BSFC!$D$4:$AD$26,MATCH(U934,BSFC!$B$4:$B$26,0),MATCH(G934,BSFC!$D$2:$AD$2,0))</f>
        <v>920.25590927999997</v>
      </c>
      <c r="W934" s="61">
        <f t="shared" si="287"/>
        <v>5.2159625576894311E-2</v>
      </c>
      <c r="X934" s="61">
        <f t="shared" si="284"/>
        <v>5.2159625576894311E-2</v>
      </c>
      <c r="Y934" s="61">
        <f t="shared" si="285"/>
        <v>0.16117324303260341</v>
      </c>
      <c r="Z934" s="79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</row>
    <row r="935" spans="1:39" x14ac:dyDescent="0.3">
      <c r="A935" s="55">
        <v>4</v>
      </c>
      <c r="B935" s="61" t="s">
        <v>129</v>
      </c>
      <c r="C935" s="61">
        <f t="shared" si="276"/>
        <v>932</v>
      </c>
      <c r="D935" s="61">
        <f t="shared" si="278"/>
        <v>22.839770000000001</v>
      </c>
      <c r="E935" s="61">
        <v>10.210000000000001</v>
      </c>
      <c r="F935" s="88">
        <f>($C$4/E935)+F934</f>
        <v>119.1089858540916</v>
      </c>
      <c r="G935" s="61">
        <f t="shared" si="277"/>
        <v>7000</v>
      </c>
      <c r="H935" s="61">
        <v>3</v>
      </c>
      <c r="I935" s="88">
        <f>E935-E934</f>
        <v>0</v>
      </c>
      <c r="J935" s="61">
        <f>(0.5*VEHICLE!$C$71*VEHICLE!$C$28*VEHICLE!$C$27*'Drive Cycle'!E935^2)</f>
        <v>92.735978760809999</v>
      </c>
      <c r="K935" s="61">
        <f>IF(A935=1,VEHICLE!$S$5,IF(A935=2,VEHICLE!$Q$5,IF(A935=3,VEHICLE!$R$5,IF(A935=4,VEHICLE!$P$5,1))))</f>
        <v>111.31014600000002</v>
      </c>
      <c r="L935" s="61">
        <v>0</v>
      </c>
      <c r="M935" s="61">
        <f t="shared" si="286"/>
        <v>0</v>
      </c>
      <c r="N935" s="61">
        <f t="shared" si="279"/>
        <v>0</v>
      </c>
      <c r="O935" s="61">
        <f t="shared" si="280"/>
        <v>0</v>
      </c>
      <c r="P935" s="61">
        <f t="shared" si="281"/>
        <v>204.04612476081002</v>
      </c>
      <c r="Q935" s="61">
        <f>IF(H935=1,I935*VEHICLE!$C$69,IF(H935=2,VEHICLE!$C$70*I935,IF(H935=3,VEHICLE!$C$71*I935,0)))</f>
        <v>0</v>
      </c>
      <c r="R935" s="61">
        <f>(J935+K935+O935+Q935)</f>
        <v>204.04612476081002</v>
      </c>
      <c r="S935" s="61">
        <f t="shared" si="282"/>
        <v>204.04612476081002</v>
      </c>
      <c r="T935" s="61">
        <f>ABS((R935)/((2*PI()*G935)/60))</f>
        <v>0.27835670892367281</v>
      </c>
      <c r="U935" s="61">
        <f t="shared" si="283"/>
        <v>1</v>
      </c>
      <c r="V935" s="61">
        <f>INDEX(BSFC!$D$4:$AD$26,MATCH(U935,BSFC!$B$4:$B$26,0),MATCH(G935,BSFC!$D$2:$AD$2,0))</f>
        <v>920.25590927999997</v>
      </c>
      <c r="W935" s="61">
        <f t="shared" si="287"/>
        <v>5.2159625576894311E-2</v>
      </c>
      <c r="X935" s="61">
        <f t="shared" si="284"/>
        <v>5.2159625576894311E-2</v>
      </c>
      <c r="Y935" s="61">
        <f t="shared" si="285"/>
        <v>0.16117324303260341</v>
      </c>
      <c r="Z935" s="79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</row>
    <row r="936" spans="1:39" x14ac:dyDescent="0.3">
      <c r="A936" s="55">
        <v>4</v>
      </c>
      <c r="B936" s="61" t="s">
        <v>129</v>
      </c>
      <c r="C936" s="61">
        <f t="shared" ref="C936:C999" si="288">C935+1</f>
        <v>933</v>
      </c>
      <c r="D936" s="61">
        <f t="shared" si="278"/>
        <v>22.839770000000001</v>
      </c>
      <c r="E936" s="61">
        <v>10.210000000000001</v>
      </c>
      <c r="F936" s="88">
        <f>($C$4/E936)+F935</f>
        <v>119.20692904703969</v>
      </c>
      <c r="G936" s="61">
        <f t="shared" si="277"/>
        <v>7000</v>
      </c>
      <c r="H936" s="61">
        <v>3</v>
      </c>
      <c r="I936" s="88">
        <f>E936-E935</f>
        <v>0</v>
      </c>
      <c r="J936" s="61">
        <f>(0.5*VEHICLE!$C$71*VEHICLE!$C$28*VEHICLE!$C$27*'Drive Cycle'!E936^2)</f>
        <v>92.735978760809999</v>
      </c>
      <c r="K936" s="61">
        <f>IF(A936=1,VEHICLE!$S$5,IF(A936=2,VEHICLE!$Q$5,IF(A936=3,VEHICLE!$R$5,IF(A936=4,VEHICLE!$P$5,1))))</f>
        <v>111.31014600000002</v>
      </c>
      <c r="L936" s="61">
        <v>0</v>
      </c>
      <c r="M936" s="61">
        <f t="shared" si="286"/>
        <v>0</v>
      </c>
      <c r="N936" s="61">
        <f t="shared" si="279"/>
        <v>0</v>
      </c>
      <c r="O936" s="61">
        <f t="shared" si="280"/>
        <v>0</v>
      </c>
      <c r="P936" s="61">
        <f t="shared" si="281"/>
        <v>204.04612476081002</v>
      </c>
      <c r="Q936" s="61">
        <f>IF(H936=1,I936*VEHICLE!$C$69,IF(H936=2,VEHICLE!$C$70*I936,IF(H936=3,VEHICLE!$C$71*I936,0)))</f>
        <v>0</v>
      </c>
      <c r="R936" s="61">
        <f>(J936+K936+O936+Q936)</f>
        <v>204.04612476081002</v>
      </c>
      <c r="S936" s="61">
        <f t="shared" si="282"/>
        <v>204.04612476081002</v>
      </c>
      <c r="T936" s="61">
        <f>ABS((R936)/((2*PI()*G936)/60))</f>
        <v>0.27835670892367281</v>
      </c>
      <c r="U936" s="61">
        <f t="shared" si="283"/>
        <v>1</v>
      </c>
      <c r="V936" s="61">
        <f>INDEX(BSFC!$D$4:$AD$26,MATCH(U936,BSFC!$B$4:$B$26,0),MATCH(G936,BSFC!$D$2:$AD$2,0))</f>
        <v>920.25590927999997</v>
      </c>
      <c r="W936" s="61">
        <f t="shared" si="287"/>
        <v>5.2159625576894311E-2</v>
      </c>
      <c r="X936" s="61">
        <f t="shared" si="284"/>
        <v>5.2159625576894311E-2</v>
      </c>
      <c r="Y936" s="61">
        <f t="shared" si="285"/>
        <v>0.16117324303260341</v>
      </c>
      <c r="Z936" s="79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</row>
    <row r="937" spans="1:39" x14ac:dyDescent="0.3">
      <c r="A937" s="55">
        <v>4</v>
      </c>
      <c r="B937" s="61" t="s">
        <v>129</v>
      </c>
      <c r="C937" s="61">
        <f t="shared" si="288"/>
        <v>934</v>
      </c>
      <c r="D937" s="61">
        <f t="shared" si="278"/>
        <v>22.839770000000001</v>
      </c>
      <c r="E937" s="61">
        <v>10.210000000000001</v>
      </c>
      <c r="F937" s="88">
        <f>($C$4/E937)+F936</f>
        <v>119.30487223998779</v>
      </c>
      <c r="G937" s="61">
        <f t="shared" si="277"/>
        <v>7000</v>
      </c>
      <c r="H937" s="61">
        <v>3</v>
      </c>
      <c r="I937" s="88">
        <f>E937-E936</f>
        <v>0</v>
      </c>
      <c r="J937" s="61">
        <f>(0.5*VEHICLE!$C$71*VEHICLE!$C$28*VEHICLE!$C$27*'Drive Cycle'!E937^2)</f>
        <v>92.735978760809999</v>
      </c>
      <c r="K937" s="61">
        <f>IF(A937=1,VEHICLE!$S$5,IF(A937=2,VEHICLE!$Q$5,IF(A937=3,VEHICLE!$R$5,IF(A937=4,VEHICLE!$P$5,1))))</f>
        <v>111.31014600000002</v>
      </c>
      <c r="L937" s="61">
        <v>0</v>
      </c>
      <c r="M937" s="61">
        <f t="shared" si="286"/>
        <v>0</v>
      </c>
      <c r="N937" s="61">
        <f t="shared" si="279"/>
        <v>0</v>
      </c>
      <c r="O937" s="61">
        <f t="shared" si="280"/>
        <v>0</v>
      </c>
      <c r="P937" s="61">
        <f t="shared" si="281"/>
        <v>204.04612476081002</v>
      </c>
      <c r="Q937" s="61">
        <f>IF(H937=1,I937*VEHICLE!$C$69,IF(H937=2,VEHICLE!$C$70*I937,IF(H937=3,VEHICLE!$C$71*I937,0)))</f>
        <v>0</v>
      </c>
      <c r="R937" s="61">
        <f>(J937+K937+O937+Q937)</f>
        <v>204.04612476081002</v>
      </c>
      <c r="S937" s="61">
        <f t="shared" si="282"/>
        <v>204.04612476081002</v>
      </c>
      <c r="T937" s="61">
        <f>ABS((R937)/((2*PI()*G937)/60))</f>
        <v>0.27835670892367281</v>
      </c>
      <c r="U937" s="61">
        <f t="shared" si="283"/>
        <v>1</v>
      </c>
      <c r="V937" s="61">
        <f>INDEX(BSFC!$D$4:$AD$26,MATCH(U937,BSFC!$B$4:$B$26,0),MATCH(G937,BSFC!$D$2:$AD$2,0))</f>
        <v>920.25590927999997</v>
      </c>
      <c r="W937" s="61">
        <f t="shared" si="287"/>
        <v>5.2159625576894311E-2</v>
      </c>
      <c r="X937" s="61">
        <f t="shared" si="284"/>
        <v>5.2159625576894311E-2</v>
      </c>
      <c r="Y937" s="61">
        <f t="shared" si="285"/>
        <v>0.16117324303260341</v>
      </c>
      <c r="Z937" s="79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</row>
    <row r="938" spans="1:39" x14ac:dyDescent="0.3">
      <c r="A938" s="55">
        <v>4</v>
      </c>
      <c r="B938" s="61" t="s">
        <v>129</v>
      </c>
      <c r="C938" s="61">
        <f t="shared" si="288"/>
        <v>935</v>
      </c>
      <c r="D938" s="61">
        <f t="shared" si="278"/>
        <v>23.958270000000002</v>
      </c>
      <c r="E938" s="61">
        <f>E937+0.5</f>
        <v>10.71</v>
      </c>
      <c r="F938" s="88">
        <f>($C$4/E938)+F937</f>
        <v>119.39824292159376</v>
      </c>
      <c r="G938" s="61">
        <v>7000</v>
      </c>
      <c r="H938" s="61">
        <v>3</v>
      </c>
      <c r="I938" s="88">
        <f>E938-E937</f>
        <v>0.5</v>
      </c>
      <c r="J938" s="61">
        <f>(0.5*VEHICLE!$C$71*VEHICLE!$C$28*VEHICLE!$C$27*'Drive Cycle'!E938^2)</f>
        <v>102.04123764681002</v>
      </c>
      <c r="K938" s="61">
        <f>IF(A938=1,VEHICLE!$S$5,IF(A938=2,VEHICLE!$Q$5,IF(A938=3,VEHICLE!$R$5,IF(A938=4,VEHICLE!$P$5,1))))</f>
        <v>111.31014600000002</v>
      </c>
      <c r="L938" s="61">
        <v>0</v>
      </c>
      <c r="M938" s="61">
        <f t="shared" si="286"/>
        <v>0</v>
      </c>
      <c r="N938" s="61">
        <f t="shared" si="279"/>
        <v>0</v>
      </c>
      <c r="O938" s="61">
        <f t="shared" si="280"/>
        <v>0</v>
      </c>
      <c r="P938" s="61">
        <f t="shared" si="281"/>
        <v>213.35138364681004</v>
      </c>
      <c r="Q938" s="61">
        <f>IF(H938=1,I938*VEHICLE!$C$69,IF(H938=2,VEHICLE!$C$70*I938,IF(H938=3,VEHICLE!$C$71*I938,0)))</f>
        <v>0.58350000000000002</v>
      </c>
      <c r="R938" s="61">
        <f>(J938+K938+O938+Q938)</f>
        <v>213.93488364681002</v>
      </c>
      <c r="S938" s="61">
        <f t="shared" si="282"/>
        <v>213.93488364681002</v>
      </c>
      <c r="T938" s="61">
        <f>ABS((R938)/((2*PI()*G938)/60))</f>
        <v>0.29184680770439403</v>
      </c>
      <c r="U938" s="61">
        <f t="shared" si="283"/>
        <v>1</v>
      </c>
      <c r="V938" s="61">
        <f>INDEX(BSFC!$D$4:$AD$26,MATCH(U938,BSFC!$B$4:$B$26,0),MATCH(G938,BSFC!$D$2:$AD$2,0))</f>
        <v>920.25590927999997</v>
      </c>
      <c r="W938" s="61">
        <f t="shared" si="287"/>
        <v>5.468745579919615E-2</v>
      </c>
      <c r="X938" s="61">
        <f t="shared" si="284"/>
        <v>5.468745579919615E-2</v>
      </c>
      <c r="Y938" s="61">
        <f t="shared" si="285"/>
        <v>0.1689842384195161</v>
      </c>
      <c r="Z938" s="79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</row>
    <row r="939" spans="1:39" x14ac:dyDescent="0.3">
      <c r="A939" s="55">
        <v>4</v>
      </c>
      <c r="B939" s="61" t="s">
        <v>129</v>
      </c>
      <c r="C939" s="61">
        <f t="shared" si="288"/>
        <v>936</v>
      </c>
      <c r="D939" s="61">
        <f t="shared" si="278"/>
        <v>25.076770000000003</v>
      </c>
      <c r="E939" s="61">
        <f t="shared" ref="E939:E943" si="289">E938+0.5</f>
        <v>11.21</v>
      </c>
      <c r="F939" s="88">
        <f>($C$4/E939)+F938</f>
        <v>119.48744898760626</v>
      </c>
      <c r="G939" s="61">
        <f>G938</f>
        <v>7000</v>
      </c>
      <c r="H939" s="61">
        <v>3</v>
      </c>
      <c r="I939" s="88">
        <f>E939-E938</f>
        <v>0.5</v>
      </c>
      <c r="J939" s="61">
        <f>(0.5*VEHICLE!$C$71*VEHICLE!$C$28*VEHICLE!$C$27*'Drive Cycle'!E939^2)</f>
        <v>111.79129858281</v>
      </c>
      <c r="K939" s="61">
        <f>IF(A939=1,VEHICLE!$S$5,IF(A939=2,VEHICLE!$Q$5,IF(A939=3,VEHICLE!$R$5,IF(A939=4,VEHICLE!$P$5,1))))</f>
        <v>111.31014600000002</v>
      </c>
      <c r="L939" s="61">
        <v>0</v>
      </c>
      <c r="M939" s="61">
        <f t="shared" si="286"/>
        <v>0</v>
      </c>
      <c r="N939" s="61">
        <f t="shared" si="279"/>
        <v>0</v>
      </c>
      <c r="O939" s="61">
        <f t="shared" si="280"/>
        <v>0</v>
      </c>
      <c r="P939" s="61">
        <f t="shared" si="281"/>
        <v>223.10144458281002</v>
      </c>
      <c r="Q939" s="61">
        <f>IF(H939=1,I939*VEHICLE!$C$69,IF(H939=2,VEHICLE!$C$70*I939,IF(H939=3,VEHICLE!$C$71*I939,0)))</f>
        <v>0.58350000000000002</v>
      </c>
      <c r="R939" s="61">
        <f>(J939+K939+O939+Q939)</f>
        <v>223.68494458281</v>
      </c>
      <c r="S939" s="61">
        <f t="shared" si="282"/>
        <v>223.68494458281</v>
      </c>
      <c r="T939" s="61">
        <f>ABS((R939)/((2*PI()*G939)/60))</f>
        <v>0.30514769679077908</v>
      </c>
      <c r="U939" s="61">
        <f t="shared" si="283"/>
        <v>1</v>
      </c>
      <c r="V939" s="61">
        <f>INDEX(BSFC!$D$4:$AD$26,MATCH(U939,BSFC!$B$4:$B$26,0),MATCH(G939,BSFC!$D$2:$AD$2,0))</f>
        <v>920.25590927999997</v>
      </c>
      <c r="W939" s="61">
        <f t="shared" si="287"/>
        <v>5.7179831130361174E-2</v>
      </c>
      <c r="X939" s="61">
        <f t="shared" si="284"/>
        <v>5.7179831130361174E-2</v>
      </c>
      <c r="Y939" s="61">
        <f t="shared" si="285"/>
        <v>0.17668567819281603</v>
      </c>
      <c r="Z939" s="79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</row>
    <row r="940" spans="1:39" x14ac:dyDescent="0.3">
      <c r="A940" s="55">
        <v>4</v>
      </c>
      <c r="B940" s="61" t="s">
        <v>129</v>
      </c>
      <c r="C940" s="61">
        <f t="shared" si="288"/>
        <v>937</v>
      </c>
      <c r="D940" s="61">
        <f t="shared" si="278"/>
        <v>26.195270000000004</v>
      </c>
      <c r="E940" s="61">
        <f t="shared" si="289"/>
        <v>11.71</v>
      </c>
      <c r="F940" s="88">
        <f>($C$4/E940)+F939</f>
        <v>119.57284608410498</v>
      </c>
      <c r="G940" s="61">
        <f t="shared" ref="G940:G972" si="290">G939</f>
        <v>7000</v>
      </c>
      <c r="H940" s="61">
        <v>3</v>
      </c>
      <c r="I940" s="88">
        <f>E940-E939</f>
        <v>0.5</v>
      </c>
      <c r="J940" s="61">
        <f>(0.5*VEHICLE!$C$71*VEHICLE!$C$28*VEHICLE!$C$27*'Drive Cycle'!E940^2)</f>
        <v>121.98616156881</v>
      </c>
      <c r="K940" s="61">
        <f>IF(A940=1,VEHICLE!$S$5,IF(A940=2,VEHICLE!$Q$5,IF(A940=3,VEHICLE!$R$5,IF(A940=4,VEHICLE!$P$5,1))))</f>
        <v>111.31014600000002</v>
      </c>
      <c r="L940" s="61">
        <v>0</v>
      </c>
      <c r="M940" s="61">
        <f t="shared" si="286"/>
        <v>0</v>
      </c>
      <c r="N940" s="61">
        <f t="shared" si="279"/>
        <v>0</v>
      </c>
      <c r="O940" s="61">
        <f t="shared" si="280"/>
        <v>0</v>
      </c>
      <c r="P940" s="61">
        <f t="shared" si="281"/>
        <v>233.29630756881002</v>
      </c>
      <c r="Q940" s="61">
        <f>IF(H940=1,I940*VEHICLE!$C$69,IF(H940=2,VEHICLE!$C$70*I940,IF(H940=3,VEHICLE!$C$71*I940,0)))</f>
        <v>0.58350000000000002</v>
      </c>
      <c r="R940" s="61">
        <f>(J940+K940+O940+Q940)</f>
        <v>233.87980756881001</v>
      </c>
      <c r="S940" s="61">
        <f t="shared" si="282"/>
        <v>233.87980756881001</v>
      </c>
      <c r="T940" s="61">
        <f>ABS((R940)/((2*PI()*G940)/60))</f>
        <v>0.31905537826249192</v>
      </c>
      <c r="U940" s="61">
        <f t="shared" si="283"/>
        <v>1</v>
      </c>
      <c r="V940" s="61">
        <f>INDEX(BSFC!$D$4:$AD$26,MATCH(U940,BSFC!$B$4:$B$26,0),MATCH(G940,BSFC!$D$2:$AD$2,0))</f>
        <v>920.25590927999997</v>
      </c>
      <c r="W940" s="61">
        <f t="shared" si="287"/>
        <v>5.9785909715685183E-2</v>
      </c>
      <c r="X940" s="61">
        <f t="shared" si="284"/>
        <v>5.9785909715685183E-2</v>
      </c>
      <c r="Y940" s="61">
        <f t="shared" si="285"/>
        <v>0.18473846102146721</v>
      </c>
      <c r="Z940" s="79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</row>
    <row r="941" spans="1:39" x14ac:dyDescent="0.3">
      <c r="A941" s="55">
        <v>4</v>
      </c>
      <c r="B941" s="61" t="s">
        <v>129</v>
      </c>
      <c r="C941" s="61">
        <f t="shared" si="288"/>
        <v>938</v>
      </c>
      <c r="D941" s="61">
        <f t="shared" si="278"/>
        <v>27.313770000000002</v>
      </c>
      <c r="E941" s="61">
        <f t="shared" si="289"/>
        <v>12.21</v>
      </c>
      <c r="F941" s="88">
        <f>($C$4/E941)+F940</f>
        <v>119.65474616600507</v>
      </c>
      <c r="G941" s="61">
        <f t="shared" si="290"/>
        <v>7000</v>
      </c>
      <c r="H941" s="61">
        <v>3</v>
      </c>
      <c r="I941" s="88">
        <f>E941-E940</f>
        <v>0.5</v>
      </c>
      <c r="J941" s="61">
        <f>(0.5*VEHICLE!$C$71*VEHICLE!$C$28*VEHICLE!$C$27*'Drive Cycle'!E941^2)</f>
        <v>132.62582660481002</v>
      </c>
      <c r="K941" s="61">
        <f>IF(A941=1,VEHICLE!$S$5,IF(A941=2,VEHICLE!$Q$5,IF(A941=3,VEHICLE!$R$5,IF(A941=4,VEHICLE!$P$5,1))))</f>
        <v>111.31014600000002</v>
      </c>
      <c r="L941" s="61">
        <v>0</v>
      </c>
      <c r="M941" s="61">
        <f t="shared" si="286"/>
        <v>0</v>
      </c>
      <c r="N941" s="61">
        <f t="shared" si="279"/>
        <v>0</v>
      </c>
      <c r="O941" s="61">
        <f t="shared" si="280"/>
        <v>0</v>
      </c>
      <c r="P941" s="61">
        <f t="shared" si="281"/>
        <v>243.93597260481005</v>
      </c>
      <c r="Q941" s="61">
        <f>IF(H941=1,I941*VEHICLE!$C$69,IF(H941=2,VEHICLE!$C$70*I941,IF(H941=3,VEHICLE!$C$71*I941,0)))</f>
        <v>0.58350000000000002</v>
      </c>
      <c r="R941" s="61">
        <f>(J941+K941+O941+Q941)</f>
        <v>244.51947260481003</v>
      </c>
      <c r="S941" s="61">
        <f t="shared" si="282"/>
        <v>244.51947260481003</v>
      </c>
      <c r="T941" s="61">
        <f>ABS((R941)/((2*PI()*G941)/60))</f>
        <v>0.33356985211953261</v>
      </c>
      <c r="U941" s="61">
        <f t="shared" si="283"/>
        <v>1</v>
      </c>
      <c r="V941" s="61">
        <f>INDEX(BSFC!$D$4:$AD$26,MATCH(U941,BSFC!$B$4:$B$26,0),MATCH(G941,BSFC!$D$2:$AD$2,0))</f>
        <v>920.25590927999997</v>
      </c>
      <c r="W941" s="61">
        <f t="shared" si="287"/>
        <v>6.2505691555168191E-2</v>
      </c>
      <c r="X941" s="61">
        <f t="shared" si="284"/>
        <v>6.2505691555168191E-2</v>
      </c>
      <c r="Y941" s="61">
        <f t="shared" si="285"/>
        <v>0.1931425869054697</v>
      </c>
      <c r="Z941" s="79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</row>
    <row r="942" spans="1:39" x14ac:dyDescent="0.3">
      <c r="A942" s="55">
        <v>4</v>
      </c>
      <c r="B942" s="62" t="s">
        <v>114</v>
      </c>
      <c r="C942" s="62">
        <f t="shared" si="288"/>
        <v>939</v>
      </c>
      <c r="D942" s="62">
        <f t="shared" si="278"/>
        <v>28.432270000000003</v>
      </c>
      <c r="E942" s="62">
        <f t="shared" si="289"/>
        <v>12.71</v>
      </c>
      <c r="F942" s="87">
        <f>($C$4/E942)+F941</f>
        <v>119.73342437214197</v>
      </c>
      <c r="G942" s="62">
        <f t="shared" si="290"/>
        <v>7000</v>
      </c>
      <c r="H942" s="62">
        <v>3</v>
      </c>
      <c r="I942" s="87">
        <f>E942-E941</f>
        <v>0.5</v>
      </c>
      <c r="J942" s="62">
        <f>(0.5*VEHICLE!$C$71*VEHICLE!$C$28*VEHICLE!$C$27*'Drive Cycle'!E942^2)</f>
        <v>143.71029369081</v>
      </c>
      <c r="K942" s="62">
        <f>IF(A942=1,VEHICLE!$S$5,IF(A942=2,VEHICLE!$Q$5,IF(A942=3,VEHICLE!$R$5,IF(A942=4,VEHICLE!$P$5,1))))</f>
        <v>111.31014600000002</v>
      </c>
      <c r="L942" s="62">
        <v>0</v>
      </c>
      <c r="M942" s="62">
        <f t="shared" si="286"/>
        <v>0</v>
      </c>
      <c r="N942" s="62">
        <f t="shared" si="279"/>
        <v>0</v>
      </c>
      <c r="O942" s="62">
        <f t="shared" si="280"/>
        <v>0</v>
      </c>
      <c r="P942" s="62">
        <f t="shared" si="281"/>
        <v>255.02043969081001</v>
      </c>
      <c r="Q942" s="62">
        <f>IF(H942=1,I942*VEHICLE!$C$69,IF(H942=2,VEHICLE!$C$70*I942,IF(H942=3,VEHICLE!$C$71*I942,0)))</f>
        <v>0.58350000000000002</v>
      </c>
      <c r="R942" s="62">
        <f>(J942+K942+O942+Q942)</f>
        <v>255.60393969080999</v>
      </c>
      <c r="S942" s="62">
        <f t="shared" si="282"/>
        <v>255.60393969080999</v>
      </c>
      <c r="T942" s="62">
        <f>ABS((R942)/((2*PI()*G942)/60))</f>
        <v>0.34869111836190103</v>
      </c>
      <c r="U942" s="62">
        <f t="shared" si="283"/>
        <v>1</v>
      </c>
      <c r="V942" s="62">
        <f>INDEX(BSFC!$D$4:$AD$26,MATCH(U942,BSFC!$B$4:$B$26,0),MATCH(G942,BSFC!$D$2:$AD$2,0))</f>
        <v>920.25590927999997</v>
      </c>
      <c r="W942" s="62">
        <f t="shared" si="287"/>
        <v>6.5339176648810171E-2</v>
      </c>
      <c r="X942" s="62">
        <f t="shared" si="284"/>
        <v>6.5339176648810171E-2</v>
      </c>
      <c r="Y942" s="62">
        <f t="shared" si="285"/>
        <v>0.20189805584482343</v>
      </c>
      <c r="Z942" s="79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</row>
    <row r="943" spans="1:39" x14ac:dyDescent="0.3">
      <c r="A943" s="55">
        <v>4</v>
      </c>
      <c r="B943" s="62" t="s">
        <v>114</v>
      </c>
      <c r="C943" s="62">
        <f t="shared" si="288"/>
        <v>940</v>
      </c>
      <c r="D943" s="62">
        <f t="shared" si="278"/>
        <v>29.550770000000004</v>
      </c>
      <c r="E943" s="62">
        <f t="shared" si="289"/>
        <v>13.21</v>
      </c>
      <c r="F943" s="87">
        <f>($C$4/E943)+F942</f>
        <v>119.80912459924265</v>
      </c>
      <c r="G943" s="62">
        <f t="shared" si="290"/>
        <v>7000</v>
      </c>
      <c r="H943" s="62">
        <v>3</v>
      </c>
      <c r="I943" s="87">
        <f>E943-E942</f>
        <v>0.5</v>
      </c>
      <c r="J943" s="62">
        <f>(0.5*VEHICLE!$C$71*VEHICLE!$C$28*VEHICLE!$C$27*'Drive Cycle'!E943^2)</f>
        <v>155.23956282681002</v>
      </c>
      <c r="K943" s="62">
        <f>IF(A943=1,VEHICLE!$S$5,IF(A943=2,VEHICLE!$Q$5,IF(A943=3,VEHICLE!$R$5,IF(A943=4,VEHICLE!$P$5,1))))</f>
        <v>111.31014600000002</v>
      </c>
      <c r="L943" s="62">
        <v>0</v>
      </c>
      <c r="M943" s="62">
        <f t="shared" si="286"/>
        <v>0</v>
      </c>
      <c r="N943" s="62">
        <f t="shared" si="279"/>
        <v>0</v>
      </c>
      <c r="O943" s="62">
        <f t="shared" si="280"/>
        <v>0</v>
      </c>
      <c r="P943" s="62">
        <f t="shared" si="281"/>
        <v>266.54970882681005</v>
      </c>
      <c r="Q943" s="62">
        <f>IF(H943=1,I943*VEHICLE!$C$69,IF(H943=2,VEHICLE!$C$70*I943,IF(H943=3,VEHICLE!$C$71*I943,0)))</f>
        <v>0.58350000000000002</v>
      </c>
      <c r="R943" s="62">
        <f>(J943+K943+O943+Q943)</f>
        <v>267.13320882681006</v>
      </c>
      <c r="S943" s="62">
        <f t="shared" si="282"/>
        <v>267.13320882681006</v>
      </c>
      <c r="T943" s="62">
        <f>ABS((R943)/((2*PI()*G943)/60))</f>
        <v>0.3644191769895973</v>
      </c>
      <c r="U943" s="62">
        <f t="shared" si="283"/>
        <v>1</v>
      </c>
      <c r="V943" s="62">
        <f>INDEX(BSFC!$D$4:$AD$26,MATCH(U943,BSFC!$B$4:$B$26,0),MATCH(G943,BSFC!$D$2:$AD$2,0))</f>
        <v>920.25590927999997</v>
      </c>
      <c r="W943" s="62">
        <f t="shared" si="287"/>
        <v>6.8286364996611171E-2</v>
      </c>
      <c r="X943" s="62">
        <f t="shared" si="284"/>
        <v>6.8286364996611171E-2</v>
      </c>
      <c r="Y943" s="62">
        <f t="shared" si="285"/>
        <v>0.21100486783952851</v>
      </c>
      <c r="Z943" s="79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</row>
    <row r="944" spans="1:39" x14ac:dyDescent="0.3">
      <c r="A944" s="55">
        <v>4</v>
      </c>
      <c r="B944" s="62" t="s">
        <v>114</v>
      </c>
      <c r="C944" s="62">
        <f t="shared" si="288"/>
        <v>941</v>
      </c>
      <c r="D944" s="62">
        <f t="shared" si="278"/>
        <v>29.998170000000002</v>
      </c>
      <c r="E944" s="62">
        <v>13.41</v>
      </c>
      <c r="F944" s="87">
        <f>($C$4/E944)+F943</f>
        <v>119.88369581475347</v>
      </c>
      <c r="G944" s="62">
        <f t="shared" si="290"/>
        <v>7000</v>
      </c>
      <c r="H944" s="62">
        <v>3</v>
      </c>
      <c r="I944" s="87">
        <f>E944-E943</f>
        <v>0.19999999999999929</v>
      </c>
      <c r="J944" s="62">
        <f>(0.5*VEHICLE!$C$71*VEHICLE!$C$28*VEHICLE!$C$27*'Drive Cycle'!E944^2)</f>
        <v>159.97581505520998</v>
      </c>
      <c r="K944" s="62">
        <f>IF(A944=1,VEHICLE!$S$5,IF(A944=2,VEHICLE!$Q$5,IF(A944=3,VEHICLE!$R$5,IF(A944=4,VEHICLE!$P$5,1))))</f>
        <v>111.31014600000002</v>
      </c>
      <c r="L944" s="62">
        <v>0</v>
      </c>
      <c r="M944" s="62">
        <f t="shared" si="286"/>
        <v>0</v>
      </c>
      <c r="N944" s="62">
        <f t="shared" si="279"/>
        <v>0</v>
      </c>
      <c r="O944" s="62">
        <f t="shared" si="280"/>
        <v>0</v>
      </c>
      <c r="P944" s="62">
        <f t="shared" si="281"/>
        <v>271.28596105521001</v>
      </c>
      <c r="Q944" s="62">
        <f>IF(H944=1,I944*VEHICLE!$C$69,IF(H944=2,VEHICLE!$C$70*I944,IF(H944=3,VEHICLE!$C$71*I944,0)))</f>
        <v>0.23339999999999919</v>
      </c>
      <c r="R944" s="62">
        <f>(J944+K944+O944+Q944)</f>
        <v>271.51936105521003</v>
      </c>
      <c r="S944" s="62">
        <f t="shared" si="282"/>
        <v>271.51936105521003</v>
      </c>
      <c r="T944" s="62">
        <f>ABS((R944)/((2*PI()*G944)/60))</f>
        <v>0.37040270106076922</v>
      </c>
      <c r="U944" s="62">
        <f t="shared" si="283"/>
        <v>1</v>
      </c>
      <c r="V944" s="62">
        <f>INDEX(BSFC!$D$4:$AD$26,MATCH(U944,BSFC!$B$4:$B$26,0),MATCH(G944,BSFC!$D$2:$AD$2,0))</f>
        <v>920.25590927999997</v>
      </c>
      <c r="W944" s="62">
        <f t="shared" si="287"/>
        <v>6.9407582359718584E-2</v>
      </c>
      <c r="X944" s="62">
        <f t="shared" si="284"/>
        <v>6.9407582359718584E-2</v>
      </c>
      <c r="Y944" s="62">
        <f t="shared" si="285"/>
        <v>0.21446942949153042</v>
      </c>
      <c r="Z944" s="79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</row>
    <row r="945" spans="1:39" x14ac:dyDescent="0.3">
      <c r="A945" s="55">
        <v>4</v>
      </c>
      <c r="B945" s="62" t="s">
        <v>114</v>
      </c>
      <c r="C945" s="62">
        <f t="shared" si="288"/>
        <v>942</v>
      </c>
      <c r="D945" s="62">
        <f t="shared" si="278"/>
        <v>29.998170000000002</v>
      </c>
      <c r="E945" s="62">
        <v>13.41</v>
      </c>
      <c r="F945" s="87">
        <f>($C$4/E945)+F944</f>
        <v>119.95826703026428</v>
      </c>
      <c r="G945" s="62">
        <f t="shared" si="290"/>
        <v>7000</v>
      </c>
      <c r="H945" s="62">
        <v>3</v>
      </c>
      <c r="I945" s="87">
        <f>E945-E944</f>
        <v>0</v>
      </c>
      <c r="J945" s="62">
        <f>(0.5*VEHICLE!$C$71*VEHICLE!$C$28*VEHICLE!$C$27*'Drive Cycle'!E945^2)</f>
        <v>159.97581505520998</v>
      </c>
      <c r="K945" s="62">
        <f>IF(A945=1,VEHICLE!$S$5,IF(A945=2,VEHICLE!$Q$5,IF(A945=3,VEHICLE!$R$5,IF(A945=4,VEHICLE!$P$5,1))))</f>
        <v>111.31014600000002</v>
      </c>
      <c r="L945" s="62">
        <v>0</v>
      </c>
      <c r="M945" s="62">
        <f t="shared" si="286"/>
        <v>0</v>
      </c>
      <c r="N945" s="62">
        <f t="shared" si="279"/>
        <v>0</v>
      </c>
      <c r="O945" s="62">
        <f t="shared" si="280"/>
        <v>0</v>
      </c>
      <c r="P945" s="62">
        <f t="shared" si="281"/>
        <v>271.28596105521001</v>
      </c>
      <c r="Q945" s="62">
        <f>IF(H945=1,I945*VEHICLE!$C$69,IF(H945=2,VEHICLE!$C$70*I945,IF(H945=3,VEHICLE!$C$71*I945,0)))</f>
        <v>0</v>
      </c>
      <c r="R945" s="62">
        <f>(J945+K945+O945+Q945)</f>
        <v>271.28596105521001</v>
      </c>
      <c r="S945" s="62">
        <f t="shared" si="282"/>
        <v>271.28596105521001</v>
      </c>
      <c r="T945" s="62">
        <f>ABS((R945)/((2*PI()*G945)/60))</f>
        <v>0.3700843002289036</v>
      </c>
      <c r="U945" s="62">
        <f t="shared" si="283"/>
        <v>1</v>
      </c>
      <c r="V945" s="62">
        <f>INDEX(BSFC!$D$4:$AD$26,MATCH(U945,BSFC!$B$4:$B$26,0),MATCH(G945,BSFC!$D$2:$AD$2,0))</f>
        <v>920.25590927999997</v>
      </c>
      <c r="W945" s="62">
        <f t="shared" si="287"/>
        <v>6.9347919101600264E-2</v>
      </c>
      <c r="X945" s="62">
        <f t="shared" si="284"/>
        <v>6.9347919101600264E-2</v>
      </c>
      <c r="Y945" s="62">
        <f t="shared" si="285"/>
        <v>0.21428507002394481</v>
      </c>
      <c r="Z945" s="79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</row>
    <row r="946" spans="1:39" x14ac:dyDescent="0.3">
      <c r="A946" s="55">
        <v>4</v>
      </c>
      <c r="B946" s="62" t="s">
        <v>114</v>
      </c>
      <c r="C946" s="62">
        <f t="shared" si="288"/>
        <v>943</v>
      </c>
      <c r="D946" s="62">
        <f t="shared" si="278"/>
        <v>29.998170000000002</v>
      </c>
      <c r="E946" s="62">
        <v>13.41</v>
      </c>
      <c r="F946" s="87">
        <f>($C$4/E946)+F945</f>
        <v>120.0328382457751</v>
      </c>
      <c r="G946" s="62">
        <f t="shared" si="290"/>
        <v>7000</v>
      </c>
      <c r="H946" s="62">
        <v>3</v>
      </c>
      <c r="I946" s="87">
        <f>E946-E945</f>
        <v>0</v>
      </c>
      <c r="J946" s="62">
        <f>(0.5*VEHICLE!$C$71*VEHICLE!$C$28*VEHICLE!$C$27*'Drive Cycle'!E946^2)</f>
        <v>159.97581505520998</v>
      </c>
      <c r="K946" s="62">
        <f>IF(A946=1,VEHICLE!$S$5,IF(A946=2,VEHICLE!$Q$5,IF(A946=3,VEHICLE!$R$5,IF(A946=4,VEHICLE!$P$5,1))))</f>
        <v>111.31014600000002</v>
      </c>
      <c r="L946" s="62">
        <v>0</v>
      </c>
      <c r="M946" s="62">
        <f t="shared" si="286"/>
        <v>0</v>
      </c>
      <c r="N946" s="62">
        <f t="shared" si="279"/>
        <v>0</v>
      </c>
      <c r="O946" s="62">
        <f t="shared" si="280"/>
        <v>0</v>
      </c>
      <c r="P946" s="62">
        <f t="shared" si="281"/>
        <v>271.28596105521001</v>
      </c>
      <c r="Q946" s="62">
        <f>IF(H946=1,I946*VEHICLE!$C$69,IF(H946=2,VEHICLE!$C$70*I946,IF(H946=3,VEHICLE!$C$71*I946,0)))</f>
        <v>0</v>
      </c>
      <c r="R946" s="62">
        <f>(J946+K946+O946+Q946)</f>
        <v>271.28596105521001</v>
      </c>
      <c r="S946" s="62">
        <f t="shared" si="282"/>
        <v>271.28596105521001</v>
      </c>
      <c r="T946" s="62">
        <f>ABS((R946)/((2*PI()*G946)/60))</f>
        <v>0.3700843002289036</v>
      </c>
      <c r="U946" s="62">
        <f t="shared" si="283"/>
        <v>1</v>
      </c>
      <c r="V946" s="62">
        <f>INDEX(BSFC!$D$4:$AD$26,MATCH(U946,BSFC!$B$4:$B$26,0),MATCH(G946,BSFC!$D$2:$AD$2,0))</f>
        <v>920.25590927999997</v>
      </c>
      <c r="W946" s="62">
        <f t="shared" si="287"/>
        <v>6.9347919101600264E-2</v>
      </c>
      <c r="X946" s="62">
        <f t="shared" si="284"/>
        <v>6.9347919101600264E-2</v>
      </c>
      <c r="Y946" s="62">
        <f t="shared" si="285"/>
        <v>0.21428507002394481</v>
      </c>
      <c r="Z946" s="79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</row>
    <row r="947" spans="1:39" x14ac:dyDescent="0.3">
      <c r="A947" s="55">
        <v>4</v>
      </c>
      <c r="B947" s="62" t="s">
        <v>114</v>
      </c>
      <c r="C947" s="62">
        <f t="shared" si="288"/>
        <v>944</v>
      </c>
      <c r="D947" s="62">
        <f t="shared" si="278"/>
        <v>29.998170000000002</v>
      </c>
      <c r="E947" s="62">
        <v>13.41</v>
      </c>
      <c r="F947" s="87">
        <f>($C$4/E947)+F946</f>
        <v>120.10740946128591</v>
      </c>
      <c r="G947" s="62">
        <f t="shared" si="290"/>
        <v>7000</v>
      </c>
      <c r="H947" s="62">
        <v>3</v>
      </c>
      <c r="I947" s="87">
        <f>E947-E946</f>
        <v>0</v>
      </c>
      <c r="J947" s="62">
        <f>(0.5*VEHICLE!$C$71*VEHICLE!$C$28*VEHICLE!$C$27*'Drive Cycle'!E947^2)</f>
        <v>159.97581505520998</v>
      </c>
      <c r="K947" s="62">
        <f>IF(A947=1,VEHICLE!$S$5,IF(A947=2,VEHICLE!$Q$5,IF(A947=3,VEHICLE!$R$5,IF(A947=4,VEHICLE!$P$5,1))))</f>
        <v>111.31014600000002</v>
      </c>
      <c r="L947" s="62">
        <v>0</v>
      </c>
      <c r="M947" s="62">
        <f t="shared" si="286"/>
        <v>0</v>
      </c>
      <c r="N947" s="62">
        <f t="shared" si="279"/>
        <v>0</v>
      </c>
      <c r="O947" s="62">
        <f t="shared" si="280"/>
        <v>0</v>
      </c>
      <c r="P947" s="62">
        <f t="shared" si="281"/>
        <v>271.28596105521001</v>
      </c>
      <c r="Q947" s="62">
        <f>IF(H947=1,I947*VEHICLE!$C$69,IF(H947=2,VEHICLE!$C$70*I947,IF(H947=3,VEHICLE!$C$71*I947,0)))</f>
        <v>0</v>
      </c>
      <c r="R947" s="62">
        <f>(J947+K947+O947+Q947)</f>
        <v>271.28596105521001</v>
      </c>
      <c r="S947" s="62">
        <f t="shared" si="282"/>
        <v>271.28596105521001</v>
      </c>
      <c r="T947" s="62">
        <f>ABS((R947)/((2*PI()*G947)/60))</f>
        <v>0.3700843002289036</v>
      </c>
      <c r="U947" s="62">
        <f t="shared" si="283"/>
        <v>1</v>
      </c>
      <c r="V947" s="62">
        <f>INDEX(BSFC!$D$4:$AD$26,MATCH(U947,BSFC!$B$4:$B$26,0),MATCH(G947,BSFC!$D$2:$AD$2,0))</f>
        <v>920.25590927999997</v>
      </c>
      <c r="W947" s="62">
        <f t="shared" si="287"/>
        <v>6.9347919101600264E-2</v>
      </c>
      <c r="X947" s="62">
        <f t="shared" si="284"/>
        <v>6.9347919101600264E-2</v>
      </c>
      <c r="Y947" s="62">
        <f t="shared" si="285"/>
        <v>0.21428507002394481</v>
      </c>
      <c r="Z947" s="79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</row>
    <row r="948" spans="1:39" x14ac:dyDescent="0.3">
      <c r="A948" s="55">
        <v>4</v>
      </c>
      <c r="B948" s="62" t="s">
        <v>114</v>
      </c>
      <c r="C948" s="62">
        <f t="shared" si="288"/>
        <v>945</v>
      </c>
      <c r="D948" s="62">
        <f t="shared" si="278"/>
        <v>29.998170000000002</v>
      </c>
      <c r="E948" s="62">
        <v>13.41</v>
      </c>
      <c r="F948" s="87">
        <f>($C$4/E948)+F947</f>
        <v>120.18198067679673</v>
      </c>
      <c r="G948" s="62">
        <f t="shared" si="290"/>
        <v>7000</v>
      </c>
      <c r="H948" s="62">
        <v>3</v>
      </c>
      <c r="I948" s="87">
        <f>E948-E947</f>
        <v>0</v>
      </c>
      <c r="J948" s="62">
        <f>(0.5*VEHICLE!$C$71*VEHICLE!$C$28*VEHICLE!$C$27*'Drive Cycle'!E948^2)</f>
        <v>159.97581505520998</v>
      </c>
      <c r="K948" s="62">
        <f>IF(A948=1,VEHICLE!$S$5,IF(A948=2,VEHICLE!$Q$5,IF(A948=3,VEHICLE!$R$5,IF(A948=4,VEHICLE!$P$5,1))))</f>
        <v>111.31014600000002</v>
      </c>
      <c r="L948" s="62">
        <v>0</v>
      </c>
      <c r="M948" s="62">
        <f t="shared" si="286"/>
        <v>0</v>
      </c>
      <c r="N948" s="62">
        <f t="shared" si="279"/>
        <v>0</v>
      </c>
      <c r="O948" s="62">
        <f t="shared" si="280"/>
        <v>0</v>
      </c>
      <c r="P948" s="62">
        <f t="shared" si="281"/>
        <v>271.28596105521001</v>
      </c>
      <c r="Q948" s="62">
        <f>IF(H948=1,I948*VEHICLE!$C$69,IF(H948=2,VEHICLE!$C$70*I948,IF(H948=3,VEHICLE!$C$71*I948,0)))</f>
        <v>0</v>
      </c>
      <c r="R948" s="62">
        <f>(J948+K948+O948+Q948)</f>
        <v>271.28596105521001</v>
      </c>
      <c r="S948" s="62">
        <f t="shared" si="282"/>
        <v>271.28596105521001</v>
      </c>
      <c r="T948" s="62">
        <f>ABS((R948)/((2*PI()*G948)/60))</f>
        <v>0.3700843002289036</v>
      </c>
      <c r="U948" s="62">
        <f t="shared" si="283"/>
        <v>1</v>
      </c>
      <c r="V948" s="62">
        <f>INDEX(BSFC!$D$4:$AD$26,MATCH(U948,BSFC!$B$4:$B$26,0),MATCH(G948,BSFC!$D$2:$AD$2,0))</f>
        <v>920.25590927999997</v>
      </c>
      <c r="W948" s="62">
        <f t="shared" si="287"/>
        <v>6.9347919101600264E-2</v>
      </c>
      <c r="X948" s="62">
        <f t="shared" si="284"/>
        <v>6.9347919101600264E-2</v>
      </c>
      <c r="Y948" s="62">
        <f t="shared" si="285"/>
        <v>0.21428507002394481</v>
      </c>
      <c r="Z948" s="79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</row>
    <row r="949" spans="1:39" x14ac:dyDescent="0.3">
      <c r="A949" s="55">
        <v>4</v>
      </c>
      <c r="B949" s="62" t="s">
        <v>114</v>
      </c>
      <c r="C949" s="62">
        <f t="shared" si="288"/>
        <v>946</v>
      </c>
      <c r="D949" s="62">
        <f t="shared" si="278"/>
        <v>29.998170000000002</v>
      </c>
      <c r="E949" s="62">
        <v>13.41</v>
      </c>
      <c r="F949" s="87">
        <f>($C$4/E949)+F948</f>
        <v>120.25655189230754</v>
      </c>
      <c r="G949" s="62">
        <f t="shared" si="290"/>
        <v>7000</v>
      </c>
      <c r="H949" s="62">
        <v>3</v>
      </c>
      <c r="I949" s="87">
        <f>E949-E948</f>
        <v>0</v>
      </c>
      <c r="J949" s="62">
        <f>(0.5*VEHICLE!$C$71*VEHICLE!$C$28*VEHICLE!$C$27*'Drive Cycle'!E949^2)</f>
        <v>159.97581505520998</v>
      </c>
      <c r="K949" s="62">
        <f>IF(A949=1,VEHICLE!$S$5,IF(A949=2,VEHICLE!$Q$5,IF(A949=3,VEHICLE!$R$5,IF(A949=4,VEHICLE!$P$5,1))))</f>
        <v>111.31014600000002</v>
      </c>
      <c r="L949" s="62">
        <v>0</v>
      </c>
      <c r="M949" s="62">
        <f t="shared" si="286"/>
        <v>0</v>
      </c>
      <c r="N949" s="62">
        <f t="shared" si="279"/>
        <v>0</v>
      </c>
      <c r="O949" s="62">
        <f t="shared" si="280"/>
        <v>0</v>
      </c>
      <c r="P949" s="62">
        <f t="shared" si="281"/>
        <v>271.28596105521001</v>
      </c>
      <c r="Q949" s="62">
        <f>IF(H949=1,I949*VEHICLE!$C$69,IF(H949=2,VEHICLE!$C$70*I949,IF(H949=3,VEHICLE!$C$71*I949,0)))</f>
        <v>0</v>
      </c>
      <c r="R949" s="62">
        <f>(J949+K949+O949+Q949)</f>
        <v>271.28596105521001</v>
      </c>
      <c r="S949" s="62">
        <f t="shared" si="282"/>
        <v>271.28596105521001</v>
      </c>
      <c r="T949" s="62">
        <f>ABS((R949)/((2*PI()*G949)/60))</f>
        <v>0.3700843002289036</v>
      </c>
      <c r="U949" s="62">
        <f t="shared" si="283"/>
        <v>1</v>
      </c>
      <c r="V949" s="62">
        <f>INDEX(BSFC!$D$4:$AD$26,MATCH(U949,BSFC!$B$4:$B$26,0),MATCH(G949,BSFC!$D$2:$AD$2,0))</f>
        <v>920.25590927999997</v>
      </c>
      <c r="W949" s="62">
        <f t="shared" si="287"/>
        <v>6.9347919101600264E-2</v>
      </c>
      <c r="X949" s="62">
        <f t="shared" si="284"/>
        <v>6.9347919101600264E-2</v>
      </c>
      <c r="Y949" s="62">
        <f t="shared" si="285"/>
        <v>0.21428507002394481</v>
      </c>
      <c r="Z949" s="79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</row>
    <row r="950" spans="1:39" x14ac:dyDescent="0.3">
      <c r="A950" s="55">
        <v>4</v>
      </c>
      <c r="B950" s="62" t="s">
        <v>114</v>
      </c>
      <c r="C950" s="62">
        <f t="shared" si="288"/>
        <v>947</v>
      </c>
      <c r="D950" s="62">
        <f t="shared" si="278"/>
        <v>29.998170000000002</v>
      </c>
      <c r="E950" s="62">
        <v>13.41</v>
      </c>
      <c r="F950" s="87">
        <f>($C$4/E950)+F949</f>
        <v>120.33112310781836</v>
      </c>
      <c r="G950" s="62">
        <f t="shared" si="290"/>
        <v>7000</v>
      </c>
      <c r="H950" s="62">
        <v>3</v>
      </c>
      <c r="I950" s="87">
        <f>E950-E949</f>
        <v>0</v>
      </c>
      <c r="J950" s="62">
        <f>(0.5*VEHICLE!$C$71*VEHICLE!$C$28*VEHICLE!$C$27*'Drive Cycle'!E950^2)</f>
        <v>159.97581505520998</v>
      </c>
      <c r="K950" s="62">
        <f>IF(A950=1,VEHICLE!$S$5,IF(A950=2,VEHICLE!$Q$5,IF(A950=3,VEHICLE!$R$5,IF(A950=4,VEHICLE!$P$5,1))))</f>
        <v>111.31014600000002</v>
      </c>
      <c r="L950" s="62">
        <v>0</v>
      </c>
      <c r="M950" s="62">
        <f t="shared" si="286"/>
        <v>0</v>
      </c>
      <c r="N950" s="62">
        <f t="shared" si="279"/>
        <v>0</v>
      </c>
      <c r="O950" s="62">
        <f t="shared" si="280"/>
        <v>0</v>
      </c>
      <c r="P950" s="62">
        <f t="shared" si="281"/>
        <v>271.28596105521001</v>
      </c>
      <c r="Q950" s="62">
        <f>IF(H950=1,I950*VEHICLE!$C$69,IF(H950=2,VEHICLE!$C$70*I950,IF(H950=3,VEHICLE!$C$71*I950,0)))</f>
        <v>0</v>
      </c>
      <c r="R950" s="62">
        <f>(J950+K950+O950+Q950)</f>
        <v>271.28596105521001</v>
      </c>
      <c r="S950" s="62">
        <f t="shared" si="282"/>
        <v>271.28596105521001</v>
      </c>
      <c r="T950" s="62">
        <f>ABS((R950)/((2*PI()*G950)/60))</f>
        <v>0.3700843002289036</v>
      </c>
      <c r="U950" s="62">
        <f t="shared" si="283"/>
        <v>1</v>
      </c>
      <c r="V950" s="62">
        <f>INDEX(BSFC!$D$4:$AD$26,MATCH(U950,BSFC!$B$4:$B$26,0),MATCH(G950,BSFC!$D$2:$AD$2,0))</f>
        <v>920.25590927999997</v>
      </c>
      <c r="W950" s="62">
        <f t="shared" si="287"/>
        <v>6.9347919101600264E-2</v>
      </c>
      <c r="X950" s="62">
        <f t="shared" si="284"/>
        <v>6.9347919101600264E-2</v>
      </c>
      <c r="Y950" s="62">
        <f t="shared" si="285"/>
        <v>0.21428507002394481</v>
      </c>
      <c r="Z950" s="79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</row>
    <row r="951" spans="1:39" x14ac:dyDescent="0.3">
      <c r="A951" s="55">
        <v>4</v>
      </c>
      <c r="B951" s="62" t="s">
        <v>114</v>
      </c>
      <c r="C951" s="62">
        <f t="shared" si="288"/>
        <v>948</v>
      </c>
      <c r="D951" s="62">
        <f t="shared" si="278"/>
        <v>29.998170000000002</v>
      </c>
      <c r="E951" s="62">
        <v>13.41</v>
      </c>
      <c r="F951" s="87">
        <f>($C$4/E951)+F950</f>
        <v>120.40569432332917</v>
      </c>
      <c r="G951" s="62">
        <f t="shared" si="290"/>
        <v>7000</v>
      </c>
      <c r="H951" s="62">
        <v>3</v>
      </c>
      <c r="I951" s="87">
        <f>E951-E950</f>
        <v>0</v>
      </c>
      <c r="J951" s="62">
        <f>(0.5*VEHICLE!$C$71*VEHICLE!$C$28*VEHICLE!$C$27*'Drive Cycle'!E951^2)</f>
        <v>159.97581505520998</v>
      </c>
      <c r="K951" s="62">
        <f>IF(A951=1,VEHICLE!$S$5,IF(A951=2,VEHICLE!$Q$5,IF(A951=3,VEHICLE!$R$5,IF(A951=4,VEHICLE!$P$5,1))))</f>
        <v>111.31014600000002</v>
      </c>
      <c r="L951" s="62">
        <v>0</v>
      </c>
      <c r="M951" s="62">
        <f t="shared" si="286"/>
        <v>0</v>
      </c>
      <c r="N951" s="62">
        <f t="shared" si="279"/>
        <v>0</v>
      </c>
      <c r="O951" s="62">
        <f t="shared" si="280"/>
        <v>0</v>
      </c>
      <c r="P951" s="62">
        <f t="shared" si="281"/>
        <v>271.28596105521001</v>
      </c>
      <c r="Q951" s="62">
        <f>IF(H951=1,I951*VEHICLE!$C$69,IF(H951=2,VEHICLE!$C$70*I951,IF(H951=3,VEHICLE!$C$71*I951,0)))</f>
        <v>0</v>
      </c>
      <c r="R951" s="62">
        <f>(J951+K951+O951+Q951)</f>
        <v>271.28596105521001</v>
      </c>
      <c r="S951" s="62">
        <f t="shared" si="282"/>
        <v>271.28596105521001</v>
      </c>
      <c r="T951" s="62">
        <f>ABS((R951)/((2*PI()*G951)/60))</f>
        <v>0.3700843002289036</v>
      </c>
      <c r="U951" s="62">
        <f t="shared" si="283"/>
        <v>1</v>
      </c>
      <c r="V951" s="62">
        <f>INDEX(BSFC!$D$4:$AD$26,MATCH(U951,BSFC!$B$4:$B$26,0),MATCH(G951,BSFC!$D$2:$AD$2,0))</f>
        <v>920.25590927999997</v>
      </c>
      <c r="W951" s="62">
        <f t="shared" si="287"/>
        <v>6.9347919101600264E-2</v>
      </c>
      <c r="X951" s="62">
        <f t="shared" si="284"/>
        <v>6.9347919101600264E-2</v>
      </c>
      <c r="Y951" s="62">
        <f t="shared" si="285"/>
        <v>0.21428507002394481</v>
      </c>
      <c r="Z951" s="79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</row>
    <row r="952" spans="1:39" x14ac:dyDescent="0.3">
      <c r="A952" s="55">
        <v>4</v>
      </c>
      <c r="B952" s="62" t="s">
        <v>114</v>
      </c>
      <c r="C952" s="62">
        <f t="shared" si="288"/>
        <v>949</v>
      </c>
      <c r="D952" s="62">
        <f t="shared" si="278"/>
        <v>29.998170000000002</v>
      </c>
      <c r="E952" s="62">
        <v>13.41</v>
      </c>
      <c r="F952" s="87">
        <f>($C$4/E952)+F951</f>
        <v>120.48026553883999</v>
      </c>
      <c r="G952" s="62">
        <f t="shared" si="290"/>
        <v>7000</v>
      </c>
      <c r="H952" s="62">
        <v>3</v>
      </c>
      <c r="I952" s="87">
        <f>E952-E951</f>
        <v>0</v>
      </c>
      <c r="J952" s="62">
        <f>(0.5*VEHICLE!$C$71*VEHICLE!$C$28*VEHICLE!$C$27*'Drive Cycle'!E952^2)</f>
        <v>159.97581505520998</v>
      </c>
      <c r="K952" s="62">
        <f>IF(A952=1,VEHICLE!$S$5,IF(A952=2,VEHICLE!$Q$5,IF(A952=3,VEHICLE!$R$5,IF(A952=4,VEHICLE!$P$5,1))))</f>
        <v>111.31014600000002</v>
      </c>
      <c r="L952" s="62">
        <v>0</v>
      </c>
      <c r="M952" s="62">
        <f t="shared" si="286"/>
        <v>0</v>
      </c>
      <c r="N952" s="62">
        <f t="shared" si="279"/>
        <v>0</v>
      </c>
      <c r="O952" s="62">
        <f t="shared" si="280"/>
        <v>0</v>
      </c>
      <c r="P952" s="62">
        <f t="shared" si="281"/>
        <v>271.28596105521001</v>
      </c>
      <c r="Q952" s="62">
        <f>IF(H952=1,I952*VEHICLE!$C$69,IF(H952=2,VEHICLE!$C$70*I952,IF(H952=3,VEHICLE!$C$71*I952,0)))</f>
        <v>0</v>
      </c>
      <c r="R952" s="62">
        <f>(J952+K952+O952+Q952)</f>
        <v>271.28596105521001</v>
      </c>
      <c r="S952" s="62">
        <f t="shared" si="282"/>
        <v>271.28596105521001</v>
      </c>
      <c r="T952" s="62">
        <f>ABS((R952)/((2*PI()*G952)/60))</f>
        <v>0.3700843002289036</v>
      </c>
      <c r="U952" s="62">
        <f t="shared" si="283"/>
        <v>1</v>
      </c>
      <c r="V952" s="62">
        <f>INDEX(BSFC!$D$4:$AD$26,MATCH(U952,BSFC!$B$4:$B$26,0),MATCH(G952,BSFC!$D$2:$AD$2,0))</f>
        <v>920.25590927999997</v>
      </c>
      <c r="W952" s="62">
        <f t="shared" si="287"/>
        <v>6.9347919101600264E-2</v>
      </c>
      <c r="X952" s="62">
        <f t="shared" si="284"/>
        <v>6.9347919101600264E-2</v>
      </c>
      <c r="Y952" s="62">
        <f t="shared" si="285"/>
        <v>0.21428507002394481</v>
      </c>
      <c r="Z952" s="79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</row>
    <row r="953" spans="1:39" x14ac:dyDescent="0.3">
      <c r="A953" s="55">
        <v>4</v>
      </c>
      <c r="B953" s="62" t="s">
        <v>114</v>
      </c>
      <c r="C953" s="62">
        <f t="shared" si="288"/>
        <v>950</v>
      </c>
      <c r="D953" s="62">
        <f t="shared" si="278"/>
        <v>29.998170000000002</v>
      </c>
      <c r="E953" s="62">
        <v>13.41</v>
      </c>
      <c r="F953" s="87">
        <f>($C$4/E953)+F952</f>
        <v>120.5548367543508</v>
      </c>
      <c r="G953" s="62">
        <f t="shared" si="290"/>
        <v>7000</v>
      </c>
      <c r="H953" s="62">
        <v>3</v>
      </c>
      <c r="I953" s="87">
        <f>E953-E952</f>
        <v>0</v>
      </c>
      <c r="J953" s="62">
        <f>(0.5*VEHICLE!$C$71*VEHICLE!$C$28*VEHICLE!$C$27*'Drive Cycle'!E953^2)</f>
        <v>159.97581505520998</v>
      </c>
      <c r="K953" s="62">
        <f>IF(A953=1,VEHICLE!$S$5,IF(A953=2,VEHICLE!$Q$5,IF(A953=3,VEHICLE!$R$5,IF(A953=4,VEHICLE!$P$5,1))))</f>
        <v>111.31014600000002</v>
      </c>
      <c r="L953" s="62">
        <v>0</v>
      </c>
      <c r="M953" s="62">
        <f t="shared" si="286"/>
        <v>0</v>
      </c>
      <c r="N953" s="62">
        <f t="shared" si="279"/>
        <v>0</v>
      </c>
      <c r="O953" s="62">
        <f t="shared" si="280"/>
        <v>0</v>
      </c>
      <c r="P953" s="62">
        <f t="shared" si="281"/>
        <v>271.28596105521001</v>
      </c>
      <c r="Q953" s="62">
        <f>IF(H953=1,I953*VEHICLE!$C$69,IF(H953=2,VEHICLE!$C$70*I953,IF(H953=3,VEHICLE!$C$71*I953,0)))</f>
        <v>0</v>
      </c>
      <c r="R953" s="62">
        <f>(J953+K953+O953+Q953)</f>
        <v>271.28596105521001</v>
      </c>
      <c r="S953" s="62">
        <f t="shared" si="282"/>
        <v>271.28596105521001</v>
      </c>
      <c r="T953" s="62">
        <f>ABS((R953)/((2*PI()*G953)/60))</f>
        <v>0.3700843002289036</v>
      </c>
      <c r="U953" s="62">
        <f t="shared" si="283"/>
        <v>1</v>
      </c>
      <c r="V953" s="62">
        <f>INDEX(BSFC!$D$4:$AD$26,MATCH(U953,BSFC!$B$4:$B$26,0),MATCH(G953,BSFC!$D$2:$AD$2,0))</f>
        <v>920.25590927999997</v>
      </c>
      <c r="W953" s="62">
        <f t="shared" si="287"/>
        <v>6.9347919101600264E-2</v>
      </c>
      <c r="X953" s="62">
        <f t="shared" si="284"/>
        <v>6.9347919101600264E-2</v>
      </c>
      <c r="Y953" s="62">
        <f t="shared" si="285"/>
        <v>0.21428507002394481</v>
      </c>
      <c r="Z953" s="79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</row>
    <row r="954" spans="1:39" x14ac:dyDescent="0.3">
      <c r="A954" s="55">
        <v>4</v>
      </c>
      <c r="B954" s="62" t="s">
        <v>114</v>
      </c>
      <c r="C954" s="62">
        <f t="shared" si="288"/>
        <v>951</v>
      </c>
      <c r="D954" s="62">
        <f t="shared" si="278"/>
        <v>29.998170000000002</v>
      </c>
      <c r="E954" s="62">
        <v>13.41</v>
      </c>
      <c r="F954" s="87">
        <f>($C$4/E954)+F953</f>
        <v>120.62940796986162</v>
      </c>
      <c r="G954" s="62">
        <f t="shared" si="290"/>
        <v>7000</v>
      </c>
      <c r="H954" s="62">
        <v>3</v>
      </c>
      <c r="I954" s="87">
        <f>E954-E953</f>
        <v>0</v>
      </c>
      <c r="J954" s="62">
        <f>(0.5*VEHICLE!$C$71*VEHICLE!$C$28*VEHICLE!$C$27*'Drive Cycle'!E954^2)</f>
        <v>159.97581505520998</v>
      </c>
      <c r="K954" s="62">
        <f>IF(A954=1,VEHICLE!$S$5,IF(A954=2,VEHICLE!$Q$5,IF(A954=3,VEHICLE!$R$5,IF(A954=4,VEHICLE!$P$5,1))))</f>
        <v>111.31014600000002</v>
      </c>
      <c r="L954" s="62">
        <v>0</v>
      </c>
      <c r="M954" s="62">
        <f t="shared" si="286"/>
        <v>0</v>
      </c>
      <c r="N954" s="62">
        <f t="shared" si="279"/>
        <v>0</v>
      </c>
      <c r="O954" s="62">
        <f t="shared" si="280"/>
        <v>0</v>
      </c>
      <c r="P954" s="62">
        <f t="shared" si="281"/>
        <v>271.28596105521001</v>
      </c>
      <c r="Q954" s="62">
        <f>IF(H954=1,I954*VEHICLE!$C$69,IF(H954=2,VEHICLE!$C$70*I954,IF(H954=3,VEHICLE!$C$71*I954,0)))</f>
        <v>0</v>
      </c>
      <c r="R954" s="62">
        <f>(J954+K954+O954+Q954)</f>
        <v>271.28596105521001</v>
      </c>
      <c r="S954" s="62">
        <f t="shared" si="282"/>
        <v>271.28596105521001</v>
      </c>
      <c r="T954" s="62">
        <f>ABS((R954)/((2*PI()*G954)/60))</f>
        <v>0.3700843002289036</v>
      </c>
      <c r="U954" s="62">
        <f t="shared" si="283"/>
        <v>1</v>
      </c>
      <c r="V954" s="62">
        <f>INDEX(BSFC!$D$4:$AD$26,MATCH(U954,BSFC!$B$4:$B$26,0),MATCH(G954,BSFC!$D$2:$AD$2,0))</f>
        <v>920.25590927999997</v>
      </c>
      <c r="W954" s="62">
        <f t="shared" si="287"/>
        <v>6.9347919101600264E-2</v>
      </c>
      <c r="X954" s="62">
        <f t="shared" si="284"/>
        <v>6.9347919101600264E-2</v>
      </c>
      <c r="Y954" s="62">
        <f t="shared" si="285"/>
        <v>0.21428507002394481</v>
      </c>
      <c r="Z954" s="79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</row>
    <row r="955" spans="1:39" x14ac:dyDescent="0.3">
      <c r="A955" s="55">
        <v>4</v>
      </c>
      <c r="B955" s="62" t="s">
        <v>114</v>
      </c>
      <c r="C955" s="62">
        <f t="shared" si="288"/>
        <v>952</v>
      </c>
      <c r="D955" s="62">
        <f t="shared" si="278"/>
        <v>29.998170000000002</v>
      </c>
      <c r="E955" s="62">
        <v>13.41</v>
      </c>
      <c r="F955" s="87">
        <f>($C$4/E955)+F954</f>
        <v>120.70397918537243</v>
      </c>
      <c r="G955" s="62">
        <f t="shared" si="290"/>
        <v>7000</v>
      </c>
      <c r="H955" s="62">
        <v>3</v>
      </c>
      <c r="I955" s="87">
        <f>E955-E954</f>
        <v>0</v>
      </c>
      <c r="J955" s="62">
        <f>(0.5*VEHICLE!$C$71*VEHICLE!$C$28*VEHICLE!$C$27*'Drive Cycle'!E955^2)</f>
        <v>159.97581505520998</v>
      </c>
      <c r="K955" s="62">
        <f>IF(A955=1,VEHICLE!$S$5,IF(A955=2,VEHICLE!$Q$5,IF(A955=3,VEHICLE!$R$5,IF(A955=4,VEHICLE!$P$5,1))))</f>
        <v>111.31014600000002</v>
      </c>
      <c r="L955" s="62">
        <v>0</v>
      </c>
      <c r="M955" s="62">
        <f t="shared" si="286"/>
        <v>0</v>
      </c>
      <c r="N955" s="62">
        <f t="shared" si="279"/>
        <v>0</v>
      </c>
      <c r="O955" s="62">
        <f t="shared" si="280"/>
        <v>0</v>
      </c>
      <c r="P955" s="62">
        <f t="shared" si="281"/>
        <v>271.28596105521001</v>
      </c>
      <c r="Q955" s="62">
        <f>IF(H955=1,I955*VEHICLE!$C$69,IF(H955=2,VEHICLE!$C$70*I955,IF(H955=3,VEHICLE!$C$71*I955,0)))</f>
        <v>0</v>
      </c>
      <c r="R955" s="62">
        <f>(J955+K955+O955+Q955)</f>
        <v>271.28596105521001</v>
      </c>
      <c r="S955" s="62">
        <f t="shared" si="282"/>
        <v>271.28596105521001</v>
      </c>
      <c r="T955" s="62">
        <f>ABS((R955)/((2*PI()*G955)/60))</f>
        <v>0.3700843002289036</v>
      </c>
      <c r="U955" s="62">
        <f t="shared" si="283"/>
        <v>1</v>
      </c>
      <c r="V955" s="62">
        <f>INDEX(BSFC!$D$4:$AD$26,MATCH(U955,BSFC!$B$4:$B$26,0),MATCH(G955,BSFC!$D$2:$AD$2,0))</f>
        <v>920.25590927999997</v>
      </c>
      <c r="W955" s="62">
        <f t="shared" si="287"/>
        <v>6.9347919101600264E-2</v>
      </c>
      <c r="X955" s="62">
        <f t="shared" si="284"/>
        <v>6.9347919101600264E-2</v>
      </c>
      <c r="Y955" s="62">
        <f t="shared" si="285"/>
        <v>0.21428507002394481</v>
      </c>
      <c r="Z955" s="79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</row>
    <row r="956" spans="1:39" x14ac:dyDescent="0.3">
      <c r="A956" s="55">
        <v>4</v>
      </c>
      <c r="B956" s="62" t="s">
        <v>114</v>
      </c>
      <c r="C956" s="62">
        <f t="shared" si="288"/>
        <v>953</v>
      </c>
      <c r="D956" s="62">
        <f t="shared" si="278"/>
        <v>29.998170000000002</v>
      </c>
      <c r="E956" s="62">
        <v>13.41</v>
      </c>
      <c r="F956" s="87">
        <f>($C$4/E956)+F955</f>
        <v>120.77855040088325</v>
      </c>
      <c r="G956" s="62">
        <f t="shared" si="290"/>
        <v>7000</v>
      </c>
      <c r="H956" s="62">
        <v>3</v>
      </c>
      <c r="I956" s="87">
        <f>E956-E955</f>
        <v>0</v>
      </c>
      <c r="J956" s="62">
        <f>(0.5*VEHICLE!$C$71*VEHICLE!$C$28*VEHICLE!$C$27*'Drive Cycle'!E956^2)</f>
        <v>159.97581505520998</v>
      </c>
      <c r="K956" s="62">
        <f>IF(A956=1,VEHICLE!$S$5,IF(A956=2,VEHICLE!$Q$5,IF(A956=3,VEHICLE!$R$5,IF(A956=4,VEHICLE!$P$5,1))))</f>
        <v>111.31014600000002</v>
      </c>
      <c r="L956" s="62">
        <v>0</v>
      </c>
      <c r="M956" s="62">
        <f t="shared" si="286"/>
        <v>0</v>
      </c>
      <c r="N956" s="62">
        <f t="shared" si="279"/>
        <v>0</v>
      </c>
      <c r="O956" s="62">
        <f t="shared" si="280"/>
        <v>0</v>
      </c>
      <c r="P956" s="62">
        <f t="shared" si="281"/>
        <v>271.28596105521001</v>
      </c>
      <c r="Q956" s="62">
        <f>IF(H956=1,I956*VEHICLE!$C$69,IF(H956=2,VEHICLE!$C$70*I956,IF(H956=3,VEHICLE!$C$71*I956,0)))</f>
        <v>0</v>
      </c>
      <c r="R956" s="62">
        <f>(J956+K956+O956+Q956)</f>
        <v>271.28596105521001</v>
      </c>
      <c r="S956" s="62">
        <f t="shared" si="282"/>
        <v>271.28596105521001</v>
      </c>
      <c r="T956" s="62">
        <f>ABS((R956)/((2*PI()*G956)/60))</f>
        <v>0.3700843002289036</v>
      </c>
      <c r="U956" s="62">
        <f t="shared" si="283"/>
        <v>1</v>
      </c>
      <c r="V956" s="62">
        <f>INDEX(BSFC!$D$4:$AD$26,MATCH(U956,BSFC!$B$4:$B$26,0),MATCH(G956,BSFC!$D$2:$AD$2,0))</f>
        <v>920.25590927999997</v>
      </c>
      <c r="W956" s="62">
        <f t="shared" si="287"/>
        <v>6.9347919101600264E-2</v>
      </c>
      <c r="X956" s="62">
        <f t="shared" si="284"/>
        <v>6.9347919101600264E-2</v>
      </c>
      <c r="Y956" s="62">
        <f t="shared" si="285"/>
        <v>0.21428507002394481</v>
      </c>
      <c r="Z956" s="79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</row>
    <row r="957" spans="1:39" x14ac:dyDescent="0.3">
      <c r="A957" s="55">
        <v>4</v>
      </c>
      <c r="B957" s="62" t="s">
        <v>114</v>
      </c>
      <c r="C957" s="62">
        <f t="shared" si="288"/>
        <v>954</v>
      </c>
      <c r="D957" s="62">
        <f t="shared" si="278"/>
        <v>29.998170000000002</v>
      </c>
      <c r="E957" s="62">
        <v>13.41</v>
      </c>
      <c r="F957" s="87">
        <f>($C$4/E957)+F956</f>
        <v>120.85312161639406</v>
      </c>
      <c r="G957" s="62">
        <f t="shared" si="290"/>
        <v>7000</v>
      </c>
      <c r="H957" s="62">
        <v>3</v>
      </c>
      <c r="I957" s="87">
        <f>E957-E956</f>
        <v>0</v>
      </c>
      <c r="J957" s="62">
        <f>(0.5*VEHICLE!$C$71*VEHICLE!$C$28*VEHICLE!$C$27*'Drive Cycle'!E957^2)</f>
        <v>159.97581505520998</v>
      </c>
      <c r="K957" s="62">
        <f>IF(A957=1,VEHICLE!$S$5,IF(A957=2,VEHICLE!$Q$5,IF(A957=3,VEHICLE!$R$5,IF(A957=4,VEHICLE!$P$5,1))))</f>
        <v>111.31014600000002</v>
      </c>
      <c r="L957" s="62">
        <v>0</v>
      </c>
      <c r="M957" s="62">
        <f t="shared" si="286"/>
        <v>0</v>
      </c>
      <c r="N957" s="62">
        <f t="shared" si="279"/>
        <v>0</v>
      </c>
      <c r="O957" s="62">
        <f t="shared" si="280"/>
        <v>0</v>
      </c>
      <c r="P957" s="62">
        <f t="shared" si="281"/>
        <v>271.28596105521001</v>
      </c>
      <c r="Q957" s="62">
        <f>IF(H957=1,I957*VEHICLE!$C$69,IF(H957=2,VEHICLE!$C$70*I957,IF(H957=3,VEHICLE!$C$71*I957,0)))</f>
        <v>0</v>
      </c>
      <c r="R957" s="62">
        <f>(J957+K957+O957+Q957)</f>
        <v>271.28596105521001</v>
      </c>
      <c r="S957" s="62">
        <f t="shared" si="282"/>
        <v>271.28596105521001</v>
      </c>
      <c r="T957" s="62">
        <f>ABS((R957)/((2*PI()*G957)/60))</f>
        <v>0.3700843002289036</v>
      </c>
      <c r="U957" s="62">
        <f t="shared" si="283"/>
        <v>1</v>
      </c>
      <c r="V957" s="62">
        <f>INDEX(BSFC!$D$4:$AD$26,MATCH(U957,BSFC!$B$4:$B$26,0),MATCH(G957,BSFC!$D$2:$AD$2,0))</f>
        <v>920.25590927999997</v>
      </c>
      <c r="W957" s="62">
        <f t="shared" si="287"/>
        <v>6.9347919101600264E-2</v>
      </c>
      <c r="X957" s="62">
        <f t="shared" si="284"/>
        <v>6.9347919101600264E-2</v>
      </c>
      <c r="Y957" s="62">
        <f t="shared" si="285"/>
        <v>0.21428507002394481</v>
      </c>
      <c r="Z957" s="79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</row>
    <row r="958" spans="1:39" x14ac:dyDescent="0.3">
      <c r="A958" s="55">
        <v>4</v>
      </c>
      <c r="B958" s="62" t="s">
        <v>114</v>
      </c>
      <c r="C958" s="62">
        <f t="shared" si="288"/>
        <v>955</v>
      </c>
      <c r="D958" s="62">
        <f t="shared" si="278"/>
        <v>29.998170000000002</v>
      </c>
      <c r="E958" s="62">
        <v>13.41</v>
      </c>
      <c r="F958" s="87">
        <f>($C$4/E958)+F957</f>
        <v>120.92769283190488</v>
      </c>
      <c r="G958" s="62">
        <f t="shared" si="290"/>
        <v>7000</v>
      </c>
      <c r="H958" s="62">
        <v>3</v>
      </c>
      <c r="I958" s="87">
        <f>E958-E957</f>
        <v>0</v>
      </c>
      <c r="J958" s="62">
        <f>(0.5*VEHICLE!$C$71*VEHICLE!$C$28*VEHICLE!$C$27*'Drive Cycle'!E958^2)</f>
        <v>159.97581505520998</v>
      </c>
      <c r="K958" s="62">
        <f>IF(A958=1,VEHICLE!$S$5,IF(A958=2,VEHICLE!$Q$5,IF(A958=3,VEHICLE!$R$5,IF(A958=4,VEHICLE!$P$5,1))))</f>
        <v>111.31014600000002</v>
      </c>
      <c r="L958" s="62">
        <v>0</v>
      </c>
      <c r="M958" s="62">
        <f t="shared" si="286"/>
        <v>0</v>
      </c>
      <c r="N958" s="62">
        <f t="shared" si="279"/>
        <v>0</v>
      </c>
      <c r="O958" s="62">
        <f t="shared" si="280"/>
        <v>0</v>
      </c>
      <c r="P958" s="62">
        <f t="shared" si="281"/>
        <v>271.28596105521001</v>
      </c>
      <c r="Q958" s="62">
        <f>IF(H958=1,I958*VEHICLE!$C$69,IF(H958=2,VEHICLE!$C$70*I958,IF(H958=3,VEHICLE!$C$71*I958,0)))</f>
        <v>0</v>
      </c>
      <c r="R958" s="62">
        <f>(J958+K958+O958+Q958)</f>
        <v>271.28596105521001</v>
      </c>
      <c r="S958" s="62">
        <f t="shared" si="282"/>
        <v>271.28596105521001</v>
      </c>
      <c r="T958" s="62">
        <f>ABS((R958)/((2*PI()*G958)/60))</f>
        <v>0.3700843002289036</v>
      </c>
      <c r="U958" s="62">
        <f t="shared" si="283"/>
        <v>1</v>
      </c>
      <c r="V958" s="62">
        <f>INDEX(BSFC!$D$4:$AD$26,MATCH(U958,BSFC!$B$4:$B$26,0),MATCH(G958,BSFC!$D$2:$AD$2,0))</f>
        <v>920.25590927999997</v>
      </c>
      <c r="W958" s="62">
        <f t="shared" si="287"/>
        <v>6.9347919101600264E-2</v>
      </c>
      <c r="X958" s="62">
        <f t="shared" si="284"/>
        <v>6.9347919101600264E-2</v>
      </c>
      <c r="Y958" s="62">
        <f t="shared" si="285"/>
        <v>0.21428507002394481</v>
      </c>
      <c r="Z958" s="79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</row>
    <row r="959" spans="1:39" x14ac:dyDescent="0.3">
      <c r="A959" s="55">
        <v>4</v>
      </c>
      <c r="B959" s="62" t="s">
        <v>114</v>
      </c>
      <c r="C959" s="62">
        <f t="shared" si="288"/>
        <v>956</v>
      </c>
      <c r="D959" s="62">
        <f t="shared" si="278"/>
        <v>29.998170000000002</v>
      </c>
      <c r="E959" s="62">
        <v>13.41</v>
      </c>
      <c r="F959" s="87">
        <f>($C$4/E959)+F958</f>
        <v>121.00226404741569</v>
      </c>
      <c r="G959" s="62">
        <f t="shared" si="290"/>
        <v>7000</v>
      </c>
      <c r="H959" s="62">
        <v>3</v>
      </c>
      <c r="I959" s="87">
        <f>E959-E958</f>
        <v>0</v>
      </c>
      <c r="J959" s="62">
        <f>(0.5*VEHICLE!$C$71*VEHICLE!$C$28*VEHICLE!$C$27*'Drive Cycle'!E959^2)</f>
        <v>159.97581505520998</v>
      </c>
      <c r="K959" s="62">
        <f>IF(A959=1,VEHICLE!$S$5,IF(A959=2,VEHICLE!$Q$5,IF(A959=3,VEHICLE!$R$5,IF(A959=4,VEHICLE!$P$5,1))))</f>
        <v>111.31014600000002</v>
      </c>
      <c r="L959" s="62">
        <v>0</v>
      </c>
      <c r="M959" s="62">
        <f t="shared" si="286"/>
        <v>0</v>
      </c>
      <c r="N959" s="62">
        <f t="shared" si="279"/>
        <v>0</v>
      </c>
      <c r="O959" s="62">
        <f t="shared" si="280"/>
        <v>0</v>
      </c>
      <c r="P959" s="62">
        <f t="shared" si="281"/>
        <v>271.28596105521001</v>
      </c>
      <c r="Q959" s="62">
        <f>IF(H959=1,I959*VEHICLE!$C$69,IF(H959=2,VEHICLE!$C$70*I959,IF(H959=3,VEHICLE!$C$71*I959,0)))</f>
        <v>0</v>
      </c>
      <c r="R959" s="62">
        <f>(J959+K959+O959+Q959)</f>
        <v>271.28596105521001</v>
      </c>
      <c r="S959" s="62">
        <f t="shared" si="282"/>
        <v>271.28596105521001</v>
      </c>
      <c r="T959" s="62">
        <f>ABS((R959)/((2*PI()*G959)/60))</f>
        <v>0.3700843002289036</v>
      </c>
      <c r="U959" s="62">
        <f t="shared" si="283"/>
        <v>1</v>
      </c>
      <c r="V959" s="62">
        <f>INDEX(BSFC!$D$4:$AD$26,MATCH(U959,BSFC!$B$4:$B$26,0),MATCH(G959,BSFC!$D$2:$AD$2,0))</f>
        <v>920.25590927999997</v>
      </c>
      <c r="W959" s="62">
        <f t="shared" si="287"/>
        <v>6.9347919101600264E-2</v>
      </c>
      <c r="X959" s="62">
        <f t="shared" si="284"/>
        <v>6.9347919101600264E-2</v>
      </c>
      <c r="Y959" s="62">
        <f t="shared" si="285"/>
        <v>0.21428507002394481</v>
      </c>
      <c r="Z959" s="79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</row>
    <row r="960" spans="1:39" x14ac:dyDescent="0.3">
      <c r="A960" s="55">
        <v>4</v>
      </c>
      <c r="B960" s="62" t="s">
        <v>114</v>
      </c>
      <c r="C960" s="62">
        <f t="shared" si="288"/>
        <v>957</v>
      </c>
      <c r="D960" s="62">
        <f t="shared" si="278"/>
        <v>29.998170000000002</v>
      </c>
      <c r="E960" s="62">
        <v>13.41</v>
      </c>
      <c r="F960" s="87">
        <f>($C$4/E960)+F959</f>
        <v>121.07683526292651</v>
      </c>
      <c r="G960" s="62">
        <f t="shared" si="290"/>
        <v>7000</v>
      </c>
      <c r="H960" s="62">
        <v>3</v>
      </c>
      <c r="I960" s="87">
        <f>E960-E959</f>
        <v>0</v>
      </c>
      <c r="J960" s="62">
        <f>(0.5*VEHICLE!$C$71*VEHICLE!$C$28*VEHICLE!$C$27*'Drive Cycle'!E960^2)</f>
        <v>159.97581505520998</v>
      </c>
      <c r="K960" s="62">
        <f>IF(A960=1,VEHICLE!$S$5,IF(A960=2,VEHICLE!$Q$5,IF(A960=3,VEHICLE!$R$5,IF(A960=4,VEHICLE!$P$5,1))))</f>
        <v>111.31014600000002</v>
      </c>
      <c r="L960" s="62">
        <v>0</v>
      </c>
      <c r="M960" s="62">
        <f t="shared" si="286"/>
        <v>0</v>
      </c>
      <c r="N960" s="62">
        <f t="shared" si="279"/>
        <v>0</v>
      </c>
      <c r="O960" s="62">
        <f t="shared" si="280"/>
        <v>0</v>
      </c>
      <c r="P960" s="62">
        <f t="shared" si="281"/>
        <v>271.28596105521001</v>
      </c>
      <c r="Q960" s="62">
        <f>IF(H960=1,I960*VEHICLE!$C$69,IF(H960=2,VEHICLE!$C$70*I960,IF(H960=3,VEHICLE!$C$71*I960,0)))</f>
        <v>0</v>
      </c>
      <c r="R960" s="62">
        <f>(J960+K960+O960+Q960)</f>
        <v>271.28596105521001</v>
      </c>
      <c r="S960" s="62">
        <f t="shared" si="282"/>
        <v>271.28596105521001</v>
      </c>
      <c r="T960" s="62">
        <f>ABS((R960)/((2*PI()*G960)/60))</f>
        <v>0.3700843002289036</v>
      </c>
      <c r="U960" s="62">
        <f t="shared" si="283"/>
        <v>1</v>
      </c>
      <c r="V960" s="62">
        <f>INDEX(BSFC!$D$4:$AD$26,MATCH(U960,BSFC!$B$4:$B$26,0),MATCH(G960,BSFC!$D$2:$AD$2,0))</f>
        <v>920.25590927999997</v>
      </c>
      <c r="W960" s="62">
        <f t="shared" si="287"/>
        <v>6.9347919101600264E-2</v>
      </c>
      <c r="X960" s="62">
        <f t="shared" si="284"/>
        <v>6.9347919101600264E-2</v>
      </c>
      <c r="Y960" s="62">
        <f t="shared" si="285"/>
        <v>0.21428507002394481</v>
      </c>
      <c r="Z960" s="79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</row>
    <row r="961" spans="1:39" x14ac:dyDescent="0.3">
      <c r="A961" s="55">
        <v>4</v>
      </c>
      <c r="B961" s="62" t="s">
        <v>114</v>
      </c>
      <c r="C961" s="62">
        <f t="shared" si="288"/>
        <v>958</v>
      </c>
      <c r="D961" s="62">
        <f t="shared" si="278"/>
        <v>29.998170000000002</v>
      </c>
      <c r="E961" s="62">
        <v>13.41</v>
      </c>
      <c r="F961" s="87">
        <f>($C$4/E961)+F960</f>
        <v>121.15140647843732</v>
      </c>
      <c r="G961" s="62">
        <f t="shared" si="290"/>
        <v>7000</v>
      </c>
      <c r="H961" s="62">
        <v>3</v>
      </c>
      <c r="I961" s="87">
        <f>E961-E960</f>
        <v>0</v>
      </c>
      <c r="J961" s="62">
        <f>(0.5*VEHICLE!$C$71*VEHICLE!$C$28*VEHICLE!$C$27*'Drive Cycle'!E961^2)</f>
        <v>159.97581505520998</v>
      </c>
      <c r="K961" s="62">
        <f>IF(A961=1,VEHICLE!$S$5,IF(A961=2,VEHICLE!$Q$5,IF(A961=3,VEHICLE!$R$5,IF(A961=4,VEHICLE!$P$5,1))))</f>
        <v>111.31014600000002</v>
      </c>
      <c r="L961" s="62">
        <v>0</v>
      </c>
      <c r="M961" s="62">
        <f t="shared" si="286"/>
        <v>0</v>
      </c>
      <c r="N961" s="62">
        <f t="shared" si="279"/>
        <v>0</v>
      </c>
      <c r="O961" s="62">
        <f t="shared" si="280"/>
        <v>0</v>
      </c>
      <c r="P961" s="62">
        <f t="shared" si="281"/>
        <v>271.28596105521001</v>
      </c>
      <c r="Q961" s="62">
        <f>IF(H961=1,I961*VEHICLE!$C$69,IF(H961=2,VEHICLE!$C$70*I961,IF(H961=3,VEHICLE!$C$71*I961,0)))</f>
        <v>0</v>
      </c>
      <c r="R961" s="62">
        <f>(J961+K961+O961+Q961)</f>
        <v>271.28596105521001</v>
      </c>
      <c r="S961" s="62">
        <f t="shared" si="282"/>
        <v>271.28596105521001</v>
      </c>
      <c r="T961" s="62">
        <f>ABS((R961)/((2*PI()*G961)/60))</f>
        <v>0.3700843002289036</v>
      </c>
      <c r="U961" s="62">
        <f t="shared" si="283"/>
        <v>1</v>
      </c>
      <c r="V961" s="62">
        <f>INDEX(BSFC!$D$4:$AD$26,MATCH(U961,BSFC!$B$4:$B$26,0),MATCH(G961,BSFC!$D$2:$AD$2,0))</f>
        <v>920.25590927999997</v>
      </c>
      <c r="W961" s="62">
        <f t="shared" si="287"/>
        <v>6.9347919101600264E-2</v>
      </c>
      <c r="X961" s="62">
        <f t="shared" si="284"/>
        <v>6.9347919101600264E-2</v>
      </c>
      <c r="Y961" s="62">
        <f t="shared" si="285"/>
        <v>0.21428507002394481</v>
      </c>
      <c r="Z961" s="79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</row>
    <row r="962" spans="1:39" x14ac:dyDescent="0.3">
      <c r="A962" s="55">
        <v>4</v>
      </c>
      <c r="B962" s="62" t="s">
        <v>114</v>
      </c>
      <c r="C962" s="62">
        <f t="shared" si="288"/>
        <v>959</v>
      </c>
      <c r="D962" s="62">
        <f t="shared" si="278"/>
        <v>29.998170000000002</v>
      </c>
      <c r="E962" s="62">
        <v>13.41</v>
      </c>
      <c r="F962" s="87">
        <f>($C$4/E962)+F961</f>
        <v>121.22597769394814</v>
      </c>
      <c r="G962" s="62">
        <f t="shared" si="290"/>
        <v>7000</v>
      </c>
      <c r="H962" s="62">
        <v>3</v>
      </c>
      <c r="I962" s="87">
        <f>E962-E961</f>
        <v>0</v>
      </c>
      <c r="J962" s="62">
        <f>(0.5*VEHICLE!$C$71*VEHICLE!$C$28*VEHICLE!$C$27*'Drive Cycle'!E962^2)</f>
        <v>159.97581505520998</v>
      </c>
      <c r="K962" s="62">
        <f>IF(A962=1,VEHICLE!$S$5,IF(A962=2,VEHICLE!$Q$5,IF(A962=3,VEHICLE!$R$5,IF(A962=4,VEHICLE!$P$5,1))))</f>
        <v>111.31014600000002</v>
      </c>
      <c r="L962" s="62">
        <v>0</v>
      </c>
      <c r="M962" s="62">
        <f t="shared" si="286"/>
        <v>0</v>
      </c>
      <c r="N962" s="62">
        <f t="shared" si="279"/>
        <v>0</v>
      </c>
      <c r="O962" s="62">
        <f t="shared" si="280"/>
        <v>0</v>
      </c>
      <c r="P962" s="62">
        <f t="shared" si="281"/>
        <v>271.28596105521001</v>
      </c>
      <c r="Q962" s="62">
        <f>IF(H962=1,I962*VEHICLE!$C$69,IF(H962=2,VEHICLE!$C$70*I962,IF(H962=3,VEHICLE!$C$71*I962,0)))</f>
        <v>0</v>
      </c>
      <c r="R962" s="62">
        <f>(J962+K962+O962+Q962)</f>
        <v>271.28596105521001</v>
      </c>
      <c r="S962" s="62">
        <f t="shared" si="282"/>
        <v>271.28596105521001</v>
      </c>
      <c r="T962" s="62">
        <f>ABS((R962)/((2*PI()*G962)/60))</f>
        <v>0.3700843002289036</v>
      </c>
      <c r="U962" s="62">
        <f t="shared" si="283"/>
        <v>1</v>
      </c>
      <c r="V962" s="62">
        <f>INDEX(BSFC!$D$4:$AD$26,MATCH(U962,BSFC!$B$4:$B$26,0),MATCH(G962,BSFC!$D$2:$AD$2,0))</f>
        <v>920.25590927999997</v>
      </c>
      <c r="W962" s="62">
        <f t="shared" si="287"/>
        <v>6.9347919101600264E-2</v>
      </c>
      <c r="X962" s="62">
        <f t="shared" si="284"/>
        <v>6.9347919101600264E-2</v>
      </c>
      <c r="Y962" s="62">
        <f t="shared" si="285"/>
        <v>0.21428507002394481</v>
      </c>
      <c r="Z962" s="79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</row>
    <row r="963" spans="1:39" x14ac:dyDescent="0.3">
      <c r="A963" s="55">
        <v>4</v>
      </c>
      <c r="B963" s="62" t="s">
        <v>114</v>
      </c>
      <c r="C963" s="62">
        <f t="shared" si="288"/>
        <v>960</v>
      </c>
      <c r="D963" s="62">
        <f t="shared" si="278"/>
        <v>29.998170000000002</v>
      </c>
      <c r="E963" s="62">
        <v>13.41</v>
      </c>
      <c r="F963" s="87">
        <f>($C$4/E963)+F962</f>
        <v>121.30054890945895</v>
      </c>
      <c r="G963" s="62">
        <f t="shared" si="290"/>
        <v>7000</v>
      </c>
      <c r="H963" s="62">
        <v>3</v>
      </c>
      <c r="I963" s="87">
        <f>E963-E962</f>
        <v>0</v>
      </c>
      <c r="J963" s="62">
        <f>(0.5*VEHICLE!$C$71*VEHICLE!$C$28*VEHICLE!$C$27*'Drive Cycle'!E963^2)</f>
        <v>159.97581505520998</v>
      </c>
      <c r="K963" s="62">
        <f>IF(A963=1,VEHICLE!$S$5,IF(A963=2,VEHICLE!$Q$5,IF(A963=3,VEHICLE!$R$5,IF(A963=4,VEHICLE!$P$5,1))))</f>
        <v>111.31014600000002</v>
      </c>
      <c r="L963" s="62">
        <v>0</v>
      </c>
      <c r="M963" s="62">
        <f t="shared" si="286"/>
        <v>0</v>
      </c>
      <c r="N963" s="62">
        <f t="shared" si="279"/>
        <v>0</v>
      </c>
      <c r="O963" s="62">
        <f t="shared" si="280"/>
        <v>0</v>
      </c>
      <c r="P963" s="62">
        <f t="shared" si="281"/>
        <v>271.28596105521001</v>
      </c>
      <c r="Q963" s="62">
        <f>IF(H963=1,I963*VEHICLE!$C$69,IF(H963=2,VEHICLE!$C$70*I963,IF(H963=3,VEHICLE!$C$71*I963,0)))</f>
        <v>0</v>
      </c>
      <c r="R963" s="62">
        <f>(J963+K963+O963+Q963)</f>
        <v>271.28596105521001</v>
      </c>
      <c r="S963" s="62">
        <f t="shared" si="282"/>
        <v>271.28596105521001</v>
      </c>
      <c r="T963" s="62">
        <f>ABS((R963)/((2*PI()*G963)/60))</f>
        <v>0.3700843002289036</v>
      </c>
      <c r="U963" s="62">
        <f t="shared" si="283"/>
        <v>1</v>
      </c>
      <c r="V963" s="62">
        <f>INDEX(BSFC!$D$4:$AD$26,MATCH(U963,BSFC!$B$4:$B$26,0),MATCH(G963,BSFC!$D$2:$AD$2,0))</f>
        <v>920.25590927999997</v>
      </c>
      <c r="W963" s="62">
        <f t="shared" si="287"/>
        <v>6.9347919101600264E-2</v>
      </c>
      <c r="X963" s="62">
        <f t="shared" si="284"/>
        <v>6.9347919101600264E-2</v>
      </c>
      <c r="Y963" s="62">
        <f t="shared" si="285"/>
        <v>0.21428507002394481</v>
      </c>
      <c r="Z963" s="79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</row>
    <row r="964" spans="1:39" x14ac:dyDescent="0.3">
      <c r="A964" s="55">
        <v>4</v>
      </c>
      <c r="B964" s="62" t="s">
        <v>114</v>
      </c>
      <c r="C964" s="62">
        <f t="shared" si="288"/>
        <v>961</v>
      </c>
      <c r="D964" s="62">
        <f t="shared" ref="D964:D1027" si="291">E964*2.237</f>
        <v>29.998170000000002</v>
      </c>
      <c r="E964" s="62">
        <v>13.41</v>
      </c>
      <c r="F964" s="87">
        <f>($C$4/E964)+F963</f>
        <v>121.37512012496977</v>
      </c>
      <c r="G964" s="62">
        <f t="shared" si="290"/>
        <v>7000</v>
      </c>
      <c r="H964" s="62">
        <v>3</v>
      </c>
      <c r="I964" s="87">
        <f>E964-E963</f>
        <v>0</v>
      </c>
      <c r="J964" s="62">
        <f>(0.5*VEHICLE!$C$71*VEHICLE!$C$28*VEHICLE!$C$27*'Drive Cycle'!E964^2)</f>
        <v>159.97581505520998</v>
      </c>
      <c r="K964" s="62">
        <f>IF(A964=1,VEHICLE!$S$5,IF(A964=2,VEHICLE!$Q$5,IF(A964=3,VEHICLE!$R$5,IF(A964=4,VEHICLE!$P$5,1))))</f>
        <v>111.31014600000002</v>
      </c>
      <c r="L964" s="62">
        <v>0</v>
      </c>
      <c r="M964" s="62">
        <f t="shared" si="286"/>
        <v>0</v>
      </c>
      <c r="N964" s="62">
        <f t="shared" ref="N964:N1027" si="292">DEGREES(ATAN(M964/$C$4))</f>
        <v>0</v>
      </c>
      <c r="O964" s="62">
        <f t="shared" ref="O964:O1027" si="293">9.81*SIN(RADIANS(N964))*($C$47)</f>
        <v>0</v>
      </c>
      <c r="P964" s="62">
        <f t="shared" ref="P964:P1027" si="294">J964+K964+O964</f>
        <v>271.28596105521001</v>
      </c>
      <c r="Q964" s="62">
        <f>IF(H964=1,I964*VEHICLE!$C$69,IF(H964=2,VEHICLE!$C$70*I964,IF(H964=3,VEHICLE!$C$71*I964,0)))</f>
        <v>0</v>
      </c>
      <c r="R964" s="62">
        <f>(J964+K964+O964+Q964)</f>
        <v>271.28596105521001</v>
      </c>
      <c r="S964" s="62">
        <f t="shared" ref="S964:S1027" si="295">ABS(R964)</f>
        <v>271.28596105521001</v>
      </c>
      <c r="T964" s="62">
        <f>ABS((R964)/((2*PI()*G964)/60))</f>
        <v>0.3700843002289036</v>
      </c>
      <c r="U964" s="62">
        <f t="shared" ref="U964:U1027" si="296">ROUNDUP(T964,0)</f>
        <v>1</v>
      </c>
      <c r="V964" s="62">
        <f>INDEX(BSFC!$D$4:$AD$26,MATCH(U964,BSFC!$B$4:$B$26,0),MATCH(G964,BSFC!$D$2:$AD$2,0))</f>
        <v>920.25590927999997</v>
      </c>
      <c r="W964" s="62">
        <f t="shared" si="287"/>
        <v>6.9347919101600264E-2</v>
      </c>
      <c r="X964" s="62">
        <f t="shared" ref="X964:X1027" si="297">ABS(W964)</f>
        <v>6.9347919101600264E-2</v>
      </c>
      <c r="Y964" s="62">
        <f t="shared" ref="Y964:Y1027" si="298">W964*3.09</f>
        <v>0.21428507002394481</v>
      </c>
      <c r="Z964" s="79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</row>
    <row r="965" spans="1:39" x14ac:dyDescent="0.3">
      <c r="A965" s="55">
        <v>4</v>
      </c>
      <c r="B965" s="62" t="s">
        <v>114</v>
      </c>
      <c r="C965" s="62">
        <f t="shared" si="288"/>
        <v>962</v>
      </c>
      <c r="D965" s="62">
        <f t="shared" si="291"/>
        <v>29.998170000000002</v>
      </c>
      <c r="E965" s="62">
        <v>13.41</v>
      </c>
      <c r="F965" s="87">
        <f>($C$4/E965)+F964</f>
        <v>121.44969134048058</v>
      </c>
      <c r="G965" s="62">
        <f t="shared" si="290"/>
        <v>7000</v>
      </c>
      <c r="H965" s="62">
        <v>3</v>
      </c>
      <c r="I965" s="87">
        <f>E965-E964</f>
        <v>0</v>
      </c>
      <c r="J965" s="62">
        <f>(0.5*VEHICLE!$C$71*VEHICLE!$C$28*VEHICLE!$C$27*'Drive Cycle'!E965^2)</f>
        <v>159.97581505520998</v>
      </c>
      <c r="K965" s="62">
        <f>IF(A965=1,VEHICLE!$S$5,IF(A965=2,VEHICLE!$Q$5,IF(A965=3,VEHICLE!$R$5,IF(A965=4,VEHICLE!$P$5,1))))</f>
        <v>111.31014600000002</v>
      </c>
      <c r="L965" s="62">
        <v>0</v>
      </c>
      <c r="M965" s="62">
        <f t="shared" ref="M965:M1028" si="299">L965-L964</f>
        <v>0</v>
      </c>
      <c r="N965" s="62">
        <f t="shared" si="292"/>
        <v>0</v>
      </c>
      <c r="O965" s="62">
        <f t="shared" si="293"/>
        <v>0</v>
      </c>
      <c r="P965" s="62">
        <f t="shared" si="294"/>
        <v>271.28596105521001</v>
      </c>
      <c r="Q965" s="62">
        <f>IF(H965=1,I965*VEHICLE!$C$69,IF(H965=2,VEHICLE!$C$70*I965,IF(H965=3,VEHICLE!$C$71*I965,0)))</f>
        <v>0</v>
      </c>
      <c r="R965" s="62">
        <f>(J965+K965+O965+Q965)</f>
        <v>271.28596105521001</v>
      </c>
      <c r="S965" s="62">
        <f t="shared" si="295"/>
        <v>271.28596105521001</v>
      </c>
      <c r="T965" s="62">
        <f>ABS((R965)/((2*PI()*G965)/60))</f>
        <v>0.3700843002289036</v>
      </c>
      <c r="U965" s="62">
        <f t="shared" si="296"/>
        <v>1</v>
      </c>
      <c r="V965" s="62">
        <f>INDEX(BSFC!$D$4:$AD$26,MATCH(U965,BSFC!$B$4:$B$26,0),MATCH(G965,BSFC!$D$2:$AD$2,0))</f>
        <v>920.25590927999997</v>
      </c>
      <c r="W965" s="62">
        <f t="shared" ref="W965:W1028" si="300">(R965*V965/3600)/1000</f>
        <v>6.9347919101600264E-2</v>
      </c>
      <c r="X965" s="62">
        <f t="shared" si="297"/>
        <v>6.9347919101600264E-2</v>
      </c>
      <c r="Y965" s="62">
        <f t="shared" si="298"/>
        <v>0.21428507002394481</v>
      </c>
      <c r="Z965" s="79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</row>
    <row r="966" spans="1:39" x14ac:dyDescent="0.3">
      <c r="A966" s="55">
        <v>4</v>
      </c>
      <c r="B966" s="62" t="s">
        <v>114</v>
      </c>
      <c r="C966" s="62">
        <f t="shared" si="288"/>
        <v>963</v>
      </c>
      <c r="D966" s="62">
        <f t="shared" si="291"/>
        <v>29.998170000000002</v>
      </c>
      <c r="E966" s="62">
        <v>13.41</v>
      </c>
      <c r="F966" s="87">
        <f>($C$4/E966)+F965</f>
        <v>121.5242625559914</v>
      </c>
      <c r="G966" s="62">
        <f t="shared" si="290"/>
        <v>7000</v>
      </c>
      <c r="H966" s="62">
        <v>3</v>
      </c>
      <c r="I966" s="87">
        <f>E966-E965</f>
        <v>0</v>
      </c>
      <c r="J966" s="62">
        <f>(0.5*VEHICLE!$C$71*VEHICLE!$C$28*VEHICLE!$C$27*'Drive Cycle'!E966^2)</f>
        <v>159.97581505520998</v>
      </c>
      <c r="K966" s="62">
        <f>IF(A966=1,VEHICLE!$S$5,IF(A966=2,VEHICLE!$Q$5,IF(A966=3,VEHICLE!$R$5,IF(A966=4,VEHICLE!$P$5,1))))</f>
        <v>111.31014600000002</v>
      </c>
      <c r="L966" s="62">
        <v>0</v>
      </c>
      <c r="M966" s="62">
        <f t="shared" si="299"/>
        <v>0</v>
      </c>
      <c r="N966" s="62">
        <f t="shared" si="292"/>
        <v>0</v>
      </c>
      <c r="O966" s="62">
        <f t="shared" si="293"/>
        <v>0</v>
      </c>
      <c r="P966" s="62">
        <f t="shared" si="294"/>
        <v>271.28596105521001</v>
      </c>
      <c r="Q966" s="62">
        <f>IF(H966=1,I966*VEHICLE!$C$69,IF(H966=2,VEHICLE!$C$70*I966,IF(H966=3,VEHICLE!$C$71*I966,0)))</f>
        <v>0</v>
      </c>
      <c r="R966" s="62">
        <f>(J966+K966+O966+Q966)</f>
        <v>271.28596105521001</v>
      </c>
      <c r="S966" s="62">
        <f t="shared" si="295"/>
        <v>271.28596105521001</v>
      </c>
      <c r="T966" s="62">
        <f>ABS((R966)/((2*PI()*G966)/60))</f>
        <v>0.3700843002289036</v>
      </c>
      <c r="U966" s="62">
        <f t="shared" si="296"/>
        <v>1</v>
      </c>
      <c r="V966" s="62">
        <f>INDEX(BSFC!$D$4:$AD$26,MATCH(U966,BSFC!$B$4:$B$26,0),MATCH(G966,BSFC!$D$2:$AD$2,0))</f>
        <v>920.25590927999997</v>
      </c>
      <c r="W966" s="62">
        <f t="shared" si="300"/>
        <v>6.9347919101600264E-2</v>
      </c>
      <c r="X966" s="62">
        <f t="shared" si="297"/>
        <v>6.9347919101600264E-2</v>
      </c>
      <c r="Y966" s="62">
        <f t="shared" si="298"/>
        <v>0.21428507002394481</v>
      </c>
      <c r="Z966" s="79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</row>
    <row r="967" spans="1:39" x14ac:dyDescent="0.3">
      <c r="A967" s="55">
        <v>4</v>
      </c>
      <c r="B967" s="62" t="s">
        <v>114</v>
      </c>
      <c r="C967" s="62">
        <f t="shared" si="288"/>
        <v>964</v>
      </c>
      <c r="D967" s="62">
        <f t="shared" si="291"/>
        <v>29.998170000000002</v>
      </c>
      <c r="E967" s="62">
        <v>13.41</v>
      </c>
      <c r="F967" s="87">
        <f>($C$4/E967)+F966</f>
        <v>121.59883377150221</v>
      </c>
      <c r="G967" s="62">
        <f t="shared" si="290"/>
        <v>7000</v>
      </c>
      <c r="H967" s="62">
        <v>3</v>
      </c>
      <c r="I967" s="87">
        <f>E967-E966</f>
        <v>0</v>
      </c>
      <c r="J967" s="62">
        <f>(0.5*VEHICLE!$C$71*VEHICLE!$C$28*VEHICLE!$C$27*'Drive Cycle'!E967^2)</f>
        <v>159.97581505520998</v>
      </c>
      <c r="K967" s="62">
        <f>IF(A967=1,VEHICLE!$S$5,IF(A967=2,VEHICLE!$Q$5,IF(A967=3,VEHICLE!$R$5,IF(A967=4,VEHICLE!$P$5,1))))</f>
        <v>111.31014600000002</v>
      </c>
      <c r="L967" s="62">
        <v>0</v>
      </c>
      <c r="M967" s="62">
        <f t="shared" si="299"/>
        <v>0</v>
      </c>
      <c r="N967" s="62">
        <f t="shared" si="292"/>
        <v>0</v>
      </c>
      <c r="O967" s="62">
        <f t="shared" si="293"/>
        <v>0</v>
      </c>
      <c r="P967" s="62">
        <f t="shared" si="294"/>
        <v>271.28596105521001</v>
      </c>
      <c r="Q967" s="62">
        <f>IF(H967=1,I967*VEHICLE!$C$69,IF(H967=2,VEHICLE!$C$70*I967,IF(H967=3,VEHICLE!$C$71*I967,0)))</f>
        <v>0</v>
      </c>
      <c r="R967" s="62">
        <f>(J967+K967+O967+Q967)</f>
        <v>271.28596105521001</v>
      </c>
      <c r="S967" s="62">
        <f t="shared" si="295"/>
        <v>271.28596105521001</v>
      </c>
      <c r="T967" s="62">
        <f>ABS((R967)/((2*PI()*G967)/60))</f>
        <v>0.3700843002289036</v>
      </c>
      <c r="U967" s="62">
        <f t="shared" si="296"/>
        <v>1</v>
      </c>
      <c r="V967" s="62">
        <f>INDEX(BSFC!$D$4:$AD$26,MATCH(U967,BSFC!$B$4:$B$26,0),MATCH(G967,BSFC!$D$2:$AD$2,0))</f>
        <v>920.25590927999997</v>
      </c>
      <c r="W967" s="62">
        <f t="shared" si="300"/>
        <v>6.9347919101600264E-2</v>
      </c>
      <c r="X967" s="62">
        <f t="shared" si="297"/>
        <v>6.9347919101600264E-2</v>
      </c>
      <c r="Y967" s="62">
        <f t="shared" si="298"/>
        <v>0.21428507002394481</v>
      </c>
      <c r="Z967" s="79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</row>
    <row r="968" spans="1:39" x14ac:dyDescent="0.3">
      <c r="A968" s="55">
        <v>4</v>
      </c>
      <c r="B968" s="62" t="s">
        <v>114</v>
      </c>
      <c r="C968" s="62">
        <f t="shared" si="288"/>
        <v>965</v>
      </c>
      <c r="D968" s="62">
        <f t="shared" si="291"/>
        <v>29.998170000000002</v>
      </c>
      <c r="E968" s="62">
        <v>13.41</v>
      </c>
      <c r="F968" s="87">
        <f>($C$4/E968)+F967</f>
        <v>121.67340498701303</v>
      </c>
      <c r="G968" s="62">
        <f t="shared" si="290"/>
        <v>7000</v>
      </c>
      <c r="H968" s="62">
        <v>3</v>
      </c>
      <c r="I968" s="87">
        <f>E968-E967</f>
        <v>0</v>
      </c>
      <c r="J968" s="62">
        <f>(0.5*VEHICLE!$C$71*VEHICLE!$C$28*VEHICLE!$C$27*'Drive Cycle'!E968^2)</f>
        <v>159.97581505520998</v>
      </c>
      <c r="K968" s="62">
        <f>IF(A968=1,VEHICLE!$S$5,IF(A968=2,VEHICLE!$Q$5,IF(A968=3,VEHICLE!$R$5,IF(A968=4,VEHICLE!$P$5,1))))</f>
        <v>111.31014600000002</v>
      </c>
      <c r="L968" s="62">
        <v>0</v>
      </c>
      <c r="M968" s="62">
        <f t="shared" si="299"/>
        <v>0</v>
      </c>
      <c r="N968" s="62">
        <f t="shared" si="292"/>
        <v>0</v>
      </c>
      <c r="O968" s="62">
        <f t="shared" si="293"/>
        <v>0</v>
      </c>
      <c r="P968" s="62">
        <f t="shared" si="294"/>
        <v>271.28596105521001</v>
      </c>
      <c r="Q968" s="62">
        <f>IF(H968=1,I968*VEHICLE!$C$69,IF(H968=2,VEHICLE!$C$70*I968,IF(H968=3,VEHICLE!$C$71*I968,0)))</f>
        <v>0</v>
      </c>
      <c r="R968" s="62">
        <f>(J968+K968+O968+Q968)</f>
        <v>271.28596105521001</v>
      </c>
      <c r="S968" s="62">
        <f t="shared" si="295"/>
        <v>271.28596105521001</v>
      </c>
      <c r="T968" s="62">
        <f>ABS((R968)/((2*PI()*G968)/60))</f>
        <v>0.3700843002289036</v>
      </c>
      <c r="U968" s="62">
        <f t="shared" si="296"/>
        <v>1</v>
      </c>
      <c r="V968" s="62">
        <f>INDEX(BSFC!$D$4:$AD$26,MATCH(U968,BSFC!$B$4:$B$26,0),MATCH(G968,BSFC!$D$2:$AD$2,0))</f>
        <v>920.25590927999997</v>
      </c>
      <c r="W968" s="62">
        <f t="shared" si="300"/>
        <v>6.9347919101600264E-2</v>
      </c>
      <c r="X968" s="62">
        <f t="shared" si="297"/>
        <v>6.9347919101600264E-2</v>
      </c>
      <c r="Y968" s="62">
        <f t="shared" si="298"/>
        <v>0.21428507002394481</v>
      </c>
      <c r="Z968" s="79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</row>
    <row r="969" spans="1:39" x14ac:dyDescent="0.3">
      <c r="A969" s="55">
        <v>4</v>
      </c>
      <c r="B969" s="62" t="s">
        <v>114</v>
      </c>
      <c r="C969" s="62">
        <f t="shared" si="288"/>
        <v>966</v>
      </c>
      <c r="D969" s="62">
        <f t="shared" si="291"/>
        <v>29.998170000000002</v>
      </c>
      <c r="E969" s="62">
        <v>13.41</v>
      </c>
      <c r="F969" s="87">
        <f>($C$4/E969)+F968</f>
        <v>121.74797620252384</v>
      </c>
      <c r="G969" s="62">
        <f t="shared" si="290"/>
        <v>7000</v>
      </c>
      <c r="H969" s="62">
        <v>3</v>
      </c>
      <c r="I969" s="87">
        <f>E969-E968</f>
        <v>0</v>
      </c>
      <c r="J969" s="62">
        <f>(0.5*VEHICLE!$C$71*VEHICLE!$C$28*VEHICLE!$C$27*'Drive Cycle'!E969^2)</f>
        <v>159.97581505520998</v>
      </c>
      <c r="K969" s="62">
        <f>IF(A969=1,VEHICLE!$S$5,IF(A969=2,VEHICLE!$Q$5,IF(A969=3,VEHICLE!$R$5,IF(A969=4,VEHICLE!$P$5,1))))</f>
        <v>111.31014600000002</v>
      </c>
      <c r="L969" s="62">
        <v>0</v>
      </c>
      <c r="M969" s="62">
        <f t="shared" si="299"/>
        <v>0</v>
      </c>
      <c r="N969" s="62">
        <f t="shared" si="292"/>
        <v>0</v>
      </c>
      <c r="O969" s="62">
        <f t="shared" si="293"/>
        <v>0</v>
      </c>
      <c r="P969" s="62">
        <f t="shared" si="294"/>
        <v>271.28596105521001</v>
      </c>
      <c r="Q969" s="62">
        <f>IF(H969=1,I969*VEHICLE!$C$69,IF(H969=2,VEHICLE!$C$70*I969,IF(H969=3,VEHICLE!$C$71*I969,0)))</f>
        <v>0</v>
      </c>
      <c r="R969" s="62">
        <f>(J969+K969+O969+Q969)</f>
        <v>271.28596105521001</v>
      </c>
      <c r="S969" s="62">
        <f t="shared" si="295"/>
        <v>271.28596105521001</v>
      </c>
      <c r="T969" s="62">
        <f>ABS((R969)/((2*PI()*G969)/60))</f>
        <v>0.3700843002289036</v>
      </c>
      <c r="U969" s="62">
        <f t="shared" si="296"/>
        <v>1</v>
      </c>
      <c r="V969" s="62">
        <f>INDEX(BSFC!$D$4:$AD$26,MATCH(U969,BSFC!$B$4:$B$26,0),MATCH(G969,BSFC!$D$2:$AD$2,0))</f>
        <v>920.25590927999997</v>
      </c>
      <c r="W969" s="62">
        <f t="shared" si="300"/>
        <v>6.9347919101600264E-2</v>
      </c>
      <c r="X969" s="62">
        <f t="shared" si="297"/>
        <v>6.9347919101600264E-2</v>
      </c>
      <c r="Y969" s="62">
        <f t="shared" si="298"/>
        <v>0.21428507002394481</v>
      </c>
      <c r="Z969" s="79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</row>
    <row r="970" spans="1:39" x14ac:dyDescent="0.3">
      <c r="A970" s="55">
        <v>4</v>
      </c>
      <c r="B970" s="62" t="s">
        <v>114</v>
      </c>
      <c r="C970" s="62">
        <f t="shared" si="288"/>
        <v>967</v>
      </c>
      <c r="D970" s="62">
        <f t="shared" si="291"/>
        <v>29.998170000000002</v>
      </c>
      <c r="E970" s="62">
        <v>13.41</v>
      </c>
      <c r="F970" s="87">
        <f>($C$4/E970)+F969</f>
        <v>121.82254741803466</v>
      </c>
      <c r="G970" s="62">
        <f t="shared" si="290"/>
        <v>7000</v>
      </c>
      <c r="H970" s="62">
        <v>3</v>
      </c>
      <c r="I970" s="87">
        <f>E970-E969</f>
        <v>0</v>
      </c>
      <c r="J970" s="62">
        <f>(0.5*VEHICLE!$C$71*VEHICLE!$C$28*VEHICLE!$C$27*'Drive Cycle'!E970^2)</f>
        <v>159.97581505520998</v>
      </c>
      <c r="K970" s="62">
        <f>IF(A970=1,VEHICLE!$S$5,IF(A970=2,VEHICLE!$Q$5,IF(A970=3,VEHICLE!$R$5,IF(A970=4,VEHICLE!$P$5,1))))</f>
        <v>111.31014600000002</v>
      </c>
      <c r="L970" s="62">
        <v>0</v>
      </c>
      <c r="M970" s="62">
        <f t="shared" si="299"/>
        <v>0</v>
      </c>
      <c r="N970" s="62">
        <f t="shared" si="292"/>
        <v>0</v>
      </c>
      <c r="O970" s="62">
        <f t="shared" si="293"/>
        <v>0</v>
      </c>
      <c r="P970" s="62">
        <f t="shared" si="294"/>
        <v>271.28596105521001</v>
      </c>
      <c r="Q970" s="62">
        <f>IF(H970=1,I970*VEHICLE!$C$69,IF(H970=2,VEHICLE!$C$70*I970,IF(H970=3,VEHICLE!$C$71*I970,0)))</f>
        <v>0</v>
      </c>
      <c r="R970" s="62">
        <f>(J970+K970+O970+Q970)</f>
        <v>271.28596105521001</v>
      </c>
      <c r="S970" s="62">
        <f t="shared" si="295"/>
        <v>271.28596105521001</v>
      </c>
      <c r="T970" s="62">
        <f>ABS((R970)/((2*PI()*G970)/60))</f>
        <v>0.3700843002289036</v>
      </c>
      <c r="U970" s="62">
        <f t="shared" si="296"/>
        <v>1</v>
      </c>
      <c r="V970" s="62">
        <f>INDEX(BSFC!$D$4:$AD$26,MATCH(U970,BSFC!$B$4:$B$26,0),MATCH(G970,BSFC!$D$2:$AD$2,0))</f>
        <v>920.25590927999997</v>
      </c>
      <c r="W970" s="62">
        <f t="shared" si="300"/>
        <v>6.9347919101600264E-2</v>
      </c>
      <c r="X970" s="62">
        <f t="shared" si="297"/>
        <v>6.9347919101600264E-2</v>
      </c>
      <c r="Y970" s="62">
        <f t="shared" si="298"/>
        <v>0.21428507002394481</v>
      </c>
      <c r="Z970" s="79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</row>
    <row r="971" spans="1:39" x14ac:dyDescent="0.3">
      <c r="A971" s="55">
        <v>4</v>
      </c>
      <c r="B971" s="62" t="s">
        <v>114</v>
      </c>
      <c r="C971" s="62">
        <f t="shared" si="288"/>
        <v>968</v>
      </c>
      <c r="D971" s="62">
        <f t="shared" si="291"/>
        <v>29.998170000000002</v>
      </c>
      <c r="E971" s="62">
        <v>13.41</v>
      </c>
      <c r="F971" s="87">
        <f>($C$4/E971)+F970</f>
        <v>121.89711863354547</v>
      </c>
      <c r="G971" s="62">
        <f t="shared" si="290"/>
        <v>7000</v>
      </c>
      <c r="H971" s="62">
        <v>3</v>
      </c>
      <c r="I971" s="87">
        <f>E971-E970</f>
        <v>0</v>
      </c>
      <c r="J971" s="62">
        <f>(0.5*VEHICLE!$C$71*VEHICLE!$C$28*VEHICLE!$C$27*'Drive Cycle'!E971^2)</f>
        <v>159.97581505520998</v>
      </c>
      <c r="K971" s="62">
        <f>IF(A971=1,VEHICLE!$S$5,IF(A971=2,VEHICLE!$Q$5,IF(A971=3,VEHICLE!$R$5,IF(A971=4,VEHICLE!$P$5,1))))</f>
        <v>111.31014600000002</v>
      </c>
      <c r="L971" s="62">
        <v>0</v>
      </c>
      <c r="M971" s="62">
        <f t="shared" si="299"/>
        <v>0</v>
      </c>
      <c r="N971" s="62">
        <f t="shared" si="292"/>
        <v>0</v>
      </c>
      <c r="O971" s="62">
        <f t="shared" si="293"/>
        <v>0</v>
      </c>
      <c r="P971" s="62">
        <f t="shared" si="294"/>
        <v>271.28596105521001</v>
      </c>
      <c r="Q971" s="62">
        <f>IF(H971=1,I971*VEHICLE!$C$69,IF(H971=2,VEHICLE!$C$70*I971,IF(H971=3,VEHICLE!$C$71*I971,0)))</f>
        <v>0</v>
      </c>
      <c r="R971" s="62">
        <f>(J971+K971+O971+Q971)</f>
        <v>271.28596105521001</v>
      </c>
      <c r="S971" s="62">
        <f t="shared" si="295"/>
        <v>271.28596105521001</v>
      </c>
      <c r="T971" s="62">
        <f>ABS((R971)/((2*PI()*G971)/60))</f>
        <v>0.3700843002289036</v>
      </c>
      <c r="U971" s="62">
        <f t="shared" si="296"/>
        <v>1</v>
      </c>
      <c r="V971" s="62">
        <f>INDEX(BSFC!$D$4:$AD$26,MATCH(U971,BSFC!$B$4:$B$26,0),MATCH(G971,BSFC!$D$2:$AD$2,0))</f>
        <v>920.25590927999997</v>
      </c>
      <c r="W971" s="62">
        <f t="shared" si="300"/>
        <v>6.9347919101600264E-2</v>
      </c>
      <c r="X971" s="62">
        <f t="shared" si="297"/>
        <v>6.9347919101600264E-2</v>
      </c>
      <c r="Y971" s="62">
        <f t="shared" si="298"/>
        <v>0.21428507002394481</v>
      </c>
      <c r="Z971" s="79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</row>
    <row r="972" spans="1:39" x14ac:dyDescent="0.3">
      <c r="A972" s="55">
        <v>4</v>
      </c>
      <c r="B972" s="62" t="s">
        <v>114</v>
      </c>
      <c r="C972" s="62">
        <f t="shared" si="288"/>
        <v>969</v>
      </c>
      <c r="D972" s="62">
        <f t="shared" si="291"/>
        <v>29.998170000000002</v>
      </c>
      <c r="E972" s="62">
        <v>13.41</v>
      </c>
      <c r="F972" s="87">
        <f>($C$4/E972)+F971</f>
        <v>121.97168984905629</v>
      </c>
      <c r="G972" s="62">
        <f t="shared" si="290"/>
        <v>7000</v>
      </c>
      <c r="H972" s="62">
        <v>3</v>
      </c>
      <c r="I972" s="87">
        <f>E972-E971</f>
        <v>0</v>
      </c>
      <c r="J972" s="62">
        <f>(0.5*VEHICLE!$C$71*VEHICLE!$C$28*VEHICLE!$C$27*'Drive Cycle'!E972^2)</f>
        <v>159.97581505520998</v>
      </c>
      <c r="K972" s="62">
        <f>IF(A972=1,VEHICLE!$S$5,IF(A972=2,VEHICLE!$Q$5,IF(A972=3,VEHICLE!$R$5,IF(A972=4,VEHICLE!$P$5,1))))</f>
        <v>111.31014600000002</v>
      </c>
      <c r="L972" s="62">
        <v>0</v>
      </c>
      <c r="M972" s="62">
        <f t="shared" si="299"/>
        <v>0</v>
      </c>
      <c r="N972" s="62">
        <f t="shared" si="292"/>
        <v>0</v>
      </c>
      <c r="O972" s="62">
        <f t="shared" si="293"/>
        <v>0</v>
      </c>
      <c r="P972" s="62">
        <f t="shared" si="294"/>
        <v>271.28596105521001</v>
      </c>
      <c r="Q972" s="62">
        <f>IF(H972=1,I972*VEHICLE!$C$69,IF(H972=2,VEHICLE!$C$70*I972,IF(H972=3,VEHICLE!$C$71*I972,0)))</f>
        <v>0</v>
      </c>
      <c r="R972" s="62">
        <f>(J972+K972+O972+Q972)</f>
        <v>271.28596105521001</v>
      </c>
      <c r="S972" s="62">
        <f t="shared" si="295"/>
        <v>271.28596105521001</v>
      </c>
      <c r="T972" s="62">
        <f>ABS((R972)/((2*PI()*G972)/60))</f>
        <v>0.3700843002289036</v>
      </c>
      <c r="U972" s="62">
        <f t="shared" si="296"/>
        <v>1</v>
      </c>
      <c r="V972" s="62">
        <f>INDEX(BSFC!$D$4:$AD$26,MATCH(U972,BSFC!$B$4:$B$26,0),MATCH(G972,BSFC!$D$2:$AD$2,0))</f>
        <v>920.25590927999997</v>
      </c>
      <c r="W972" s="62">
        <f t="shared" si="300"/>
        <v>6.9347919101600264E-2</v>
      </c>
      <c r="X972" s="62">
        <f t="shared" si="297"/>
        <v>6.9347919101600264E-2</v>
      </c>
      <c r="Y972" s="62">
        <f t="shared" si="298"/>
        <v>0.21428507002394481</v>
      </c>
      <c r="Z972" s="79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</row>
    <row r="973" spans="1:39" x14ac:dyDescent="0.3">
      <c r="A973" s="55">
        <v>4</v>
      </c>
      <c r="B973" s="62" t="s">
        <v>114</v>
      </c>
      <c r="C973" s="62">
        <f t="shared" si="288"/>
        <v>970</v>
      </c>
      <c r="D973" s="62">
        <f t="shared" si="291"/>
        <v>28.320420000000002</v>
      </c>
      <c r="E973" s="62">
        <f t="shared" ref="E973:E974" si="301">E972-0.75</f>
        <v>12.66</v>
      </c>
      <c r="F973" s="87">
        <f>($C$4/E973)+F972</f>
        <v>122.05067879060448</v>
      </c>
      <c r="G973" s="62">
        <f>G972-500</f>
        <v>6500</v>
      </c>
      <c r="H973" s="62">
        <v>3</v>
      </c>
      <c r="I973" s="87">
        <f>E973-E972</f>
        <v>-0.75</v>
      </c>
      <c r="J973" s="62">
        <f>(0.5*VEHICLE!$C$71*VEHICLE!$C$28*VEHICLE!$C$27*'Drive Cycle'!E973^2)</f>
        <v>142.58183088995997</v>
      </c>
      <c r="K973" s="62">
        <f>IF(A973=1,VEHICLE!$S$5,IF(A973=2,VEHICLE!$Q$5,IF(A973=3,VEHICLE!$R$5,IF(A973=4,VEHICLE!$P$5,1))))</f>
        <v>111.31014600000002</v>
      </c>
      <c r="L973" s="62">
        <v>0</v>
      </c>
      <c r="M973" s="62">
        <f t="shared" si="299"/>
        <v>0</v>
      </c>
      <c r="N973" s="62">
        <f t="shared" si="292"/>
        <v>0</v>
      </c>
      <c r="O973" s="62">
        <f t="shared" si="293"/>
        <v>0</v>
      </c>
      <c r="P973" s="62">
        <f t="shared" si="294"/>
        <v>253.89197688996001</v>
      </c>
      <c r="Q973" s="62">
        <f>IF(H973=1,I973*VEHICLE!$C$69,IF(H973=2,VEHICLE!$C$70*I973,IF(H973=3,VEHICLE!$C$71*I973,0)))</f>
        <v>-0.87525000000000008</v>
      </c>
      <c r="R973" s="62">
        <f>(J973+K973+O973+Q973)</f>
        <v>253.01672688996001</v>
      </c>
      <c r="S973" s="62">
        <f t="shared" si="295"/>
        <v>253.01672688996001</v>
      </c>
      <c r="T973" s="62">
        <f>ABS((R973)/((2*PI()*G973)/60))</f>
        <v>0.37171257941048502</v>
      </c>
      <c r="U973" s="62">
        <f t="shared" si="296"/>
        <v>1</v>
      </c>
      <c r="V973" s="62">
        <f>INDEX(BSFC!$D$4:$AD$26,MATCH(U973,BSFC!$B$4:$B$26,0),MATCH(G973,BSFC!$D$2:$AD$2,0))</f>
        <v>925.65735288000019</v>
      </c>
      <c r="W973" s="62">
        <f t="shared" si="300"/>
        <v>6.5057442679811756E-2</v>
      </c>
      <c r="X973" s="62">
        <f t="shared" si="297"/>
        <v>6.5057442679811756E-2</v>
      </c>
      <c r="Y973" s="62">
        <f t="shared" si="298"/>
        <v>0.20102749788061833</v>
      </c>
      <c r="Z973" s="79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</row>
    <row r="974" spans="1:39" x14ac:dyDescent="0.3">
      <c r="A974" s="55">
        <v>4</v>
      </c>
      <c r="B974" s="62" t="s">
        <v>114</v>
      </c>
      <c r="C974" s="62">
        <f t="shared" si="288"/>
        <v>971</v>
      </c>
      <c r="D974" s="62">
        <f t="shared" si="291"/>
        <v>26.642670000000003</v>
      </c>
      <c r="E974" s="62">
        <f t="shared" si="301"/>
        <v>11.91</v>
      </c>
      <c r="F974" s="87">
        <f>($C$4/E974)+F973</f>
        <v>122.13464184685972</v>
      </c>
      <c r="G974" s="62">
        <f t="shared" ref="G974:G981" si="302">G973-500</f>
        <v>6000</v>
      </c>
      <c r="H974" s="62">
        <v>3</v>
      </c>
      <c r="I974" s="87">
        <f>E974-E973</f>
        <v>-0.75</v>
      </c>
      <c r="J974" s="62">
        <f>(0.5*VEHICLE!$C$71*VEHICLE!$C$28*VEHICLE!$C$27*'Drive Cycle'!E974^2)</f>
        <v>126.18865133721</v>
      </c>
      <c r="K974" s="62">
        <f>IF(A974=1,VEHICLE!$S$5,IF(A974=2,VEHICLE!$Q$5,IF(A974=3,VEHICLE!$R$5,IF(A974=4,VEHICLE!$P$5,1))))</f>
        <v>111.31014600000002</v>
      </c>
      <c r="L974" s="62">
        <v>0</v>
      </c>
      <c r="M974" s="62">
        <f t="shared" si="299"/>
        <v>0</v>
      </c>
      <c r="N974" s="62">
        <f t="shared" si="292"/>
        <v>0</v>
      </c>
      <c r="O974" s="62">
        <f t="shared" si="293"/>
        <v>0</v>
      </c>
      <c r="P974" s="62">
        <f t="shared" si="294"/>
        <v>237.49879733721002</v>
      </c>
      <c r="Q974" s="62">
        <f>IF(H974=1,I974*VEHICLE!$C$69,IF(H974=2,VEHICLE!$C$70*I974,IF(H974=3,VEHICLE!$C$71*I974,0)))</f>
        <v>-0.87525000000000008</v>
      </c>
      <c r="R974" s="62">
        <f>(J974+K974+O974+Q974)</f>
        <v>236.62354733721003</v>
      </c>
      <c r="S974" s="62">
        <f t="shared" si="295"/>
        <v>236.62354733721003</v>
      </c>
      <c r="T974" s="62">
        <f>ABS((R974)/((2*PI()*G974)/60))</f>
        <v>0.37659807210656066</v>
      </c>
      <c r="U974" s="62">
        <f t="shared" si="296"/>
        <v>1</v>
      </c>
      <c r="V974" s="62">
        <f>INDEX(BSFC!$D$4:$AD$26,MATCH(U974,BSFC!$B$4:$B$26,0),MATCH(G974,BSFC!$D$2:$AD$2,0))</f>
        <v>933.91499472000044</v>
      </c>
      <c r="W974" s="62">
        <f t="shared" si="300"/>
        <v>6.1385077489460635E-2</v>
      </c>
      <c r="X974" s="62">
        <f t="shared" si="297"/>
        <v>6.1385077489460635E-2</v>
      </c>
      <c r="Y974" s="62">
        <f t="shared" si="298"/>
        <v>0.18967988944243336</v>
      </c>
      <c r="Z974" s="79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</row>
    <row r="975" spans="1:39" x14ac:dyDescent="0.3">
      <c r="A975" s="55">
        <v>4</v>
      </c>
      <c r="B975" s="62" t="s">
        <v>114</v>
      </c>
      <c r="C975" s="62">
        <f t="shared" si="288"/>
        <v>972</v>
      </c>
      <c r="D975" s="62">
        <f t="shared" si="291"/>
        <v>24.964920000000003</v>
      </c>
      <c r="E975" s="62">
        <f>E974-0.75</f>
        <v>11.16</v>
      </c>
      <c r="F975" s="87">
        <f>($C$4/E975)+F974</f>
        <v>122.22424758162674</v>
      </c>
      <c r="G975" s="62">
        <f t="shared" si="302"/>
        <v>5500</v>
      </c>
      <c r="H975" s="62">
        <v>2</v>
      </c>
      <c r="I975" s="87">
        <f>E975-E974</f>
        <v>-0.75</v>
      </c>
      <c r="J975" s="62">
        <f>(0.5*VEHICLE!$C$71*VEHICLE!$C$28*VEHICLE!$C$27*'Drive Cycle'!E975^2)</f>
        <v>110.79627639696</v>
      </c>
      <c r="K975" s="62">
        <f>IF(A975=1,VEHICLE!$S$5,IF(A975=2,VEHICLE!$Q$5,IF(A975=3,VEHICLE!$R$5,IF(A975=4,VEHICLE!$P$5,1))))</f>
        <v>111.31014600000002</v>
      </c>
      <c r="L975" s="62">
        <v>0</v>
      </c>
      <c r="M975" s="62">
        <f t="shared" si="299"/>
        <v>0</v>
      </c>
      <c r="N975" s="62">
        <f t="shared" si="292"/>
        <v>0</v>
      </c>
      <c r="O975" s="62">
        <f t="shared" si="293"/>
        <v>0</v>
      </c>
      <c r="P975" s="62">
        <f t="shared" si="294"/>
        <v>222.10642239696</v>
      </c>
      <c r="Q975" s="62">
        <f>IF(H975=1,I975*VEHICLE!$C$69,IF(H975=2,VEHICLE!$C$70*I975,IF(H975=3,VEHICLE!$C$71*I975,0)))</f>
        <v>-438.86136489758803</v>
      </c>
      <c r="R975" s="62">
        <f>(J975+K975+O975+Q975)</f>
        <v>-216.75494250062803</v>
      </c>
      <c r="S975" s="62">
        <f t="shared" si="295"/>
        <v>216.75494250062803</v>
      </c>
      <c r="T975" s="62">
        <f>ABS((R975)/((2*PI()*G975)/60))</f>
        <v>0.37633767860263101</v>
      </c>
      <c r="U975" s="62">
        <f t="shared" si="296"/>
        <v>1</v>
      </c>
      <c r="V975" s="62">
        <f>INDEX(BSFC!$D$4:$AD$26,MATCH(U975,BSFC!$B$4:$B$26,0),MATCH(G975,BSFC!$D$2:$AD$2,0))</f>
        <v>937.88833920000002</v>
      </c>
      <c r="W975" s="62">
        <f t="shared" si="300"/>
        <v>-5.6469981398695981E-2</v>
      </c>
      <c r="X975" s="62">
        <f t="shared" si="297"/>
        <v>5.6469981398695981E-2</v>
      </c>
      <c r="Y975" s="62">
        <f t="shared" si="298"/>
        <v>-0.17449224252197057</v>
      </c>
      <c r="Z975" s="79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</row>
    <row r="976" spans="1:39" x14ac:dyDescent="0.3">
      <c r="A976" s="55">
        <v>4</v>
      </c>
      <c r="B976" s="62" t="s">
        <v>114</v>
      </c>
      <c r="C976" s="62">
        <f t="shared" si="288"/>
        <v>973</v>
      </c>
      <c r="D976" s="62">
        <f t="shared" si="291"/>
        <v>23.28717</v>
      </c>
      <c r="E976" s="62">
        <f t="shared" ref="E976:E982" si="303">E975-0.75</f>
        <v>10.41</v>
      </c>
      <c r="F976" s="87">
        <f>($C$4/E976)+F975</f>
        <v>122.32030906097353</v>
      </c>
      <c r="G976" s="62">
        <f t="shared" si="302"/>
        <v>5000</v>
      </c>
      <c r="H976" s="62">
        <v>2</v>
      </c>
      <c r="I976" s="87">
        <f>E976-E975</f>
        <v>-0.75</v>
      </c>
      <c r="J976" s="62">
        <f>(0.5*VEHICLE!$C$71*VEHICLE!$C$28*VEHICLE!$C$27*'Drive Cycle'!E976^2)</f>
        <v>96.404706069209993</v>
      </c>
      <c r="K976" s="62">
        <f>IF(A976=1,VEHICLE!$S$5,IF(A976=2,VEHICLE!$Q$5,IF(A976=3,VEHICLE!$R$5,IF(A976=4,VEHICLE!$P$5,1))))</f>
        <v>111.31014600000002</v>
      </c>
      <c r="L976" s="62">
        <v>0</v>
      </c>
      <c r="M976" s="62">
        <f t="shared" si="299"/>
        <v>0</v>
      </c>
      <c r="N976" s="62">
        <f t="shared" si="292"/>
        <v>0</v>
      </c>
      <c r="O976" s="62">
        <f t="shared" si="293"/>
        <v>0</v>
      </c>
      <c r="P976" s="62">
        <f t="shared" si="294"/>
        <v>207.71485206921</v>
      </c>
      <c r="Q976" s="62">
        <f>IF(H976=1,I976*VEHICLE!$C$69,IF(H976=2,VEHICLE!$C$70*I976,IF(H976=3,VEHICLE!$C$71*I976,0)))</f>
        <v>-438.86136489758803</v>
      </c>
      <c r="R976" s="62">
        <f>(J976+K976+O976+Q976)</f>
        <v>-231.14651282837804</v>
      </c>
      <c r="S976" s="62">
        <f t="shared" si="295"/>
        <v>231.14651282837804</v>
      </c>
      <c r="T976" s="62">
        <f>ABS((R976)/((2*PI()*G976)/60))</f>
        <v>0.44145732114108677</v>
      </c>
      <c r="U976" s="62">
        <f t="shared" si="296"/>
        <v>1</v>
      </c>
      <c r="V976" s="62">
        <f>INDEX(BSFC!$D$4:$AD$26,MATCH(U976,BSFC!$B$4:$B$26,0),MATCH(G976,BSFC!$D$2:$AD$2,0))</f>
        <v>967.30583135999973</v>
      </c>
      <c r="W976" s="62">
        <f t="shared" si="300"/>
        <v>-6.2108158265949731E-2</v>
      </c>
      <c r="X976" s="62">
        <f t="shared" si="297"/>
        <v>6.2108158265949731E-2</v>
      </c>
      <c r="Y976" s="62">
        <f t="shared" si="298"/>
        <v>-0.19191420904178466</v>
      </c>
      <c r="Z976" s="79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</row>
    <row r="977" spans="1:39" x14ac:dyDescent="0.3">
      <c r="A977" s="55">
        <v>4</v>
      </c>
      <c r="B977" s="62" t="s">
        <v>114</v>
      </c>
      <c r="C977" s="62">
        <f t="shared" si="288"/>
        <v>974</v>
      </c>
      <c r="D977" s="62">
        <f t="shared" si="291"/>
        <v>21.60942</v>
      </c>
      <c r="E977" s="62">
        <f t="shared" si="303"/>
        <v>9.66</v>
      </c>
      <c r="F977" s="87">
        <f>($C$4/E977)+F976</f>
        <v>122.42382872971059</v>
      </c>
      <c r="G977" s="62">
        <f t="shared" si="302"/>
        <v>4500</v>
      </c>
      <c r="H977" s="62">
        <v>2</v>
      </c>
      <c r="I977" s="87">
        <f>E977-E976</f>
        <v>-0.75</v>
      </c>
      <c r="J977" s="62">
        <f>(0.5*VEHICLE!$C$71*VEHICLE!$C$28*VEHICLE!$C$27*'Drive Cycle'!E977^2)</f>
        <v>83.013940353959995</v>
      </c>
      <c r="K977" s="62">
        <f>IF(A977=1,VEHICLE!$S$5,IF(A977=2,VEHICLE!$Q$5,IF(A977=3,VEHICLE!$R$5,IF(A977=4,VEHICLE!$P$5,1))))</f>
        <v>111.31014600000002</v>
      </c>
      <c r="L977" s="62">
        <v>0</v>
      </c>
      <c r="M977" s="62">
        <f t="shared" si="299"/>
        <v>0</v>
      </c>
      <c r="N977" s="62">
        <f t="shared" si="292"/>
        <v>0</v>
      </c>
      <c r="O977" s="62">
        <f t="shared" si="293"/>
        <v>0</v>
      </c>
      <c r="P977" s="62">
        <f t="shared" si="294"/>
        <v>194.32408635396001</v>
      </c>
      <c r="Q977" s="62">
        <f>IF(H977=1,I977*VEHICLE!$C$69,IF(H977=2,VEHICLE!$C$70*I977,IF(H977=3,VEHICLE!$C$71*I977,0)))</f>
        <v>-438.86136489758803</v>
      </c>
      <c r="R977" s="62">
        <f>(J977+K977+O977+Q977)</f>
        <v>-244.53727854362802</v>
      </c>
      <c r="S977" s="62">
        <f t="shared" si="295"/>
        <v>244.53727854362802</v>
      </c>
      <c r="T977" s="62">
        <f>ABS((R977)/((2*PI()*G977)/60))</f>
        <v>0.51892422200610766</v>
      </c>
      <c r="U977" s="62">
        <f t="shared" si="296"/>
        <v>1</v>
      </c>
      <c r="V977" s="62">
        <f>INDEX(BSFC!$D$4:$AD$26,MATCH(U977,BSFC!$B$4:$B$26,0),MATCH(G977,BSFC!$D$2:$AD$2,0))</f>
        <v>996.72332351999967</v>
      </c>
      <c r="W977" s="62">
        <f t="shared" si="300"/>
        <v>-6.7704446942928001E-2</v>
      </c>
      <c r="X977" s="62">
        <f t="shared" si="297"/>
        <v>6.7704446942928001E-2</v>
      </c>
      <c r="Y977" s="62">
        <f t="shared" si="298"/>
        <v>-0.2092067410536475</v>
      </c>
      <c r="Z977" s="79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</row>
    <row r="978" spans="1:39" x14ac:dyDescent="0.3">
      <c r="A978" s="55">
        <v>4</v>
      </c>
      <c r="B978" s="62" t="s">
        <v>114</v>
      </c>
      <c r="C978" s="62">
        <f t="shared" si="288"/>
        <v>975</v>
      </c>
      <c r="D978" s="62">
        <f t="shared" si="291"/>
        <v>19.93167</v>
      </c>
      <c r="E978" s="62">
        <f t="shared" si="303"/>
        <v>8.91</v>
      </c>
      <c r="F978" s="87">
        <f>($C$4/E978)+F977</f>
        <v>122.53606217527737</v>
      </c>
      <c r="G978" s="62">
        <f t="shared" si="302"/>
        <v>4000</v>
      </c>
      <c r="H978" s="62">
        <v>2</v>
      </c>
      <c r="I978" s="87">
        <f>E978-E977</f>
        <v>-0.75</v>
      </c>
      <c r="J978" s="62">
        <f>(0.5*VEHICLE!$C$71*VEHICLE!$C$28*VEHICLE!$C$27*'Drive Cycle'!E978^2)</f>
        <v>70.623979251210002</v>
      </c>
      <c r="K978" s="62">
        <f>IF(A978=1,VEHICLE!$S$5,IF(A978=2,VEHICLE!$Q$5,IF(A978=3,VEHICLE!$R$5,IF(A978=4,VEHICLE!$P$5,1))))</f>
        <v>111.31014600000002</v>
      </c>
      <c r="L978" s="62">
        <v>0</v>
      </c>
      <c r="M978" s="62">
        <f t="shared" si="299"/>
        <v>0</v>
      </c>
      <c r="N978" s="62">
        <f t="shared" si="292"/>
        <v>0</v>
      </c>
      <c r="O978" s="62">
        <f t="shared" si="293"/>
        <v>0</v>
      </c>
      <c r="P978" s="62">
        <f t="shared" si="294"/>
        <v>181.93412525121002</v>
      </c>
      <c r="Q978" s="62">
        <f>IF(H978=1,I978*VEHICLE!$C$69,IF(H978=2,VEHICLE!$C$70*I978,IF(H978=3,VEHICLE!$C$71*I978,0)))</f>
        <v>-438.86136489758803</v>
      </c>
      <c r="R978" s="62">
        <f>(J978+K978+O978+Q978)</f>
        <v>-256.92723964637798</v>
      </c>
      <c r="S978" s="62">
        <f t="shared" si="295"/>
        <v>256.92723964637798</v>
      </c>
      <c r="T978" s="62">
        <f>ABS((R978)/((2*PI()*G978)/60))</f>
        <v>0.61336860307015573</v>
      </c>
      <c r="U978" s="62">
        <f t="shared" si="296"/>
        <v>1</v>
      </c>
      <c r="V978" s="62">
        <f>INDEX(BSFC!$D$4:$AD$26,MATCH(U978,BSFC!$B$4:$B$26,0),MATCH(G978,BSFC!$D$2:$AD$2,0))</f>
        <v>1026.1408156799998</v>
      </c>
      <c r="W978" s="62">
        <f t="shared" si="300"/>
        <v>-7.3234313128095863E-2</v>
      </c>
      <c r="X978" s="62">
        <f t="shared" si="297"/>
        <v>7.3234313128095863E-2</v>
      </c>
      <c r="Y978" s="62">
        <f t="shared" si="298"/>
        <v>-0.22629402756581621</v>
      </c>
      <c r="Z978" s="79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</row>
    <row r="979" spans="1:39" x14ac:dyDescent="0.3">
      <c r="A979" s="55">
        <v>4</v>
      </c>
      <c r="B979" s="62" t="s">
        <v>114</v>
      </c>
      <c r="C979" s="62">
        <f t="shared" si="288"/>
        <v>976</v>
      </c>
      <c r="D979" s="62">
        <f t="shared" si="291"/>
        <v>18.253920000000001</v>
      </c>
      <c r="E979" s="62">
        <f t="shared" si="303"/>
        <v>8.16</v>
      </c>
      <c r="F979" s="87">
        <f>($C$4/E979)+F978</f>
        <v>122.65861119488521</v>
      </c>
      <c r="G979" s="62">
        <f t="shared" si="302"/>
        <v>3500</v>
      </c>
      <c r="H979" s="62">
        <v>1</v>
      </c>
      <c r="I979" s="87">
        <f>E979-E978</f>
        <v>-0.75</v>
      </c>
      <c r="J979" s="62">
        <f>(0.5*VEHICLE!$C$71*VEHICLE!$C$28*VEHICLE!$C$27*'Drive Cycle'!E979^2)</f>
        <v>59.234822760959993</v>
      </c>
      <c r="K979" s="62">
        <f>IF(A979=1,VEHICLE!$S$5,IF(A979=2,VEHICLE!$Q$5,IF(A979=3,VEHICLE!$R$5,IF(A979=4,VEHICLE!$P$5,1))))</f>
        <v>111.31014600000002</v>
      </c>
      <c r="L979" s="62">
        <v>0</v>
      </c>
      <c r="M979" s="62">
        <f t="shared" si="299"/>
        <v>0</v>
      </c>
      <c r="N979" s="62">
        <f t="shared" si="292"/>
        <v>0</v>
      </c>
      <c r="O979" s="62">
        <f t="shared" si="293"/>
        <v>0</v>
      </c>
      <c r="P979" s="62">
        <f t="shared" si="294"/>
        <v>170.54496876096002</v>
      </c>
      <c r="Q979" s="62">
        <f>IF(H979=1,I979*VEHICLE!$C$69,IF(H979=2,VEHICLE!$C$70*I979,IF(H979=3,VEHICLE!$C$71*I979,0)))</f>
        <v>-440.49017657114598</v>
      </c>
      <c r="R979" s="62">
        <f>(J979+K979+O979+Q979)</f>
        <v>-269.94520781018593</v>
      </c>
      <c r="S979" s="62">
        <f t="shared" si="295"/>
        <v>269.94520781018593</v>
      </c>
      <c r="T979" s="62">
        <f>ABS((R979)/((2*PI()*G979)/60))</f>
        <v>0.73651052891931446</v>
      </c>
      <c r="U979" s="62">
        <f t="shared" si="296"/>
        <v>1</v>
      </c>
      <c r="V979" s="62">
        <f>INDEX(BSFC!$D$4:$AD$26,MATCH(U979,BSFC!$B$4:$B$26,0),MATCH(G979,BSFC!$D$2:$AD$2,0))</f>
        <v>1034.2259366399996</v>
      </c>
      <c r="W979" s="62">
        <f t="shared" si="300"/>
        <v>-7.755120427471357E-2</v>
      </c>
      <c r="X979" s="62">
        <f t="shared" si="297"/>
        <v>7.755120427471357E-2</v>
      </c>
      <c r="Y979" s="62">
        <f t="shared" si="298"/>
        <v>-0.23963322120886493</v>
      </c>
      <c r="Z979" s="79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</row>
    <row r="980" spans="1:39" x14ac:dyDescent="0.3">
      <c r="A980" s="55">
        <v>4</v>
      </c>
      <c r="B980" s="62" t="s">
        <v>114</v>
      </c>
      <c r="C980" s="62">
        <f t="shared" si="288"/>
        <v>977</v>
      </c>
      <c r="D980" s="62">
        <f t="shared" si="291"/>
        <v>16.576170000000001</v>
      </c>
      <c r="E980" s="62">
        <f t="shared" si="303"/>
        <v>7.41</v>
      </c>
      <c r="F980" s="87">
        <f>($C$4/E980)+F979</f>
        <v>122.79356396141692</v>
      </c>
      <c r="G980" s="62">
        <f t="shared" si="302"/>
        <v>3000</v>
      </c>
      <c r="H980" s="62">
        <v>1</v>
      </c>
      <c r="I980" s="87">
        <f>E980-E979</f>
        <v>-0.75</v>
      </c>
      <c r="J980" s="62">
        <f>(0.5*VEHICLE!$C$71*VEHICLE!$C$28*VEHICLE!$C$27*'Drive Cycle'!E980^2)</f>
        <v>48.846470883209996</v>
      </c>
      <c r="K980" s="62">
        <f>IF(A980=1,VEHICLE!$S$5,IF(A980=2,VEHICLE!$Q$5,IF(A980=3,VEHICLE!$R$5,IF(A980=4,VEHICLE!$P$5,1))))</f>
        <v>111.31014600000002</v>
      </c>
      <c r="L980" s="62">
        <v>0</v>
      </c>
      <c r="M980" s="62">
        <f t="shared" si="299"/>
        <v>0</v>
      </c>
      <c r="N980" s="62">
        <f t="shared" si="292"/>
        <v>0</v>
      </c>
      <c r="O980" s="62">
        <f t="shared" si="293"/>
        <v>0</v>
      </c>
      <c r="P980" s="62">
        <f t="shared" si="294"/>
        <v>160.15661688321001</v>
      </c>
      <c r="Q980" s="62">
        <f>IF(H980=1,I980*VEHICLE!$C$69,IF(H980=2,VEHICLE!$C$70*I980,IF(H980=3,VEHICLE!$C$71*I980,0)))</f>
        <v>-440.49017657114598</v>
      </c>
      <c r="R980" s="62">
        <f>(J980+K980+O980+Q980)</f>
        <v>-280.33355968793597</v>
      </c>
      <c r="S980" s="62">
        <f t="shared" si="295"/>
        <v>280.33355968793597</v>
      </c>
      <c r="T980" s="62">
        <f>ABS((R980)/((2*PI()*G980)/60))</f>
        <v>0.89232943477763793</v>
      </c>
      <c r="U980" s="62">
        <f t="shared" si="296"/>
        <v>1</v>
      </c>
      <c r="V980" s="62">
        <f>INDEX(BSFC!$D$4:$AD$26,MATCH(U980,BSFC!$B$4:$B$26,0),MATCH(G980,BSFC!$D$2:$AD$2,0))</f>
        <v>1049.8371440000003</v>
      </c>
      <c r="W980" s="62">
        <f t="shared" si="300"/>
        <v>-8.1751273241704545E-2</v>
      </c>
      <c r="X980" s="62">
        <f t="shared" si="297"/>
        <v>8.1751273241704545E-2</v>
      </c>
      <c r="Y980" s="62">
        <f t="shared" si="298"/>
        <v>-0.25261143431686706</v>
      </c>
      <c r="Z980" s="79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</row>
    <row r="981" spans="1:39" x14ac:dyDescent="0.3">
      <c r="A981" s="55">
        <v>4</v>
      </c>
      <c r="B981" s="62" t="s">
        <v>114</v>
      </c>
      <c r="C981" s="62">
        <f t="shared" si="288"/>
        <v>978</v>
      </c>
      <c r="D981" s="62">
        <f t="shared" si="291"/>
        <v>14.898420000000002</v>
      </c>
      <c r="E981" s="62">
        <f t="shared" si="303"/>
        <v>6.66</v>
      </c>
      <c r="F981" s="87">
        <f>($C$4/E981)+F980</f>
        <v>122.94371411156708</v>
      </c>
      <c r="G981" s="62">
        <f t="shared" si="302"/>
        <v>2500</v>
      </c>
      <c r="H981" s="62">
        <v>1</v>
      </c>
      <c r="I981" s="87">
        <f>E981-E980</f>
        <v>-0.75</v>
      </c>
      <c r="J981" s="62">
        <f>(0.5*VEHICLE!$C$71*VEHICLE!$C$28*VEHICLE!$C$27*'Drive Cycle'!E981^2)</f>
        <v>39.458923617959996</v>
      </c>
      <c r="K981" s="62">
        <f>IF(A981=1,VEHICLE!$S$5,IF(A981=2,VEHICLE!$Q$5,IF(A981=3,VEHICLE!$R$5,IF(A981=4,VEHICLE!$P$5,1))))</f>
        <v>111.31014600000002</v>
      </c>
      <c r="L981" s="62">
        <v>0</v>
      </c>
      <c r="M981" s="62">
        <f t="shared" si="299"/>
        <v>0</v>
      </c>
      <c r="N981" s="62">
        <f t="shared" si="292"/>
        <v>0</v>
      </c>
      <c r="O981" s="62">
        <f t="shared" si="293"/>
        <v>0</v>
      </c>
      <c r="P981" s="62">
        <f t="shared" si="294"/>
        <v>150.76906961796001</v>
      </c>
      <c r="Q981" s="62">
        <f>IF(H981=1,I981*VEHICLE!$C$69,IF(H981=2,VEHICLE!$C$70*I981,IF(H981=3,VEHICLE!$C$71*I981,0)))</f>
        <v>-440.49017657114598</v>
      </c>
      <c r="R981" s="62">
        <f>(J981+K981+O981+Q981)</f>
        <v>-289.72110695318599</v>
      </c>
      <c r="S981" s="62">
        <f t="shared" si="295"/>
        <v>289.72110695318599</v>
      </c>
      <c r="T981" s="62">
        <f>ABS((R981)/((2*PI()*G981)/60))</f>
        <v>1.1066531109517257</v>
      </c>
      <c r="U981" s="62">
        <f t="shared" si="296"/>
        <v>2</v>
      </c>
      <c r="V981" s="62">
        <f>INDEX(BSFC!$D$4:$AD$26,MATCH(U981,BSFC!$B$4:$B$26,0),MATCH(G981,BSFC!$D$2:$AD$2,0))</f>
        <v>952.83484224000051</v>
      </c>
      <c r="W981" s="62">
        <f t="shared" si="300"/>
        <v>-7.6682323677038144E-2</v>
      </c>
      <c r="X981" s="62">
        <f t="shared" si="297"/>
        <v>7.6682323677038144E-2</v>
      </c>
      <c r="Y981" s="62">
        <f t="shared" si="298"/>
        <v>-0.23694838016204786</v>
      </c>
      <c r="Z981" s="79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</row>
    <row r="982" spans="1:39" x14ac:dyDescent="0.3">
      <c r="A982" s="55">
        <v>4</v>
      </c>
      <c r="B982" s="62" t="s">
        <v>114</v>
      </c>
      <c r="C982" s="62">
        <f t="shared" si="288"/>
        <v>979</v>
      </c>
      <c r="D982" s="62">
        <f t="shared" si="291"/>
        <v>13.22067</v>
      </c>
      <c r="E982" s="62">
        <f t="shared" si="303"/>
        <v>5.91</v>
      </c>
      <c r="F982" s="87">
        <f>($C$4/E982)+F981</f>
        <v>123.11291884929973</v>
      </c>
      <c r="G982" s="62">
        <f>G981-500</f>
        <v>2000</v>
      </c>
      <c r="H982" s="62">
        <v>1</v>
      </c>
      <c r="I982" s="87">
        <f>E982-E981</f>
        <v>-0.75</v>
      </c>
      <c r="J982" s="62">
        <f>(0.5*VEHICLE!$C$71*VEHICLE!$C$28*VEHICLE!$C$27*'Drive Cycle'!E982^2)</f>
        <v>31.072180965209999</v>
      </c>
      <c r="K982" s="62">
        <f>IF(A982=1,VEHICLE!$S$5,IF(A982=2,VEHICLE!$Q$5,IF(A982=3,VEHICLE!$R$5,IF(A982=4,VEHICLE!$P$5,1))))</f>
        <v>111.31014600000002</v>
      </c>
      <c r="L982" s="62">
        <v>0</v>
      </c>
      <c r="M982" s="62">
        <f t="shared" si="299"/>
        <v>0</v>
      </c>
      <c r="N982" s="62">
        <f t="shared" si="292"/>
        <v>0</v>
      </c>
      <c r="O982" s="62">
        <f t="shared" si="293"/>
        <v>0</v>
      </c>
      <c r="P982" s="62">
        <f t="shared" si="294"/>
        <v>142.38232696521001</v>
      </c>
      <c r="Q982" s="62">
        <f>IF(H982=1,I982*VEHICLE!$C$69,IF(H982=2,VEHICLE!$C$70*I982,IF(H982=3,VEHICLE!$C$71*I982,0)))</f>
        <v>-440.49017657114598</v>
      </c>
      <c r="R982" s="62">
        <f>(J982+K982+O982+Q982)</f>
        <v>-298.10784960593594</v>
      </c>
      <c r="S982" s="62">
        <f t="shared" si="295"/>
        <v>298.10784960593594</v>
      </c>
      <c r="T982" s="62">
        <f>ABS((R982)/((2*PI()*G982)/60))</f>
        <v>1.4233601351784009</v>
      </c>
      <c r="U982" s="62">
        <f t="shared" si="296"/>
        <v>2</v>
      </c>
      <c r="V982" s="62">
        <f>INDEX(BSFC!$D$4:$AD$26,MATCH(U982,BSFC!$B$4:$B$26,0),MATCH(G982,BSFC!$D$2:$AD$2,0))</f>
        <v>976.38004896000075</v>
      </c>
      <c r="W982" s="62">
        <f t="shared" si="300"/>
        <v>-8.0851821331556745E-2</v>
      </c>
      <c r="X982" s="62">
        <f t="shared" si="297"/>
        <v>8.0851821331556745E-2</v>
      </c>
      <c r="Y982" s="62">
        <f t="shared" si="298"/>
        <v>-0.24983212791451032</v>
      </c>
      <c r="Z982" s="79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</row>
    <row r="983" spans="1:39" x14ac:dyDescent="0.3">
      <c r="A983" s="55">
        <v>4</v>
      </c>
      <c r="B983" s="61" t="s">
        <v>130</v>
      </c>
      <c r="C983" s="61">
        <f t="shared" si="288"/>
        <v>980</v>
      </c>
      <c r="D983" s="61">
        <f t="shared" si="291"/>
        <v>13.22067</v>
      </c>
      <c r="E983" s="61">
        <f>E982</f>
        <v>5.91</v>
      </c>
      <c r="F983" s="88">
        <f>($C$4/E983)+F982</f>
        <v>123.28212358703239</v>
      </c>
      <c r="G983" s="61">
        <f>G982</f>
        <v>2000</v>
      </c>
      <c r="H983" s="61">
        <v>1</v>
      </c>
      <c r="I983" s="88">
        <f>E983-E982</f>
        <v>0</v>
      </c>
      <c r="J983" s="61">
        <f>(0.5*VEHICLE!$C$71*VEHICLE!$C$28*VEHICLE!$C$27*'Drive Cycle'!E983^2)</f>
        <v>31.072180965209999</v>
      </c>
      <c r="K983" s="61">
        <f>IF(A983=1,VEHICLE!$S$5,IF(A983=2,VEHICLE!$Q$5,IF(A983=3,VEHICLE!$R$5,IF(A983=4,VEHICLE!$P$5,1))))</f>
        <v>111.31014600000002</v>
      </c>
      <c r="L983" s="61">
        <v>0</v>
      </c>
      <c r="M983" s="61">
        <f t="shared" si="299"/>
        <v>0</v>
      </c>
      <c r="N983" s="61">
        <f t="shared" si="292"/>
        <v>0</v>
      </c>
      <c r="O983" s="61">
        <f t="shared" si="293"/>
        <v>0</v>
      </c>
      <c r="P983" s="61">
        <f t="shared" si="294"/>
        <v>142.38232696521001</v>
      </c>
      <c r="Q983" s="61">
        <f>IF(H983=1,I983*VEHICLE!$C$69,IF(H983=2,VEHICLE!$C$70*I983,IF(H983=3,VEHICLE!$C$71*I983,0)))</f>
        <v>0</v>
      </c>
      <c r="R983" s="61">
        <f>(J983+K983+O983+Q983)</f>
        <v>142.38232696521001</v>
      </c>
      <c r="S983" s="61">
        <f t="shared" si="295"/>
        <v>142.38232696521001</v>
      </c>
      <c r="T983" s="61">
        <f>ABS((R983)/((2*PI()*G983)/60))</f>
        <v>0.67982553436318904</v>
      </c>
      <c r="U983" s="61">
        <f t="shared" si="296"/>
        <v>1</v>
      </c>
      <c r="V983" s="61">
        <f>INDEX(BSFC!$D$4:$AD$26,MATCH(U983,BSFC!$B$4:$B$26,0),MATCH(G983,BSFC!$D$2:$AD$2,0))</f>
        <v>1081.059558720001</v>
      </c>
      <c r="W983" s="61">
        <f t="shared" si="300"/>
        <v>4.2756604321815779E-2</v>
      </c>
      <c r="X983" s="61">
        <f t="shared" si="297"/>
        <v>4.2756604321815779E-2</v>
      </c>
      <c r="Y983" s="61">
        <f t="shared" si="298"/>
        <v>0.13211790735441076</v>
      </c>
      <c r="Z983" s="79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</row>
    <row r="984" spans="1:39" x14ac:dyDescent="0.3">
      <c r="A984" s="55">
        <v>4</v>
      </c>
      <c r="B984" s="61" t="s">
        <v>130</v>
      </c>
      <c r="C984" s="61">
        <f t="shared" si="288"/>
        <v>981</v>
      </c>
      <c r="D984" s="61">
        <f t="shared" si="291"/>
        <v>13.22067</v>
      </c>
      <c r="E984" s="61">
        <f t="shared" ref="E984:E994" si="304">E983</f>
        <v>5.91</v>
      </c>
      <c r="F984" s="88">
        <f>($C$4/E984)+F983</f>
        <v>123.45132832476504</v>
      </c>
      <c r="G984" s="61">
        <f t="shared" ref="G984:G994" si="305">G983</f>
        <v>2000</v>
      </c>
      <c r="H984" s="61">
        <v>1</v>
      </c>
      <c r="I984" s="88">
        <f>E984-E983</f>
        <v>0</v>
      </c>
      <c r="J984" s="61">
        <f>(0.5*VEHICLE!$C$71*VEHICLE!$C$28*VEHICLE!$C$27*'Drive Cycle'!E984^2)</f>
        <v>31.072180965209999</v>
      </c>
      <c r="K984" s="61">
        <f>IF(A984=1,VEHICLE!$S$5,IF(A984=2,VEHICLE!$Q$5,IF(A984=3,VEHICLE!$R$5,IF(A984=4,VEHICLE!$P$5,1))))</f>
        <v>111.31014600000002</v>
      </c>
      <c r="L984" s="61">
        <v>0</v>
      </c>
      <c r="M984" s="61">
        <f t="shared" si="299"/>
        <v>0</v>
      </c>
      <c r="N984" s="61">
        <f t="shared" si="292"/>
        <v>0</v>
      </c>
      <c r="O984" s="61">
        <f t="shared" si="293"/>
        <v>0</v>
      </c>
      <c r="P984" s="61">
        <f t="shared" si="294"/>
        <v>142.38232696521001</v>
      </c>
      <c r="Q984" s="61">
        <f>IF(H984=1,I984*VEHICLE!$C$69,IF(H984=2,VEHICLE!$C$70*I984,IF(H984=3,VEHICLE!$C$71*I984,0)))</f>
        <v>0</v>
      </c>
      <c r="R984" s="61">
        <f>(J984+K984+O984+Q984)</f>
        <v>142.38232696521001</v>
      </c>
      <c r="S984" s="61">
        <f t="shared" si="295"/>
        <v>142.38232696521001</v>
      </c>
      <c r="T984" s="61">
        <f>ABS((R984)/((2*PI()*G984)/60))</f>
        <v>0.67982553436318904</v>
      </c>
      <c r="U984" s="61">
        <f t="shared" si="296"/>
        <v>1</v>
      </c>
      <c r="V984" s="61">
        <f>INDEX(BSFC!$D$4:$AD$26,MATCH(U984,BSFC!$B$4:$B$26,0),MATCH(G984,BSFC!$D$2:$AD$2,0))</f>
        <v>1081.059558720001</v>
      </c>
      <c r="W984" s="61">
        <f t="shared" si="300"/>
        <v>4.2756604321815779E-2</v>
      </c>
      <c r="X984" s="61">
        <f t="shared" si="297"/>
        <v>4.2756604321815779E-2</v>
      </c>
      <c r="Y984" s="61">
        <f t="shared" si="298"/>
        <v>0.13211790735441076</v>
      </c>
      <c r="Z984" s="79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</row>
    <row r="985" spans="1:39" x14ac:dyDescent="0.3">
      <c r="A985" s="55">
        <v>4</v>
      </c>
      <c r="B985" s="61" t="s">
        <v>130</v>
      </c>
      <c r="C985" s="61">
        <f t="shared" si="288"/>
        <v>982</v>
      </c>
      <c r="D985" s="61">
        <f t="shared" si="291"/>
        <v>13.22067</v>
      </c>
      <c r="E985" s="61">
        <f t="shared" si="304"/>
        <v>5.91</v>
      </c>
      <c r="F985" s="88">
        <f>($C$4/E985)+F984</f>
        <v>123.6205330624977</v>
      </c>
      <c r="G985" s="61">
        <f t="shared" si="305"/>
        <v>2000</v>
      </c>
      <c r="H985" s="61">
        <v>1</v>
      </c>
      <c r="I985" s="88">
        <f>E985-E984</f>
        <v>0</v>
      </c>
      <c r="J985" s="61">
        <f>(0.5*VEHICLE!$C$71*VEHICLE!$C$28*VEHICLE!$C$27*'Drive Cycle'!E985^2)</f>
        <v>31.072180965209999</v>
      </c>
      <c r="K985" s="61">
        <f>IF(A985=1,VEHICLE!$S$5,IF(A985=2,VEHICLE!$Q$5,IF(A985=3,VEHICLE!$R$5,IF(A985=4,VEHICLE!$P$5,1))))</f>
        <v>111.31014600000002</v>
      </c>
      <c r="L985" s="61">
        <v>0</v>
      </c>
      <c r="M985" s="61">
        <f t="shared" si="299"/>
        <v>0</v>
      </c>
      <c r="N985" s="61">
        <f t="shared" si="292"/>
        <v>0</v>
      </c>
      <c r="O985" s="61">
        <f t="shared" si="293"/>
        <v>0</v>
      </c>
      <c r="P985" s="61">
        <f t="shared" si="294"/>
        <v>142.38232696521001</v>
      </c>
      <c r="Q985" s="61">
        <f>IF(H985=1,I985*VEHICLE!$C$69,IF(H985=2,VEHICLE!$C$70*I985,IF(H985=3,VEHICLE!$C$71*I985,0)))</f>
        <v>0</v>
      </c>
      <c r="R985" s="61">
        <f>(J985+K985+O985+Q985)</f>
        <v>142.38232696521001</v>
      </c>
      <c r="S985" s="61">
        <f t="shared" si="295"/>
        <v>142.38232696521001</v>
      </c>
      <c r="T985" s="61">
        <f>ABS((R985)/((2*PI()*G985)/60))</f>
        <v>0.67982553436318904</v>
      </c>
      <c r="U985" s="61">
        <f t="shared" si="296"/>
        <v>1</v>
      </c>
      <c r="V985" s="61">
        <f>INDEX(BSFC!$D$4:$AD$26,MATCH(U985,BSFC!$B$4:$B$26,0),MATCH(G985,BSFC!$D$2:$AD$2,0))</f>
        <v>1081.059558720001</v>
      </c>
      <c r="W985" s="61">
        <f t="shared" si="300"/>
        <v>4.2756604321815779E-2</v>
      </c>
      <c r="X985" s="61">
        <f t="shared" si="297"/>
        <v>4.2756604321815779E-2</v>
      </c>
      <c r="Y985" s="61">
        <f t="shared" si="298"/>
        <v>0.13211790735441076</v>
      </c>
      <c r="Z985" s="79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</row>
    <row r="986" spans="1:39" x14ac:dyDescent="0.3">
      <c r="A986" s="55">
        <v>4</v>
      </c>
      <c r="B986" s="61" t="s">
        <v>130</v>
      </c>
      <c r="C986" s="61">
        <f t="shared" si="288"/>
        <v>983</v>
      </c>
      <c r="D986" s="61">
        <f t="shared" si="291"/>
        <v>13.22067</v>
      </c>
      <c r="E986" s="61">
        <f t="shared" si="304"/>
        <v>5.91</v>
      </c>
      <c r="F986" s="88">
        <f>($C$4/E986)+F985</f>
        <v>123.78973780023036</v>
      </c>
      <c r="G986" s="61">
        <f t="shared" si="305"/>
        <v>2000</v>
      </c>
      <c r="H986" s="61">
        <v>1</v>
      </c>
      <c r="I986" s="88">
        <f>E986-E985</f>
        <v>0</v>
      </c>
      <c r="J986" s="61">
        <f>(0.5*VEHICLE!$C$71*VEHICLE!$C$28*VEHICLE!$C$27*'Drive Cycle'!E986^2)</f>
        <v>31.072180965209999</v>
      </c>
      <c r="K986" s="61">
        <f>IF(A986=1,VEHICLE!$S$5,IF(A986=2,VEHICLE!$Q$5,IF(A986=3,VEHICLE!$R$5,IF(A986=4,VEHICLE!$P$5,1))))</f>
        <v>111.31014600000002</v>
      </c>
      <c r="L986" s="61">
        <v>0</v>
      </c>
      <c r="M986" s="61">
        <f t="shared" si="299"/>
        <v>0</v>
      </c>
      <c r="N986" s="61">
        <f t="shared" si="292"/>
        <v>0</v>
      </c>
      <c r="O986" s="61">
        <f t="shared" si="293"/>
        <v>0</v>
      </c>
      <c r="P986" s="61">
        <f t="shared" si="294"/>
        <v>142.38232696521001</v>
      </c>
      <c r="Q986" s="61">
        <f>IF(H986=1,I986*VEHICLE!$C$69,IF(H986=2,VEHICLE!$C$70*I986,IF(H986=3,VEHICLE!$C$71*I986,0)))</f>
        <v>0</v>
      </c>
      <c r="R986" s="61">
        <f>(J986+K986+O986+Q986)</f>
        <v>142.38232696521001</v>
      </c>
      <c r="S986" s="61">
        <f t="shared" si="295"/>
        <v>142.38232696521001</v>
      </c>
      <c r="T986" s="61">
        <f>ABS((R986)/((2*PI()*G986)/60))</f>
        <v>0.67982553436318904</v>
      </c>
      <c r="U986" s="61">
        <f t="shared" si="296"/>
        <v>1</v>
      </c>
      <c r="V986" s="61">
        <f>INDEX(BSFC!$D$4:$AD$26,MATCH(U986,BSFC!$B$4:$B$26,0),MATCH(G986,BSFC!$D$2:$AD$2,0))</f>
        <v>1081.059558720001</v>
      </c>
      <c r="W986" s="61">
        <f t="shared" si="300"/>
        <v>4.2756604321815779E-2</v>
      </c>
      <c r="X986" s="61">
        <f t="shared" si="297"/>
        <v>4.2756604321815779E-2</v>
      </c>
      <c r="Y986" s="61">
        <f t="shared" si="298"/>
        <v>0.13211790735441076</v>
      </c>
      <c r="Z986" s="79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</row>
    <row r="987" spans="1:39" x14ac:dyDescent="0.3">
      <c r="A987" s="55">
        <v>4</v>
      </c>
      <c r="B987" s="61" t="s">
        <v>130</v>
      </c>
      <c r="C987" s="61">
        <f t="shared" si="288"/>
        <v>984</v>
      </c>
      <c r="D987" s="61">
        <f t="shared" si="291"/>
        <v>13.22067</v>
      </c>
      <c r="E987" s="61">
        <f t="shared" si="304"/>
        <v>5.91</v>
      </c>
      <c r="F987" s="88">
        <f>($C$4/E987)+F986</f>
        <v>123.95894253796301</v>
      </c>
      <c r="G987" s="61">
        <f t="shared" si="305"/>
        <v>2000</v>
      </c>
      <c r="H987" s="61">
        <v>1</v>
      </c>
      <c r="I987" s="88">
        <f>E987-E986</f>
        <v>0</v>
      </c>
      <c r="J987" s="61">
        <f>(0.5*VEHICLE!$C$71*VEHICLE!$C$28*VEHICLE!$C$27*'Drive Cycle'!E987^2)</f>
        <v>31.072180965209999</v>
      </c>
      <c r="K987" s="61">
        <f>IF(A987=1,VEHICLE!$S$5,IF(A987=2,VEHICLE!$Q$5,IF(A987=3,VEHICLE!$R$5,IF(A987=4,VEHICLE!$P$5,1))))</f>
        <v>111.31014600000002</v>
      </c>
      <c r="L987" s="61">
        <v>0</v>
      </c>
      <c r="M987" s="61">
        <f t="shared" si="299"/>
        <v>0</v>
      </c>
      <c r="N987" s="61">
        <f t="shared" si="292"/>
        <v>0</v>
      </c>
      <c r="O987" s="61">
        <f t="shared" si="293"/>
        <v>0</v>
      </c>
      <c r="P987" s="61">
        <f t="shared" si="294"/>
        <v>142.38232696521001</v>
      </c>
      <c r="Q987" s="61">
        <f>IF(H987=1,I987*VEHICLE!$C$69,IF(H987=2,VEHICLE!$C$70*I987,IF(H987=3,VEHICLE!$C$71*I987,0)))</f>
        <v>0</v>
      </c>
      <c r="R987" s="61">
        <f>(J987+K987+O987+Q987)</f>
        <v>142.38232696521001</v>
      </c>
      <c r="S987" s="61">
        <f t="shared" si="295"/>
        <v>142.38232696521001</v>
      </c>
      <c r="T987" s="61">
        <f>ABS((R987)/((2*PI()*G987)/60))</f>
        <v>0.67982553436318904</v>
      </c>
      <c r="U987" s="61">
        <f t="shared" si="296"/>
        <v>1</v>
      </c>
      <c r="V987" s="61">
        <f>INDEX(BSFC!$D$4:$AD$26,MATCH(U987,BSFC!$B$4:$B$26,0),MATCH(G987,BSFC!$D$2:$AD$2,0))</f>
        <v>1081.059558720001</v>
      </c>
      <c r="W987" s="61">
        <f t="shared" si="300"/>
        <v>4.2756604321815779E-2</v>
      </c>
      <c r="X987" s="61">
        <f t="shared" si="297"/>
        <v>4.2756604321815779E-2</v>
      </c>
      <c r="Y987" s="61">
        <f t="shared" si="298"/>
        <v>0.13211790735441076</v>
      </c>
      <c r="Z987" s="79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</row>
    <row r="988" spans="1:39" x14ac:dyDescent="0.3">
      <c r="A988" s="55">
        <v>4</v>
      </c>
      <c r="B988" s="61" t="s">
        <v>130</v>
      </c>
      <c r="C988" s="61">
        <f t="shared" si="288"/>
        <v>985</v>
      </c>
      <c r="D988" s="61">
        <f t="shared" si="291"/>
        <v>13.22067</v>
      </c>
      <c r="E988" s="61">
        <f t="shared" si="304"/>
        <v>5.91</v>
      </c>
      <c r="F988" s="88">
        <f>($C$4/E988)+F987</f>
        <v>124.12814727569567</v>
      </c>
      <c r="G988" s="61">
        <f t="shared" si="305"/>
        <v>2000</v>
      </c>
      <c r="H988" s="61">
        <v>1</v>
      </c>
      <c r="I988" s="88">
        <f>E988-E987</f>
        <v>0</v>
      </c>
      <c r="J988" s="61">
        <f>(0.5*VEHICLE!$C$71*VEHICLE!$C$28*VEHICLE!$C$27*'Drive Cycle'!E988^2)</f>
        <v>31.072180965209999</v>
      </c>
      <c r="K988" s="61">
        <f>IF(A988=1,VEHICLE!$S$5,IF(A988=2,VEHICLE!$Q$5,IF(A988=3,VEHICLE!$R$5,IF(A988=4,VEHICLE!$P$5,1))))</f>
        <v>111.31014600000002</v>
      </c>
      <c r="L988" s="61">
        <v>0</v>
      </c>
      <c r="M988" s="61">
        <f t="shared" si="299"/>
        <v>0</v>
      </c>
      <c r="N988" s="61">
        <f t="shared" si="292"/>
        <v>0</v>
      </c>
      <c r="O988" s="61">
        <f t="shared" si="293"/>
        <v>0</v>
      </c>
      <c r="P988" s="61">
        <f t="shared" si="294"/>
        <v>142.38232696521001</v>
      </c>
      <c r="Q988" s="61">
        <f>IF(H988=1,I988*VEHICLE!$C$69,IF(H988=2,VEHICLE!$C$70*I988,IF(H988=3,VEHICLE!$C$71*I988,0)))</f>
        <v>0</v>
      </c>
      <c r="R988" s="61">
        <f>(J988+K988+O988+Q988)</f>
        <v>142.38232696521001</v>
      </c>
      <c r="S988" s="61">
        <f t="shared" si="295"/>
        <v>142.38232696521001</v>
      </c>
      <c r="T988" s="61">
        <f>ABS((R988)/((2*PI()*G988)/60))</f>
        <v>0.67982553436318904</v>
      </c>
      <c r="U988" s="61">
        <f t="shared" si="296"/>
        <v>1</v>
      </c>
      <c r="V988" s="61">
        <f>INDEX(BSFC!$D$4:$AD$26,MATCH(U988,BSFC!$B$4:$B$26,0),MATCH(G988,BSFC!$D$2:$AD$2,0))</f>
        <v>1081.059558720001</v>
      </c>
      <c r="W988" s="61">
        <f t="shared" si="300"/>
        <v>4.2756604321815779E-2</v>
      </c>
      <c r="X988" s="61">
        <f t="shared" si="297"/>
        <v>4.2756604321815779E-2</v>
      </c>
      <c r="Y988" s="61">
        <f t="shared" si="298"/>
        <v>0.13211790735441076</v>
      </c>
      <c r="Z988" s="79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</row>
    <row r="989" spans="1:39" x14ac:dyDescent="0.3">
      <c r="A989" s="55">
        <v>4</v>
      </c>
      <c r="B989" s="61" t="s">
        <v>130</v>
      </c>
      <c r="C989" s="61">
        <f t="shared" si="288"/>
        <v>986</v>
      </c>
      <c r="D989" s="61">
        <f t="shared" si="291"/>
        <v>13.22067</v>
      </c>
      <c r="E989" s="61">
        <f t="shared" si="304"/>
        <v>5.91</v>
      </c>
      <c r="F989" s="88">
        <f>($C$4/E989)+F988</f>
        <v>124.29735201342832</v>
      </c>
      <c r="G989" s="61">
        <f t="shared" si="305"/>
        <v>2000</v>
      </c>
      <c r="H989" s="61">
        <v>1</v>
      </c>
      <c r="I989" s="88">
        <f>E989-E988</f>
        <v>0</v>
      </c>
      <c r="J989" s="61">
        <f>(0.5*VEHICLE!$C$71*VEHICLE!$C$28*VEHICLE!$C$27*'Drive Cycle'!E989^2)</f>
        <v>31.072180965209999</v>
      </c>
      <c r="K989" s="61">
        <f>IF(A989=1,VEHICLE!$S$5,IF(A989=2,VEHICLE!$Q$5,IF(A989=3,VEHICLE!$R$5,IF(A989=4,VEHICLE!$P$5,1))))</f>
        <v>111.31014600000002</v>
      </c>
      <c r="L989" s="61">
        <v>0</v>
      </c>
      <c r="M989" s="61">
        <f t="shared" si="299"/>
        <v>0</v>
      </c>
      <c r="N989" s="61">
        <f t="shared" si="292"/>
        <v>0</v>
      </c>
      <c r="O989" s="61">
        <f t="shared" si="293"/>
        <v>0</v>
      </c>
      <c r="P989" s="61">
        <f t="shared" si="294"/>
        <v>142.38232696521001</v>
      </c>
      <c r="Q989" s="61">
        <f>IF(H989=1,I989*VEHICLE!$C$69,IF(H989=2,VEHICLE!$C$70*I989,IF(H989=3,VEHICLE!$C$71*I989,0)))</f>
        <v>0</v>
      </c>
      <c r="R989" s="61">
        <f>(J989+K989+O989+Q989)</f>
        <v>142.38232696521001</v>
      </c>
      <c r="S989" s="61">
        <f t="shared" si="295"/>
        <v>142.38232696521001</v>
      </c>
      <c r="T989" s="61">
        <f>ABS((R989)/((2*PI()*G989)/60))</f>
        <v>0.67982553436318904</v>
      </c>
      <c r="U989" s="61">
        <f t="shared" si="296"/>
        <v>1</v>
      </c>
      <c r="V989" s="61">
        <f>INDEX(BSFC!$D$4:$AD$26,MATCH(U989,BSFC!$B$4:$B$26,0),MATCH(G989,BSFC!$D$2:$AD$2,0))</f>
        <v>1081.059558720001</v>
      </c>
      <c r="W989" s="61">
        <f t="shared" si="300"/>
        <v>4.2756604321815779E-2</v>
      </c>
      <c r="X989" s="61">
        <f t="shared" si="297"/>
        <v>4.2756604321815779E-2</v>
      </c>
      <c r="Y989" s="61">
        <f t="shared" si="298"/>
        <v>0.13211790735441076</v>
      </c>
      <c r="Z989" s="79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</row>
    <row r="990" spans="1:39" x14ac:dyDescent="0.3">
      <c r="A990" s="55">
        <v>4</v>
      </c>
      <c r="B990" s="61" t="s">
        <v>130</v>
      </c>
      <c r="C990" s="61">
        <f t="shared" si="288"/>
        <v>987</v>
      </c>
      <c r="D990" s="61">
        <f t="shared" si="291"/>
        <v>13.22067</v>
      </c>
      <c r="E990" s="61">
        <f t="shared" si="304"/>
        <v>5.91</v>
      </c>
      <c r="F990" s="88">
        <f>($C$4/E990)+F989</f>
        <v>124.46655675116098</v>
      </c>
      <c r="G990" s="61">
        <f t="shared" si="305"/>
        <v>2000</v>
      </c>
      <c r="H990" s="61">
        <v>1</v>
      </c>
      <c r="I990" s="88">
        <f>E990-E989</f>
        <v>0</v>
      </c>
      <c r="J990" s="61">
        <f>(0.5*VEHICLE!$C$71*VEHICLE!$C$28*VEHICLE!$C$27*'Drive Cycle'!E990^2)</f>
        <v>31.072180965209999</v>
      </c>
      <c r="K990" s="61">
        <f>IF(A990=1,VEHICLE!$S$5,IF(A990=2,VEHICLE!$Q$5,IF(A990=3,VEHICLE!$R$5,IF(A990=4,VEHICLE!$P$5,1))))</f>
        <v>111.31014600000002</v>
      </c>
      <c r="L990" s="61">
        <v>0</v>
      </c>
      <c r="M990" s="61">
        <f t="shared" si="299"/>
        <v>0</v>
      </c>
      <c r="N990" s="61">
        <f t="shared" si="292"/>
        <v>0</v>
      </c>
      <c r="O990" s="61">
        <f t="shared" si="293"/>
        <v>0</v>
      </c>
      <c r="P990" s="61">
        <f t="shared" si="294"/>
        <v>142.38232696521001</v>
      </c>
      <c r="Q990" s="61">
        <f>IF(H990=1,I990*VEHICLE!$C$69,IF(H990=2,VEHICLE!$C$70*I990,IF(H990=3,VEHICLE!$C$71*I990,0)))</f>
        <v>0</v>
      </c>
      <c r="R990" s="61">
        <f>(J990+K990+O990+Q990)</f>
        <v>142.38232696521001</v>
      </c>
      <c r="S990" s="61">
        <f t="shared" si="295"/>
        <v>142.38232696521001</v>
      </c>
      <c r="T990" s="61">
        <f>ABS((R990)/((2*PI()*G990)/60))</f>
        <v>0.67982553436318904</v>
      </c>
      <c r="U990" s="61">
        <f t="shared" si="296"/>
        <v>1</v>
      </c>
      <c r="V990" s="61">
        <f>INDEX(BSFC!$D$4:$AD$26,MATCH(U990,BSFC!$B$4:$B$26,0),MATCH(G990,BSFC!$D$2:$AD$2,0))</f>
        <v>1081.059558720001</v>
      </c>
      <c r="W990" s="61">
        <f t="shared" si="300"/>
        <v>4.2756604321815779E-2</v>
      </c>
      <c r="X990" s="61">
        <f t="shared" si="297"/>
        <v>4.2756604321815779E-2</v>
      </c>
      <c r="Y990" s="61">
        <f t="shared" si="298"/>
        <v>0.13211790735441076</v>
      </c>
      <c r="Z990" s="79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</row>
    <row r="991" spans="1:39" x14ac:dyDescent="0.3">
      <c r="A991" s="55">
        <v>4</v>
      </c>
      <c r="B991" s="61" t="s">
        <v>130</v>
      </c>
      <c r="C991" s="61">
        <f t="shared" si="288"/>
        <v>988</v>
      </c>
      <c r="D991" s="61">
        <f t="shared" si="291"/>
        <v>13.22067</v>
      </c>
      <c r="E991" s="61">
        <f t="shared" si="304"/>
        <v>5.91</v>
      </c>
      <c r="F991" s="88">
        <f>($C$4/E991)+F990</f>
        <v>124.63576148889364</v>
      </c>
      <c r="G991" s="61">
        <f t="shared" si="305"/>
        <v>2000</v>
      </c>
      <c r="H991" s="61">
        <v>1</v>
      </c>
      <c r="I991" s="88">
        <f>E991-E990</f>
        <v>0</v>
      </c>
      <c r="J991" s="61">
        <f>(0.5*VEHICLE!$C$71*VEHICLE!$C$28*VEHICLE!$C$27*'Drive Cycle'!E991^2)</f>
        <v>31.072180965209999</v>
      </c>
      <c r="K991" s="61">
        <f>IF(A991=1,VEHICLE!$S$5,IF(A991=2,VEHICLE!$Q$5,IF(A991=3,VEHICLE!$R$5,IF(A991=4,VEHICLE!$P$5,1))))</f>
        <v>111.31014600000002</v>
      </c>
      <c r="L991" s="61">
        <v>0</v>
      </c>
      <c r="M991" s="61">
        <f t="shared" si="299"/>
        <v>0</v>
      </c>
      <c r="N991" s="61">
        <f t="shared" si="292"/>
        <v>0</v>
      </c>
      <c r="O991" s="61">
        <f t="shared" si="293"/>
        <v>0</v>
      </c>
      <c r="P991" s="61">
        <f t="shared" si="294"/>
        <v>142.38232696521001</v>
      </c>
      <c r="Q991" s="61">
        <f>IF(H991=1,I991*VEHICLE!$C$69,IF(H991=2,VEHICLE!$C$70*I991,IF(H991=3,VEHICLE!$C$71*I991,0)))</f>
        <v>0</v>
      </c>
      <c r="R991" s="61">
        <f>(J991+K991+O991+Q991)</f>
        <v>142.38232696521001</v>
      </c>
      <c r="S991" s="61">
        <f t="shared" si="295"/>
        <v>142.38232696521001</v>
      </c>
      <c r="T991" s="61">
        <f>ABS((R991)/((2*PI()*G991)/60))</f>
        <v>0.67982553436318904</v>
      </c>
      <c r="U991" s="61">
        <f t="shared" si="296"/>
        <v>1</v>
      </c>
      <c r="V991" s="61">
        <f>INDEX(BSFC!$D$4:$AD$26,MATCH(U991,BSFC!$B$4:$B$26,0),MATCH(G991,BSFC!$D$2:$AD$2,0))</f>
        <v>1081.059558720001</v>
      </c>
      <c r="W991" s="61">
        <f t="shared" si="300"/>
        <v>4.2756604321815779E-2</v>
      </c>
      <c r="X991" s="61">
        <f t="shared" si="297"/>
        <v>4.2756604321815779E-2</v>
      </c>
      <c r="Y991" s="61">
        <f t="shared" si="298"/>
        <v>0.13211790735441076</v>
      </c>
      <c r="Z991" s="79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</row>
    <row r="992" spans="1:39" x14ac:dyDescent="0.3">
      <c r="A992" s="55">
        <v>4</v>
      </c>
      <c r="B992" s="61" t="s">
        <v>130</v>
      </c>
      <c r="C992" s="61">
        <f t="shared" si="288"/>
        <v>989</v>
      </c>
      <c r="D992" s="61">
        <f t="shared" si="291"/>
        <v>13.22067</v>
      </c>
      <c r="E992" s="61">
        <f t="shared" si="304"/>
        <v>5.91</v>
      </c>
      <c r="F992" s="88">
        <f>($C$4/E992)+F991</f>
        <v>124.80496622662629</v>
      </c>
      <c r="G992" s="61">
        <f t="shared" si="305"/>
        <v>2000</v>
      </c>
      <c r="H992" s="61">
        <v>1</v>
      </c>
      <c r="I992" s="88">
        <f>E992-E991</f>
        <v>0</v>
      </c>
      <c r="J992" s="61">
        <f>(0.5*VEHICLE!$C$71*VEHICLE!$C$28*VEHICLE!$C$27*'Drive Cycle'!E992^2)</f>
        <v>31.072180965209999</v>
      </c>
      <c r="K992" s="61">
        <f>IF(A992=1,VEHICLE!$S$5,IF(A992=2,VEHICLE!$Q$5,IF(A992=3,VEHICLE!$R$5,IF(A992=4,VEHICLE!$P$5,1))))</f>
        <v>111.31014600000002</v>
      </c>
      <c r="L992" s="61">
        <v>0</v>
      </c>
      <c r="M992" s="61">
        <f t="shared" si="299"/>
        <v>0</v>
      </c>
      <c r="N992" s="61">
        <f t="shared" si="292"/>
        <v>0</v>
      </c>
      <c r="O992" s="61">
        <f t="shared" si="293"/>
        <v>0</v>
      </c>
      <c r="P992" s="61">
        <f t="shared" si="294"/>
        <v>142.38232696521001</v>
      </c>
      <c r="Q992" s="61">
        <f>IF(H992=1,I992*VEHICLE!$C$69,IF(H992=2,VEHICLE!$C$70*I992,IF(H992=3,VEHICLE!$C$71*I992,0)))</f>
        <v>0</v>
      </c>
      <c r="R992" s="61">
        <f>(J992+K992+O992+Q992)</f>
        <v>142.38232696521001</v>
      </c>
      <c r="S992" s="61">
        <f t="shared" si="295"/>
        <v>142.38232696521001</v>
      </c>
      <c r="T992" s="61">
        <f>ABS((R992)/((2*PI()*G992)/60))</f>
        <v>0.67982553436318904</v>
      </c>
      <c r="U992" s="61">
        <f t="shared" si="296"/>
        <v>1</v>
      </c>
      <c r="V992" s="61">
        <f>INDEX(BSFC!$D$4:$AD$26,MATCH(U992,BSFC!$B$4:$B$26,0),MATCH(G992,BSFC!$D$2:$AD$2,0))</f>
        <v>1081.059558720001</v>
      </c>
      <c r="W992" s="61">
        <f t="shared" si="300"/>
        <v>4.2756604321815779E-2</v>
      </c>
      <c r="X992" s="61">
        <f t="shared" si="297"/>
        <v>4.2756604321815779E-2</v>
      </c>
      <c r="Y992" s="61">
        <f t="shared" si="298"/>
        <v>0.13211790735441076</v>
      </c>
      <c r="Z992" s="79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</row>
    <row r="993" spans="1:39" x14ac:dyDescent="0.3">
      <c r="A993" s="55">
        <v>4</v>
      </c>
      <c r="B993" s="61" t="s">
        <v>130</v>
      </c>
      <c r="C993" s="61">
        <f t="shared" si="288"/>
        <v>990</v>
      </c>
      <c r="D993" s="61">
        <f t="shared" si="291"/>
        <v>13.22067</v>
      </c>
      <c r="E993" s="61">
        <f t="shared" si="304"/>
        <v>5.91</v>
      </c>
      <c r="F993" s="88">
        <f>($C$4/E993)+F992</f>
        <v>124.97417096435895</v>
      </c>
      <c r="G993" s="61">
        <f t="shared" si="305"/>
        <v>2000</v>
      </c>
      <c r="H993" s="61">
        <v>1</v>
      </c>
      <c r="I993" s="88">
        <f>E993-E992</f>
        <v>0</v>
      </c>
      <c r="J993" s="61">
        <f>(0.5*VEHICLE!$C$71*VEHICLE!$C$28*VEHICLE!$C$27*'Drive Cycle'!E993^2)</f>
        <v>31.072180965209999</v>
      </c>
      <c r="K993" s="61">
        <f>IF(A993=1,VEHICLE!$S$5,IF(A993=2,VEHICLE!$Q$5,IF(A993=3,VEHICLE!$R$5,IF(A993=4,VEHICLE!$P$5,1))))</f>
        <v>111.31014600000002</v>
      </c>
      <c r="L993" s="61">
        <v>0</v>
      </c>
      <c r="M993" s="61">
        <f t="shared" si="299"/>
        <v>0</v>
      </c>
      <c r="N993" s="61">
        <f t="shared" si="292"/>
        <v>0</v>
      </c>
      <c r="O993" s="61">
        <f t="shared" si="293"/>
        <v>0</v>
      </c>
      <c r="P993" s="61">
        <f t="shared" si="294"/>
        <v>142.38232696521001</v>
      </c>
      <c r="Q993" s="61">
        <f>IF(H993=1,I993*VEHICLE!$C$69,IF(H993=2,VEHICLE!$C$70*I993,IF(H993=3,VEHICLE!$C$71*I993,0)))</f>
        <v>0</v>
      </c>
      <c r="R993" s="61">
        <f>(J993+K993+O993+Q993)</f>
        <v>142.38232696521001</v>
      </c>
      <c r="S993" s="61">
        <f t="shared" si="295"/>
        <v>142.38232696521001</v>
      </c>
      <c r="T993" s="61">
        <f>ABS((R993)/((2*PI()*G993)/60))</f>
        <v>0.67982553436318904</v>
      </c>
      <c r="U993" s="61">
        <f t="shared" si="296"/>
        <v>1</v>
      </c>
      <c r="V993" s="61">
        <f>INDEX(BSFC!$D$4:$AD$26,MATCH(U993,BSFC!$B$4:$B$26,0),MATCH(G993,BSFC!$D$2:$AD$2,0))</f>
        <v>1081.059558720001</v>
      </c>
      <c r="W993" s="61">
        <f t="shared" si="300"/>
        <v>4.2756604321815779E-2</v>
      </c>
      <c r="X993" s="61">
        <f t="shared" si="297"/>
        <v>4.2756604321815779E-2</v>
      </c>
      <c r="Y993" s="61">
        <f t="shared" si="298"/>
        <v>0.13211790735441076</v>
      </c>
      <c r="Z993" s="79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</row>
    <row r="994" spans="1:39" x14ac:dyDescent="0.3">
      <c r="A994" s="55">
        <v>4</v>
      </c>
      <c r="B994" s="61" t="s">
        <v>130</v>
      </c>
      <c r="C994" s="61">
        <f t="shared" si="288"/>
        <v>991</v>
      </c>
      <c r="D994" s="61">
        <f t="shared" si="291"/>
        <v>13.22067</v>
      </c>
      <c r="E994" s="61">
        <f t="shared" si="304"/>
        <v>5.91</v>
      </c>
      <c r="F994" s="88">
        <f>($C$4/E994)+F993</f>
        <v>125.1433757020916</v>
      </c>
      <c r="G994" s="61">
        <f t="shared" si="305"/>
        <v>2000</v>
      </c>
      <c r="H994" s="61">
        <v>1</v>
      </c>
      <c r="I994" s="88">
        <f>E994-E993</f>
        <v>0</v>
      </c>
      <c r="J994" s="61">
        <f>(0.5*VEHICLE!$C$71*VEHICLE!$C$28*VEHICLE!$C$27*'Drive Cycle'!E994^2)</f>
        <v>31.072180965209999</v>
      </c>
      <c r="K994" s="61">
        <f>IF(A994=1,VEHICLE!$S$5,IF(A994=2,VEHICLE!$Q$5,IF(A994=3,VEHICLE!$R$5,IF(A994=4,VEHICLE!$P$5,1))))</f>
        <v>111.31014600000002</v>
      </c>
      <c r="L994" s="61">
        <v>0</v>
      </c>
      <c r="M994" s="61">
        <f t="shared" si="299"/>
        <v>0</v>
      </c>
      <c r="N994" s="61">
        <f t="shared" si="292"/>
        <v>0</v>
      </c>
      <c r="O994" s="61">
        <f t="shared" si="293"/>
        <v>0</v>
      </c>
      <c r="P994" s="61">
        <f t="shared" si="294"/>
        <v>142.38232696521001</v>
      </c>
      <c r="Q994" s="61">
        <f>IF(H994=1,I994*VEHICLE!$C$69,IF(H994=2,VEHICLE!$C$70*I994,IF(H994=3,VEHICLE!$C$71*I994,0)))</f>
        <v>0</v>
      </c>
      <c r="R994" s="61">
        <f>(J994+K994+O994+Q994)</f>
        <v>142.38232696521001</v>
      </c>
      <c r="S994" s="61">
        <f t="shared" si="295"/>
        <v>142.38232696521001</v>
      </c>
      <c r="T994" s="61">
        <f>ABS((R994)/((2*PI()*G994)/60))</f>
        <v>0.67982553436318904</v>
      </c>
      <c r="U994" s="61">
        <f t="shared" si="296"/>
        <v>1</v>
      </c>
      <c r="V994" s="61">
        <f>INDEX(BSFC!$D$4:$AD$26,MATCH(U994,BSFC!$B$4:$B$26,0),MATCH(G994,BSFC!$D$2:$AD$2,0))</f>
        <v>1081.059558720001</v>
      </c>
      <c r="W994" s="61">
        <f t="shared" si="300"/>
        <v>4.2756604321815779E-2</v>
      </c>
      <c r="X994" s="61">
        <f t="shared" si="297"/>
        <v>4.2756604321815779E-2</v>
      </c>
      <c r="Y994" s="61">
        <f t="shared" si="298"/>
        <v>0.13211790735441076</v>
      </c>
      <c r="Z994" s="79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</row>
    <row r="995" spans="1:39" x14ac:dyDescent="0.3">
      <c r="A995" s="55">
        <v>4</v>
      </c>
      <c r="B995" s="61" t="s">
        <v>130</v>
      </c>
      <c r="C995" s="61">
        <f t="shared" si="288"/>
        <v>992</v>
      </c>
      <c r="D995" s="61">
        <f t="shared" si="291"/>
        <v>14.898420000000002</v>
      </c>
      <c r="E995" s="61">
        <f>E994+0.75</f>
        <v>6.66</v>
      </c>
      <c r="F995" s="88">
        <f>($C$4/E995)+F994</f>
        <v>125.29352585224176</v>
      </c>
      <c r="G995" s="61">
        <f>G994+500</f>
        <v>2500</v>
      </c>
      <c r="H995" s="61">
        <v>1</v>
      </c>
      <c r="I995" s="88">
        <f>E995-E994</f>
        <v>0.75</v>
      </c>
      <c r="J995" s="61">
        <f>(0.5*VEHICLE!$C$71*VEHICLE!$C$28*VEHICLE!$C$27*'Drive Cycle'!E995^2)</f>
        <v>39.458923617959996</v>
      </c>
      <c r="K995" s="61">
        <f>IF(A995=1,VEHICLE!$S$5,IF(A995=2,VEHICLE!$Q$5,IF(A995=3,VEHICLE!$R$5,IF(A995=4,VEHICLE!$P$5,1))))</f>
        <v>111.31014600000002</v>
      </c>
      <c r="L995" s="61">
        <v>0</v>
      </c>
      <c r="M995" s="61">
        <f t="shared" si="299"/>
        <v>0</v>
      </c>
      <c r="N995" s="61">
        <f t="shared" si="292"/>
        <v>0</v>
      </c>
      <c r="O995" s="61">
        <f t="shared" si="293"/>
        <v>0</v>
      </c>
      <c r="P995" s="61">
        <f t="shared" si="294"/>
        <v>150.76906961796001</v>
      </c>
      <c r="Q995" s="61">
        <f>IF(H995=1,I995*VEHICLE!$C$69,IF(H995=2,VEHICLE!$C$70*I995,IF(H995=3,VEHICLE!$C$71*I995,0)))</f>
        <v>440.49017657114598</v>
      </c>
      <c r="R995" s="61">
        <f>(J995+K995+O995+Q995)</f>
        <v>591.25924618910597</v>
      </c>
      <c r="S995" s="61">
        <f t="shared" si="295"/>
        <v>591.25924618910597</v>
      </c>
      <c r="T995" s="61">
        <f>ABS((R995)/((2*PI()*G995)/60))</f>
        <v>2.2584439603148185</v>
      </c>
      <c r="U995" s="61">
        <f t="shared" si="296"/>
        <v>3</v>
      </c>
      <c r="V995" s="61">
        <f>INDEX(BSFC!$D$4:$AD$26,MATCH(U995,BSFC!$B$4:$B$26,0),MATCH(G995,BSFC!$D$2:$AD$2,0))</f>
        <v>898.36185024000031</v>
      </c>
      <c r="W995" s="61">
        <f t="shared" si="300"/>
        <v>0.14754576399387584</v>
      </c>
      <c r="X995" s="61">
        <f t="shared" si="297"/>
        <v>0.14754576399387584</v>
      </c>
      <c r="Y995" s="61">
        <f t="shared" si="298"/>
        <v>0.45591641074107631</v>
      </c>
      <c r="Z995" s="79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</row>
    <row r="996" spans="1:39" x14ac:dyDescent="0.3">
      <c r="A996" s="55">
        <v>4</v>
      </c>
      <c r="B996" s="61" t="s">
        <v>130</v>
      </c>
      <c r="C996" s="61">
        <f t="shared" si="288"/>
        <v>993</v>
      </c>
      <c r="D996" s="61">
        <f t="shared" si="291"/>
        <v>16.576170000000001</v>
      </c>
      <c r="E996" s="61">
        <f t="shared" ref="E996:E1003" si="306">E995+0.75</f>
        <v>7.41</v>
      </c>
      <c r="F996" s="88">
        <f>($C$4/E996)+F995</f>
        <v>125.42847861877347</v>
      </c>
      <c r="G996" s="61">
        <f t="shared" ref="G996:G1003" si="307">G995+500</f>
        <v>3000</v>
      </c>
      <c r="H996" s="61">
        <v>1</v>
      </c>
      <c r="I996" s="88">
        <f>E996-E995</f>
        <v>0.75</v>
      </c>
      <c r="J996" s="61">
        <f>(0.5*VEHICLE!$C$71*VEHICLE!$C$28*VEHICLE!$C$27*'Drive Cycle'!E996^2)</f>
        <v>48.846470883209996</v>
      </c>
      <c r="K996" s="61">
        <f>IF(A996=1,VEHICLE!$S$5,IF(A996=2,VEHICLE!$Q$5,IF(A996=3,VEHICLE!$R$5,IF(A996=4,VEHICLE!$P$5,1))))</f>
        <v>111.31014600000002</v>
      </c>
      <c r="L996" s="61">
        <v>0</v>
      </c>
      <c r="M996" s="61">
        <f t="shared" si="299"/>
        <v>0</v>
      </c>
      <c r="N996" s="61">
        <f t="shared" si="292"/>
        <v>0</v>
      </c>
      <c r="O996" s="61">
        <f t="shared" si="293"/>
        <v>0</v>
      </c>
      <c r="P996" s="61">
        <f t="shared" si="294"/>
        <v>160.15661688321001</v>
      </c>
      <c r="Q996" s="61">
        <f>IF(H996=1,I996*VEHICLE!$C$69,IF(H996=2,VEHICLE!$C$70*I996,IF(H996=3,VEHICLE!$C$71*I996,0)))</f>
        <v>440.49017657114598</v>
      </c>
      <c r="R996" s="61">
        <f>(J996+K996+O996+Q996)</f>
        <v>600.64679345435593</v>
      </c>
      <c r="S996" s="61">
        <f t="shared" si="295"/>
        <v>600.64679345435593</v>
      </c>
      <c r="T996" s="61">
        <f>ABS((R996)/((2*PI()*G996)/60))</f>
        <v>1.9119181246111485</v>
      </c>
      <c r="U996" s="61">
        <f t="shared" si="296"/>
        <v>2</v>
      </c>
      <c r="V996" s="61">
        <f>INDEX(BSFC!$D$4:$AD$26,MATCH(U996,BSFC!$B$4:$B$26,0),MATCH(G996,BSFC!$D$2:$AD$2,0))</f>
        <v>929.28963552000016</v>
      </c>
      <c r="W996" s="61">
        <f t="shared" si="300"/>
        <v>0.15504856660151534</v>
      </c>
      <c r="X996" s="61">
        <f t="shared" si="297"/>
        <v>0.15504856660151534</v>
      </c>
      <c r="Y996" s="61">
        <f t="shared" si="298"/>
        <v>0.47910007079868239</v>
      </c>
      <c r="Z996" s="79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</row>
    <row r="997" spans="1:39" x14ac:dyDescent="0.3">
      <c r="A997" s="55">
        <v>4</v>
      </c>
      <c r="B997" s="61" t="s">
        <v>130</v>
      </c>
      <c r="C997" s="61">
        <f t="shared" si="288"/>
        <v>994</v>
      </c>
      <c r="D997" s="61">
        <f t="shared" si="291"/>
        <v>18.253920000000001</v>
      </c>
      <c r="E997" s="61">
        <f t="shared" si="306"/>
        <v>8.16</v>
      </c>
      <c r="F997" s="88">
        <f>($C$4/E997)+F996</f>
        <v>125.55102763838131</v>
      </c>
      <c r="G997" s="61">
        <f t="shared" si="307"/>
        <v>3500</v>
      </c>
      <c r="H997" s="61">
        <v>1</v>
      </c>
      <c r="I997" s="88">
        <f>E997-E996</f>
        <v>0.75</v>
      </c>
      <c r="J997" s="61">
        <f>(0.5*VEHICLE!$C$71*VEHICLE!$C$28*VEHICLE!$C$27*'Drive Cycle'!E997^2)</f>
        <v>59.234822760959993</v>
      </c>
      <c r="K997" s="61">
        <f>IF(A997=1,VEHICLE!$S$5,IF(A997=2,VEHICLE!$Q$5,IF(A997=3,VEHICLE!$R$5,IF(A997=4,VEHICLE!$P$5,1))))</f>
        <v>111.31014600000002</v>
      </c>
      <c r="L997" s="61">
        <v>0</v>
      </c>
      <c r="M997" s="61">
        <f t="shared" si="299"/>
        <v>0</v>
      </c>
      <c r="N997" s="61">
        <f t="shared" si="292"/>
        <v>0</v>
      </c>
      <c r="O997" s="61">
        <f t="shared" si="293"/>
        <v>0</v>
      </c>
      <c r="P997" s="61">
        <f t="shared" si="294"/>
        <v>170.54496876096002</v>
      </c>
      <c r="Q997" s="61">
        <f>IF(H997=1,I997*VEHICLE!$C$69,IF(H997=2,VEHICLE!$C$70*I997,IF(H997=3,VEHICLE!$C$71*I997,0)))</f>
        <v>440.49017657114598</v>
      </c>
      <c r="R997" s="61">
        <f>(J997+K997+O997+Q997)</f>
        <v>611.03514533210603</v>
      </c>
      <c r="S997" s="61">
        <f t="shared" si="295"/>
        <v>611.03514533210603</v>
      </c>
      <c r="T997" s="61">
        <f>ABS((R997)/((2*PI()*G997)/60))</f>
        <v>1.6671302362710745</v>
      </c>
      <c r="U997" s="61">
        <f t="shared" si="296"/>
        <v>2</v>
      </c>
      <c r="V997" s="61">
        <f>INDEX(BSFC!$D$4:$AD$26,MATCH(U997,BSFC!$B$4:$B$26,0),MATCH(G997,BSFC!$D$2:$AD$2,0))</f>
        <v>905.74442879999992</v>
      </c>
      <c r="W997" s="61">
        <f t="shared" si="300"/>
        <v>0.15373379963487591</v>
      </c>
      <c r="X997" s="61">
        <f t="shared" si="297"/>
        <v>0.15373379963487591</v>
      </c>
      <c r="Y997" s="61">
        <f t="shared" si="298"/>
        <v>0.47503744087176653</v>
      </c>
      <c r="Z997" s="79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</row>
    <row r="998" spans="1:39" x14ac:dyDescent="0.3">
      <c r="A998" s="55">
        <v>4</v>
      </c>
      <c r="B998" s="61" t="s">
        <v>130</v>
      </c>
      <c r="C998" s="61">
        <f t="shared" si="288"/>
        <v>995</v>
      </c>
      <c r="D998" s="61">
        <f t="shared" si="291"/>
        <v>19.93167</v>
      </c>
      <c r="E998" s="61">
        <f t="shared" si="306"/>
        <v>8.91</v>
      </c>
      <c r="F998" s="88">
        <f>($C$4/E998)+F997</f>
        <v>125.66326108394809</v>
      </c>
      <c r="G998" s="61">
        <f t="shared" si="307"/>
        <v>4000</v>
      </c>
      <c r="H998" s="61">
        <v>1</v>
      </c>
      <c r="I998" s="88">
        <f>E998-E997</f>
        <v>0.75</v>
      </c>
      <c r="J998" s="61">
        <f>(0.5*VEHICLE!$C$71*VEHICLE!$C$28*VEHICLE!$C$27*'Drive Cycle'!E998^2)</f>
        <v>70.623979251210002</v>
      </c>
      <c r="K998" s="61">
        <f>IF(A998=1,VEHICLE!$S$5,IF(A998=2,VEHICLE!$Q$5,IF(A998=3,VEHICLE!$R$5,IF(A998=4,VEHICLE!$P$5,1))))</f>
        <v>111.31014600000002</v>
      </c>
      <c r="L998" s="61">
        <v>0</v>
      </c>
      <c r="M998" s="61">
        <f t="shared" si="299"/>
        <v>0</v>
      </c>
      <c r="N998" s="61">
        <f t="shared" si="292"/>
        <v>0</v>
      </c>
      <c r="O998" s="61">
        <f t="shared" si="293"/>
        <v>0</v>
      </c>
      <c r="P998" s="61">
        <f t="shared" si="294"/>
        <v>181.93412525121002</v>
      </c>
      <c r="Q998" s="61">
        <f>IF(H998=1,I998*VEHICLE!$C$69,IF(H998=2,VEHICLE!$C$70*I998,IF(H998=3,VEHICLE!$C$71*I998,0)))</f>
        <v>440.49017657114598</v>
      </c>
      <c r="R998" s="61">
        <f>(J998+K998+O998+Q998)</f>
        <v>622.42430182235603</v>
      </c>
      <c r="S998" s="61">
        <f t="shared" si="295"/>
        <v>622.42430182235603</v>
      </c>
      <c r="T998" s="61">
        <f>ABS((R998)/((2*PI()*G998)/60))</f>
        <v>1.4859285650332466</v>
      </c>
      <c r="U998" s="61">
        <f t="shared" si="296"/>
        <v>2</v>
      </c>
      <c r="V998" s="61">
        <f>INDEX(BSFC!$D$4:$AD$26,MATCH(U998,BSFC!$B$4:$B$26,0),MATCH(G998,BSFC!$D$2:$AD$2,0))</f>
        <v>918.89477663999969</v>
      </c>
      <c r="W998" s="61">
        <f t="shared" si="300"/>
        <v>0.15887289994398934</v>
      </c>
      <c r="X998" s="61">
        <f t="shared" si="297"/>
        <v>0.15887289994398934</v>
      </c>
      <c r="Y998" s="61">
        <f t="shared" si="298"/>
        <v>0.49091726082692705</v>
      </c>
      <c r="Z998" s="79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</row>
    <row r="999" spans="1:39" x14ac:dyDescent="0.3">
      <c r="A999" s="55">
        <v>4</v>
      </c>
      <c r="B999" s="62" t="s">
        <v>115</v>
      </c>
      <c r="C999" s="62">
        <f t="shared" si="288"/>
        <v>996</v>
      </c>
      <c r="D999" s="62">
        <f t="shared" si="291"/>
        <v>21.60942</v>
      </c>
      <c r="E999" s="62">
        <f t="shared" si="306"/>
        <v>9.66</v>
      </c>
      <c r="F999" s="87">
        <f>($C$4/E999)+F998</f>
        <v>125.76678075268515</v>
      </c>
      <c r="G999" s="62">
        <f t="shared" si="307"/>
        <v>4500</v>
      </c>
      <c r="H999" s="62">
        <v>1</v>
      </c>
      <c r="I999" s="87">
        <f>E999-E998</f>
        <v>0.75</v>
      </c>
      <c r="J999" s="62">
        <f>(0.5*VEHICLE!$C$71*VEHICLE!$C$28*VEHICLE!$C$27*'Drive Cycle'!E999^2)</f>
        <v>83.013940353959995</v>
      </c>
      <c r="K999" s="62">
        <f>IF(A999=1,VEHICLE!$S$5,IF(A999=2,VEHICLE!$Q$5,IF(A999=3,VEHICLE!$R$5,IF(A999=4,VEHICLE!$P$5,1))))</f>
        <v>111.31014600000002</v>
      </c>
      <c r="L999" s="62">
        <v>0</v>
      </c>
      <c r="M999" s="62">
        <f t="shared" si="299"/>
        <v>0</v>
      </c>
      <c r="N999" s="62">
        <f t="shared" si="292"/>
        <v>0</v>
      </c>
      <c r="O999" s="62">
        <f t="shared" si="293"/>
        <v>0</v>
      </c>
      <c r="P999" s="62">
        <f t="shared" si="294"/>
        <v>194.32408635396001</v>
      </c>
      <c r="Q999" s="62">
        <f>IF(H999=1,I999*VEHICLE!$C$69,IF(H999=2,VEHICLE!$C$70*I999,IF(H999=3,VEHICLE!$C$71*I999,0)))</f>
        <v>440.49017657114598</v>
      </c>
      <c r="R999" s="62">
        <f>(J999+K999+O999+Q999)</f>
        <v>634.81426292510605</v>
      </c>
      <c r="S999" s="62">
        <f t="shared" si="295"/>
        <v>634.81426292510605</v>
      </c>
      <c r="T999" s="62">
        <f>ABS((R999)/((2*PI()*G999)/60))</f>
        <v>1.3471177051969163</v>
      </c>
      <c r="U999" s="62">
        <f t="shared" si="296"/>
        <v>2</v>
      </c>
      <c r="V999" s="62">
        <f>INDEX(BSFC!$D$4:$AD$26,MATCH(U999,BSFC!$B$4:$B$26,0),MATCH(G999,BSFC!$D$2:$AD$2,0))</f>
        <v>900.04656767999984</v>
      </c>
      <c r="W999" s="62">
        <f t="shared" si="300"/>
        <v>0.15871177735001407</v>
      </c>
      <c r="X999" s="62">
        <f t="shared" si="297"/>
        <v>0.15871177735001407</v>
      </c>
      <c r="Y999" s="62">
        <f t="shared" si="298"/>
        <v>0.49041939201154344</v>
      </c>
      <c r="Z999" s="79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</row>
    <row r="1000" spans="1:39" x14ac:dyDescent="0.3">
      <c r="A1000" s="55">
        <v>4</v>
      </c>
      <c r="B1000" s="62" t="s">
        <v>115</v>
      </c>
      <c r="C1000" s="62">
        <f t="shared" ref="C1000:C1063" si="308">C999+1</f>
        <v>997</v>
      </c>
      <c r="D1000" s="62">
        <f t="shared" si="291"/>
        <v>23.28717</v>
      </c>
      <c r="E1000" s="62">
        <f t="shared" si="306"/>
        <v>10.41</v>
      </c>
      <c r="F1000" s="87">
        <f>($C$4/E1000)+F999</f>
        <v>125.86284223203194</v>
      </c>
      <c r="G1000" s="62">
        <f t="shared" si="307"/>
        <v>5000</v>
      </c>
      <c r="H1000" s="62">
        <v>2</v>
      </c>
      <c r="I1000" s="87">
        <f>E1000-E999</f>
        <v>0.75</v>
      </c>
      <c r="J1000" s="62">
        <f>(0.5*VEHICLE!$C$71*VEHICLE!$C$28*VEHICLE!$C$27*'Drive Cycle'!E1000^2)</f>
        <v>96.404706069209993</v>
      </c>
      <c r="K1000" s="62">
        <f>IF(A1000=1,VEHICLE!$S$5,IF(A1000=2,VEHICLE!$Q$5,IF(A1000=3,VEHICLE!$R$5,IF(A1000=4,VEHICLE!$P$5,1))))</f>
        <v>111.31014600000002</v>
      </c>
      <c r="L1000" s="62">
        <v>0</v>
      </c>
      <c r="M1000" s="62">
        <f t="shared" si="299"/>
        <v>0</v>
      </c>
      <c r="N1000" s="62">
        <f t="shared" si="292"/>
        <v>0</v>
      </c>
      <c r="O1000" s="62">
        <f t="shared" si="293"/>
        <v>0</v>
      </c>
      <c r="P1000" s="62">
        <f t="shared" si="294"/>
        <v>207.71485206921</v>
      </c>
      <c r="Q1000" s="62">
        <f>IF(H1000=1,I1000*VEHICLE!$C$69,IF(H1000=2,VEHICLE!$C$70*I1000,IF(H1000=3,VEHICLE!$C$71*I1000,0)))</f>
        <v>438.86136489758803</v>
      </c>
      <c r="R1000" s="62">
        <f>(J1000+K1000+O1000+Q1000)</f>
        <v>646.57621696679803</v>
      </c>
      <c r="S1000" s="62">
        <f t="shared" si="295"/>
        <v>646.57621696679803</v>
      </c>
      <c r="T1000" s="62">
        <f>ABS((R1000)/((2*PI()*G1000)/60))</f>
        <v>1.2348696121910845</v>
      </c>
      <c r="U1000" s="62">
        <f t="shared" si="296"/>
        <v>2</v>
      </c>
      <c r="V1000" s="62">
        <f>INDEX(BSFC!$D$4:$AD$26,MATCH(U1000,BSFC!$B$4:$B$26,0),MATCH(G1000,BSFC!$D$2:$AD$2,0))</f>
        <v>881.19835871999999</v>
      </c>
      <c r="W1000" s="62">
        <f t="shared" si="300"/>
        <v>0.15826719477181361</v>
      </c>
      <c r="X1000" s="62">
        <f t="shared" si="297"/>
        <v>0.15826719477181361</v>
      </c>
      <c r="Y1000" s="62">
        <f t="shared" si="298"/>
        <v>0.48904563184490402</v>
      </c>
      <c r="Z1000" s="79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</row>
    <row r="1001" spans="1:39" x14ac:dyDescent="0.3">
      <c r="A1001" s="55">
        <v>4</v>
      </c>
      <c r="B1001" s="62" t="s">
        <v>115</v>
      </c>
      <c r="C1001" s="62">
        <f t="shared" si="308"/>
        <v>998</v>
      </c>
      <c r="D1001" s="62">
        <f t="shared" si="291"/>
        <v>24.964920000000003</v>
      </c>
      <c r="E1001" s="62">
        <f t="shared" si="306"/>
        <v>11.16</v>
      </c>
      <c r="F1001" s="87">
        <f>($C$4/E1001)+F1000</f>
        <v>125.95244796679896</v>
      </c>
      <c r="G1001" s="62">
        <f t="shared" si="307"/>
        <v>5500</v>
      </c>
      <c r="H1001" s="62">
        <v>2</v>
      </c>
      <c r="I1001" s="87">
        <f>E1001-E1000</f>
        <v>0.75</v>
      </c>
      <c r="J1001" s="62">
        <f>(0.5*VEHICLE!$C$71*VEHICLE!$C$28*VEHICLE!$C$27*'Drive Cycle'!E1001^2)</f>
        <v>110.79627639696</v>
      </c>
      <c r="K1001" s="62">
        <f>IF(A1001=1,VEHICLE!$S$5,IF(A1001=2,VEHICLE!$Q$5,IF(A1001=3,VEHICLE!$R$5,IF(A1001=4,VEHICLE!$P$5,1))))</f>
        <v>111.31014600000002</v>
      </c>
      <c r="L1001" s="62">
        <v>0</v>
      </c>
      <c r="M1001" s="62">
        <f t="shared" si="299"/>
        <v>0</v>
      </c>
      <c r="N1001" s="62">
        <f t="shared" si="292"/>
        <v>0</v>
      </c>
      <c r="O1001" s="62">
        <f t="shared" si="293"/>
        <v>0</v>
      </c>
      <c r="P1001" s="62">
        <f t="shared" si="294"/>
        <v>222.10642239696</v>
      </c>
      <c r="Q1001" s="62">
        <f>IF(H1001=1,I1001*VEHICLE!$C$69,IF(H1001=2,VEHICLE!$C$70*I1001,IF(H1001=3,VEHICLE!$C$71*I1001,0)))</f>
        <v>438.86136489758803</v>
      </c>
      <c r="R1001" s="62">
        <f>(J1001+K1001+O1001+Q1001)</f>
        <v>660.96778729454809</v>
      </c>
      <c r="S1001" s="62">
        <f t="shared" si="295"/>
        <v>660.96778729454809</v>
      </c>
      <c r="T1001" s="62">
        <f>ABS((R1001)/((2*PI()*G1001)/60))</f>
        <v>1.1475958971538889</v>
      </c>
      <c r="U1001" s="62">
        <f t="shared" si="296"/>
        <v>2</v>
      </c>
      <c r="V1001" s="62">
        <f>INDEX(BSFC!$D$4:$AD$26,MATCH(U1001,BSFC!$B$4:$B$26,0),MATCH(G1001,BSFC!$D$2:$AD$2,0))</f>
        <v>862.35014976000002</v>
      </c>
      <c r="W1001" s="62">
        <f t="shared" si="300"/>
        <v>0.15832935287777483</v>
      </c>
      <c r="X1001" s="62">
        <f t="shared" si="297"/>
        <v>0.15832935287777483</v>
      </c>
      <c r="Y1001" s="62">
        <f t="shared" si="298"/>
        <v>0.48923770039232423</v>
      </c>
      <c r="Z1001" s="79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</row>
    <row r="1002" spans="1:39" x14ac:dyDescent="0.3">
      <c r="A1002" s="55">
        <v>4</v>
      </c>
      <c r="B1002" s="62" t="s">
        <v>115</v>
      </c>
      <c r="C1002" s="62">
        <f t="shared" si="308"/>
        <v>999</v>
      </c>
      <c r="D1002" s="62">
        <f t="shared" si="291"/>
        <v>26.642670000000003</v>
      </c>
      <c r="E1002" s="62">
        <f t="shared" si="306"/>
        <v>11.91</v>
      </c>
      <c r="F1002" s="87">
        <f>($C$4/E1002)+F1001</f>
        <v>126.0364110230542</v>
      </c>
      <c r="G1002" s="62">
        <f t="shared" si="307"/>
        <v>6000</v>
      </c>
      <c r="H1002" s="62">
        <v>2</v>
      </c>
      <c r="I1002" s="87">
        <f>E1002-E1001</f>
        <v>0.75</v>
      </c>
      <c r="J1002" s="62">
        <f>(0.5*VEHICLE!$C$71*VEHICLE!$C$28*VEHICLE!$C$27*'Drive Cycle'!E1002^2)</f>
        <v>126.18865133721</v>
      </c>
      <c r="K1002" s="62">
        <f>IF(A1002=1,VEHICLE!$S$5,IF(A1002=2,VEHICLE!$Q$5,IF(A1002=3,VEHICLE!$R$5,IF(A1002=4,VEHICLE!$P$5,1))))</f>
        <v>111.31014600000002</v>
      </c>
      <c r="L1002" s="62">
        <v>0</v>
      </c>
      <c r="M1002" s="62">
        <f t="shared" si="299"/>
        <v>0</v>
      </c>
      <c r="N1002" s="62">
        <f t="shared" si="292"/>
        <v>0</v>
      </c>
      <c r="O1002" s="62">
        <f t="shared" si="293"/>
        <v>0</v>
      </c>
      <c r="P1002" s="62">
        <f t="shared" si="294"/>
        <v>237.49879733721002</v>
      </c>
      <c r="Q1002" s="62">
        <f>IF(H1002=1,I1002*VEHICLE!$C$69,IF(H1002=2,VEHICLE!$C$70*I1002,IF(H1002=3,VEHICLE!$C$71*I1002,0)))</f>
        <v>438.86136489758803</v>
      </c>
      <c r="R1002" s="62">
        <f>(J1002+K1002+O1002+Q1002)</f>
        <v>676.36016223479805</v>
      </c>
      <c r="S1002" s="62">
        <f t="shared" si="295"/>
        <v>676.36016223479805</v>
      </c>
      <c r="T1002" s="62">
        <f>ABS((R1002)/((2*PI()*G1002)/60))</f>
        <v>1.0764606313010439</v>
      </c>
      <c r="U1002" s="62">
        <f t="shared" si="296"/>
        <v>2</v>
      </c>
      <c r="V1002" s="62">
        <f>INDEX(BSFC!$D$4:$AD$26,MATCH(U1002,BSFC!$B$4:$B$26,0),MATCH(G1002,BSFC!$D$2:$AD$2,0))</f>
        <v>881.66816232000019</v>
      </c>
      <c r="W1002" s="62">
        <f t="shared" si="300"/>
        <v>0.16564589480666991</v>
      </c>
      <c r="X1002" s="62">
        <f t="shared" si="297"/>
        <v>0.16564589480666991</v>
      </c>
      <c r="Y1002" s="62">
        <f t="shared" si="298"/>
        <v>0.51184581495261006</v>
      </c>
      <c r="Z1002" s="79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</row>
    <row r="1003" spans="1:39" x14ac:dyDescent="0.3">
      <c r="A1003" s="55">
        <v>4</v>
      </c>
      <c r="B1003" s="62" t="s">
        <v>115</v>
      </c>
      <c r="C1003" s="62">
        <f t="shared" si="308"/>
        <v>1000</v>
      </c>
      <c r="D1003" s="62">
        <f t="shared" si="291"/>
        <v>28.320420000000002</v>
      </c>
      <c r="E1003" s="62">
        <f t="shared" si="306"/>
        <v>12.66</v>
      </c>
      <c r="F1003" s="87">
        <f>($C$4/E1003)+F1002</f>
        <v>126.11539996460239</v>
      </c>
      <c r="G1003" s="62">
        <f t="shared" si="307"/>
        <v>6500</v>
      </c>
      <c r="H1003" s="62">
        <v>2</v>
      </c>
      <c r="I1003" s="87">
        <f>E1003-E1002</f>
        <v>0.75</v>
      </c>
      <c r="J1003" s="62">
        <f>(0.5*VEHICLE!$C$71*VEHICLE!$C$28*VEHICLE!$C$27*'Drive Cycle'!E1003^2)</f>
        <v>142.58183088995997</v>
      </c>
      <c r="K1003" s="62">
        <f>IF(A1003=1,VEHICLE!$S$5,IF(A1003=2,VEHICLE!$Q$5,IF(A1003=3,VEHICLE!$R$5,IF(A1003=4,VEHICLE!$P$5,1))))</f>
        <v>111.31014600000002</v>
      </c>
      <c r="L1003" s="62">
        <v>0</v>
      </c>
      <c r="M1003" s="62">
        <f t="shared" si="299"/>
        <v>0</v>
      </c>
      <c r="N1003" s="62">
        <f t="shared" si="292"/>
        <v>0</v>
      </c>
      <c r="O1003" s="62">
        <f t="shared" si="293"/>
        <v>0</v>
      </c>
      <c r="P1003" s="62">
        <f t="shared" si="294"/>
        <v>253.89197688996001</v>
      </c>
      <c r="Q1003" s="62">
        <f>IF(H1003=1,I1003*VEHICLE!$C$69,IF(H1003=2,VEHICLE!$C$70*I1003,IF(H1003=3,VEHICLE!$C$71*I1003,0)))</f>
        <v>438.86136489758803</v>
      </c>
      <c r="R1003" s="62">
        <f>(J1003+K1003+O1003+Q1003)</f>
        <v>692.75334178754804</v>
      </c>
      <c r="S1003" s="62">
        <f t="shared" si="295"/>
        <v>692.75334178754804</v>
      </c>
      <c r="T1003" s="62">
        <f>ABS((R1003)/((2*PI()*G1003)/60))</f>
        <v>1.0177395571284695</v>
      </c>
      <c r="U1003" s="62">
        <f t="shared" si="296"/>
        <v>2</v>
      </c>
      <c r="V1003" s="62">
        <f>INDEX(BSFC!$D$4:$AD$26,MATCH(U1003,BSFC!$B$4:$B$26,0),MATCH(G1003,BSFC!$D$2:$AD$2,0))</f>
        <v>894.55972883999993</v>
      </c>
      <c r="W1003" s="62">
        <f t="shared" si="300"/>
        <v>0.17214145599513134</v>
      </c>
      <c r="X1003" s="62">
        <f t="shared" si="297"/>
        <v>0.17214145599513134</v>
      </c>
      <c r="Y1003" s="62">
        <f t="shared" si="298"/>
        <v>0.53191709902495576</v>
      </c>
      <c r="Z1003" s="79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</row>
    <row r="1004" spans="1:39" x14ac:dyDescent="0.3">
      <c r="A1004" s="55">
        <v>4</v>
      </c>
      <c r="B1004" s="62" t="s">
        <v>115</v>
      </c>
      <c r="C1004" s="62">
        <f t="shared" si="308"/>
        <v>1001</v>
      </c>
      <c r="D1004" s="62">
        <f t="shared" si="291"/>
        <v>26.642670000000003</v>
      </c>
      <c r="E1004" s="62">
        <f t="shared" ref="E1004:E1015" si="309">E1003-0.75</f>
        <v>11.91</v>
      </c>
      <c r="F1004" s="87">
        <f>($C$4/E1004)+F1003</f>
        <v>126.19936302085763</v>
      </c>
      <c r="G1004" s="62">
        <f>G1003+500</f>
        <v>7000</v>
      </c>
      <c r="H1004" s="62">
        <v>2</v>
      </c>
      <c r="I1004" s="87">
        <f>E1004-E1003</f>
        <v>-0.75</v>
      </c>
      <c r="J1004" s="62">
        <f>(0.5*VEHICLE!$C$71*VEHICLE!$C$28*VEHICLE!$C$27*'Drive Cycle'!E1004^2)</f>
        <v>126.18865133721</v>
      </c>
      <c r="K1004" s="62">
        <f>IF(A1004=1,VEHICLE!$S$5,IF(A1004=2,VEHICLE!$Q$5,IF(A1004=3,VEHICLE!$R$5,IF(A1004=4,VEHICLE!$P$5,1))))</f>
        <v>111.31014600000002</v>
      </c>
      <c r="L1004" s="62">
        <v>0</v>
      </c>
      <c r="M1004" s="62">
        <f t="shared" si="299"/>
        <v>0</v>
      </c>
      <c r="N1004" s="62">
        <f t="shared" si="292"/>
        <v>0</v>
      </c>
      <c r="O1004" s="62">
        <f t="shared" si="293"/>
        <v>0</v>
      </c>
      <c r="P1004" s="62">
        <f t="shared" si="294"/>
        <v>237.49879733721002</v>
      </c>
      <c r="Q1004" s="62">
        <f>IF(H1004=1,I1004*VEHICLE!$C$69,IF(H1004=2,VEHICLE!$C$70*I1004,IF(H1004=3,VEHICLE!$C$71*I1004,0)))</f>
        <v>-438.86136489758803</v>
      </c>
      <c r="R1004" s="62">
        <f>(J1004+K1004+O1004+Q1004)</f>
        <v>-201.36256756037801</v>
      </c>
      <c r="S1004" s="62">
        <f t="shared" si="295"/>
        <v>201.36256756037801</v>
      </c>
      <c r="T1004" s="62">
        <f>ABS((R1004)/((2*PI()*G1004)/60))</f>
        <v>0.27469583983637053</v>
      </c>
      <c r="U1004" s="62">
        <f t="shared" si="296"/>
        <v>1</v>
      </c>
      <c r="V1004" s="62">
        <f>INDEX(BSFC!$D$4:$AD$26,MATCH(U1004,BSFC!$B$4:$B$26,0),MATCH(G1004,BSFC!$D$2:$AD$2,0))</f>
        <v>920.25590927999997</v>
      </c>
      <c r="W1004" s="62">
        <f t="shared" si="300"/>
        <v>-5.147363686256419E-2</v>
      </c>
      <c r="X1004" s="62">
        <f t="shared" si="297"/>
        <v>5.147363686256419E-2</v>
      </c>
      <c r="Y1004" s="62">
        <f t="shared" si="298"/>
        <v>-0.15905353790532334</v>
      </c>
      <c r="Z1004" s="79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</row>
    <row r="1005" spans="1:39" x14ac:dyDescent="0.3">
      <c r="A1005" s="55">
        <v>4</v>
      </c>
      <c r="B1005" s="62" t="s">
        <v>115</v>
      </c>
      <c r="C1005" s="62">
        <f t="shared" si="308"/>
        <v>1002</v>
      </c>
      <c r="D1005" s="62">
        <f t="shared" si="291"/>
        <v>24.964920000000003</v>
      </c>
      <c r="E1005" s="62">
        <f t="shared" si="309"/>
        <v>11.16</v>
      </c>
      <c r="F1005" s="87">
        <f>($C$4/E1005)+F1004</f>
        <v>126.28896875562465</v>
      </c>
      <c r="G1005" s="62">
        <v>7000</v>
      </c>
      <c r="H1005" s="62">
        <v>2</v>
      </c>
      <c r="I1005" s="87">
        <f>E1005-E1004</f>
        <v>-0.75</v>
      </c>
      <c r="J1005" s="62">
        <f>(0.5*VEHICLE!$C$71*VEHICLE!$C$28*VEHICLE!$C$27*'Drive Cycle'!E1005^2)</f>
        <v>110.79627639696</v>
      </c>
      <c r="K1005" s="62">
        <f>IF(A1005=1,VEHICLE!$S$5,IF(A1005=2,VEHICLE!$Q$5,IF(A1005=3,VEHICLE!$R$5,IF(A1005=4,VEHICLE!$P$5,1))))</f>
        <v>111.31014600000002</v>
      </c>
      <c r="L1005" s="62">
        <v>0</v>
      </c>
      <c r="M1005" s="62">
        <f t="shared" si="299"/>
        <v>0</v>
      </c>
      <c r="N1005" s="62">
        <f t="shared" si="292"/>
        <v>0</v>
      </c>
      <c r="O1005" s="62">
        <f t="shared" si="293"/>
        <v>0</v>
      </c>
      <c r="P1005" s="62">
        <f t="shared" si="294"/>
        <v>222.10642239696</v>
      </c>
      <c r="Q1005" s="62">
        <f>IF(H1005=1,I1005*VEHICLE!$C$69,IF(H1005=2,VEHICLE!$C$70*I1005,IF(H1005=3,VEHICLE!$C$71*I1005,0)))</f>
        <v>-438.86136489758803</v>
      </c>
      <c r="R1005" s="62">
        <f>(J1005+K1005+O1005+Q1005)</f>
        <v>-216.75494250062803</v>
      </c>
      <c r="S1005" s="62">
        <f t="shared" si="295"/>
        <v>216.75494250062803</v>
      </c>
      <c r="T1005" s="62">
        <f>ABS((R1005)/((2*PI()*G1005)/60))</f>
        <v>0.29569389033063859</v>
      </c>
      <c r="U1005" s="62">
        <f t="shared" si="296"/>
        <v>1</v>
      </c>
      <c r="V1005" s="62">
        <f>INDEX(BSFC!$D$4:$AD$26,MATCH(U1005,BSFC!$B$4:$B$26,0),MATCH(G1005,BSFC!$D$2:$AD$2,0))</f>
        <v>920.25590927999997</v>
      </c>
      <c r="W1005" s="62">
        <f t="shared" si="300"/>
        <v>-5.5408337972735984E-2</v>
      </c>
      <c r="X1005" s="62">
        <f t="shared" si="297"/>
        <v>5.5408337972735984E-2</v>
      </c>
      <c r="Y1005" s="62">
        <f t="shared" si="298"/>
        <v>-0.17121176433575419</v>
      </c>
      <c r="Z1005" s="79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</row>
    <row r="1006" spans="1:39" x14ac:dyDescent="0.3">
      <c r="A1006" s="55">
        <v>4</v>
      </c>
      <c r="B1006" s="62" t="s">
        <v>115</v>
      </c>
      <c r="C1006" s="62">
        <f t="shared" si="308"/>
        <v>1003</v>
      </c>
      <c r="D1006" s="62">
        <f t="shared" si="291"/>
        <v>23.28717</v>
      </c>
      <c r="E1006" s="62">
        <f t="shared" si="309"/>
        <v>10.41</v>
      </c>
      <c r="F1006" s="87">
        <f>($C$4/E1006)+F1005</f>
        <v>126.38503023497144</v>
      </c>
      <c r="G1006" s="62">
        <f>G1005-500</f>
        <v>6500</v>
      </c>
      <c r="H1006" s="62">
        <v>2</v>
      </c>
      <c r="I1006" s="87">
        <f>E1006-E1005</f>
        <v>-0.75</v>
      </c>
      <c r="J1006" s="62">
        <f>(0.5*VEHICLE!$C$71*VEHICLE!$C$28*VEHICLE!$C$27*'Drive Cycle'!E1006^2)</f>
        <v>96.404706069209993</v>
      </c>
      <c r="K1006" s="62">
        <f>IF(A1006=1,VEHICLE!$S$5,IF(A1006=2,VEHICLE!$Q$5,IF(A1006=3,VEHICLE!$R$5,IF(A1006=4,VEHICLE!$P$5,1))))</f>
        <v>111.31014600000002</v>
      </c>
      <c r="L1006" s="62">
        <v>0</v>
      </c>
      <c r="M1006" s="62">
        <f t="shared" si="299"/>
        <v>0</v>
      </c>
      <c r="N1006" s="62">
        <f t="shared" si="292"/>
        <v>0</v>
      </c>
      <c r="O1006" s="62">
        <f t="shared" si="293"/>
        <v>0</v>
      </c>
      <c r="P1006" s="62">
        <f t="shared" si="294"/>
        <v>207.71485206921</v>
      </c>
      <c r="Q1006" s="62">
        <f>IF(H1006=1,I1006*VEHICLE!$C$69,IF(H1006=2,VEHICLE!$C$70*I1006,IF(H1006=3,VEHICLE!$C$71*I1006,0)))</f>
        <v>-438.86136489758803</v>
      </c>
      <c r="R1006" s="62">
        <f>(J1006+K1006+O1006+Q1006)</f>
        <v>-231.14651282837804</v>
      </c>
      <c r="S1006" s="62">
        <f t="shared" si="295"/>
        <v>231.14651282837804</v>
      </c>
      <c r="T1006" s="62">
        <f>ABS((R1006)/((2*PI()*G1006)/60))</f>
        <v>0.33958255472391286</v>
      </c>
      <c r="U1006" s="62">
        <f t="shared" si="296"/>
        <v>1</v>
      </c>
      <c r="V1006" s="62">
        <f>INDEX(BSFC!$D$4:$AD$26,MATCH(U1006,BSFC!$B$4:$B$26,0),MATCH(G1006,BSFC!$D$2:$AD$2,0))</f>
        <v>925.65735288000019</v>
      </c>
      <c r="W1006" s="62">
        <f t="shared" si="300"/>
        <v>-5.9434019220044286E-2</v>
      </c>
      <c r="X1006" s="62">
        <f t="shared" si="297"/>
        <v>5.9434019220044286E-2</v>
      </c>
      <c r="Y1006" s="62">
        <f t="shared" si="298"/>
        <v>-0.18365111938993683</v>
      </c>
      <c r="Z1006" s="79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</row>
    <row r="1007" spans="1:39" x14ac:dyDescent="0.3">
      <c r="A1007" s="55">
        <v>4</v>
      </c>
      <c r="B1007" s="62" t="s">
        <v>115</v>
      </c>
      <c r="C1007" s="62">
        <f t="shared" si="308"/>
        <v>1004</v>
      </c>
      <c r="D1007" s="62">
        <f t="shared" si="291"/>
        <v>21.60942</v>
      </c>
      <c r="E1007" s="62">
        <f t="shared" si="309"/>
        <v>9.66</v>
      </c>
      <c r="F1007" s="87">
        <f>($C$4/E1007)+F1006</f>
        <v>126.4885499037085</v>
      </c>
      <c r="G1007" s="62">
        <f t="shared" ref="G1007:G1016" si="310">G1006-500</f>
        <v>6000</v>
      </c>
      <c r="H1007" s="62">
        <v>2</v>
      </c>
      <c r="I1007" s="87">
        <f>E1007-E1006</f>
        <v>-0.75</v>
      </c>
      <c r="J1007" s="62">
        <f>(0.5*VEHICLE!$C$71*VEHICLE!$C$28*VEHICLE!$C$27*'Drive Cycle'!E1007^2)</f>
        <v>83.013940353959995</v>
      </c>
      <c r="K1007" s="62">
        <f>IF(A1007=1,VEHICLE!$S$5,IF(A1007=2,VEHICLE!$Q$5,IF(A1007=3,VEHICLE!$R$5,IF(A1007=4,VEHICLE!$P$5,1))))</f>
        <v>111.31014600000002</v>
      </c>
      <c r="L1007" s="62">
        <v>0</v>
      </c>
      <c r="M1007" s="62">
        <f t="shared" si="299"/>
        <v>0</v>
      </c>
      <c r="N1007" s="62">
        <f t="shared" si="292"/>
        <v>0</v>
      </c>
      <c r="O1007" s="62">
        <f t="shared" si="293"/>
        <v>0</v>
      </c>
      <c r="P1007" s="62">
        <f t="shared" si="294"/>
        <v>194.32408635396001</v>
      </c>
      <c r="Q1007" s="62">
        <f>IF(H1007=1,I1007*VEHICLE!$C$69,IF(H1007=2,VEHICLE!$C$70*I1007,IF(H1007=3,VEHICLE!$C$71*I1007,0)))</f>
        <v>-438.86136489758803</v>
      </c>
      <c r="R1007" s="62">
        <f>(J1007+K1007+O1007+Q1007)</f>
        <v>-244.53727854362802</v>
      </c>
      <c r="S1007" s="62">
        <f t="shared" si="295"/>
        <v>244.53727854362802</v>
      </c>
      <c r="T1007" s="62">
        <f>ABS((R1007)/((2*PI()*G1007)/60))</f>
        <v>0.38919316650458075</v>
      </c>
      <c r="U1007" s="62">
        <f t="shared" si="296"/>
        <v>1</v>
      </c>
      <c r="V1007" s="62">
        <f>INDEX(BSFC!$D$4:$AD$26,MATCH(U1007,BSFC!$B$4:$B$26,0),MATCH(G1007,BSFC!$D$2:$AD$2,0))</f>
        <v>933.91499472000044</v>
      </c>
      <c r="W1007" s="62">
        <f t="shared" si="300"/>
        <v>-6.3438064222198789E-2</v>
      </c>
      <c r="X1007" s="62">
        <f t="shared" si="297"/>
        <v>6.3438064222198789E-2</v>
      </c>
      <c r="Y1007" s="62">
        <f t="shared" si="298"/>
        <v>-0.19602361844659424</v>
      </c>
      <c r="Z1007" s="79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</row>
    <row r="1008" spans="1:39" x14ac:dyDescent="0.3">
      <c r="A1008" s="55">
        <v>4</v>
      </c>
      <c r="B1008" s="62" t="s">
        <v>115</v>
      </c>
      <c r="C1008" s="62">
        <f t="shared" si="308"/>
        <v>1005</v>
      </c>
      <c r="D1008" s="62">
        <f t="shared" si="291"/>
        <v>19.93167</v>
      </c>
      <c r="E1008" s="62">
        <f t="shared" si="309"/>
        <v>8.91</v>
      </c>
      <c r="F1008" s="87">
        <f>($C$4/E1008)+F1007</f>
        <v>126.60078334927528</v>
      </c>
      <c r="G1008" s="62">
        <f t="shared" si="310"/>
        <v>5500</v>
      </c>
      <c r="H1008" s="62">
        <v>2</v>
      </c>
      <c r="I1008" s="87">
        <f>E1008-E1007</f>
        <v>-0.75</v>
      </c>
      <c r="J1008" s="62">
        <f>(0.5*VEHICLE!$C$71*VEHICLE!$C$28*VEHICLE!$C$27*'Drive Cycle'!E1008^2)</f>
        <v>70.623979251210002</v>
      </c>
      <c r="K1008" s="62">
        <f>IF(A1008=1,VEHICLE!$S$5,IF(A1008=2,VEHICLE!$Q$5,IF(A1008=3,VEHICLE!$R$5,IF(A1008=4,VEHICLE!$P$5,1))))</f>
        <v>111.31014600000002</v>
      </c>
      <c r="L1008" s="62">
        <v>0</v>
      </c>
      <c r="M1008" s="62">
        <f t="shared" si="299"/>
        <v>0</v>
      </c>
      <c r="N1008" s="62">
        <f t="shared" si="292"/>
        <v>0</v>
      </c>
      <c r="O1008" s="62">
        <f t="shared" si="293"/>
        <v>0</v>
      </c>
      <c r="P1008" s="62">
        <f t="shared" si="294"/>
        <v>181.93412525121002</v>
      </c>
      <c r="Q1008" s="62">
        <f>IF(H1008=1,I1008*VEHICLE!$C$69,IF(H1008=2,VEHICLE!$C$70*I1008,IF(H1008=3,VEHICLE!$C$71*I1008,0)))</f>
        <v>-438.86136489758803</v>
      </c>
      <c r="R1008" s="62">
        <f>(J1008+K1008+O1008+Q1008)</f>
        <v>-256.92723964637798</v>
      </c>
      <c r="S1008" s="62">
        <f t="shared" si="295"/>
        <v>256.92723964637798</v>
      </c>
      <c r="T1008" s="62">
        <f>ABS((R1008)/((2*PI()*G1008)/60))</f>
        <v>0.44608625677829511</v>
      </c>
      <c r="U1008" s="62">
        <f t="shared" si="296"/>
        <v>1</v>
      </c>
      <c r="V1008" s="62">
        <f>INDEX(BSFC!$D$4:$AD$26,MATCH(U1008,BSFC!$B$4:$B$26,0),MATCH(G1008,BSFC!$D$2:$AD$2,0))</f>
        <v>937.88833920000002</v>
      </c>
      <c r="W1008" s="62">
        <f t="shared" si="300"/>
        <v>-6.6935850579772735E-2</v>
      </c>
      <c r="X1008" s="62">
        <f t="shared" si="297"/>
        <v>6.6935850579772735E-2</v>
      </c>
      <c r="Y1008" s="62">
        <f t="shared" si="298"/>
        <v>-0.20683177829149774</v>
      </c>
      <c r="Z1008" s="79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</row>
    <row r="1009" spans="1:39" x14ac:dyDescent="0.3">
      <c r="A1009" s="55">
        <v>4</v>
      </c>
      <c r="B1009" s="62" t="s">
        <v>115</v>
      </c>
      <c r="C1009" s="62">
        <f t="shared" si="308"/>
        <v>1006</v>
      </c>
      <c r="D1009" s="62">
        <f t="shared" si="291"/>
        <v>18.253920000000001</v>
      </c>
      <c r="E1009" s="62">
        <f t="shared" si="309"/>
        <v>8.16</v>
      </c>
      <c r="F1009" s="87">
        <f>($C$4/E1009)+F1008</f>
        <v>126.72333236888312</v>
      </c>
      <c r="G1009" s="62">
        <f t="shared" si="310"/>
        <v>5000</v>
      </c>
      <c r="H1009" s="62">
        <v>2</v>
      </c>
      <c r="I1009" s="87">
        <f>E1009-E1008</f>
        <v>-0.75</v>
      </c>
      <c r="J1009" s="62">
        <f>(0.5*VEHICLE!$C$71*VEHICLE!$C$28*VEHICLE!$C$27*'Drive Cycle'!E1009^2)</f>
        <v>59.234822760959993</v>
      </c>
      <c r="K1009" s="62">
        <f>IF(A1009=1,VEHICLE!$S$5,IF(A1009=2,VEHICLE!$Q$5,IF(A1009=3,VEHICLE!$R$5,IF(A1009=4,VEHICLE!$P$5,1))))</f>
        <v>111.31014600000002</v>
      </c>
      <c r="L1009" s="62">
        <v>0</v>
      </c>
      <c r="M1009" s="62">
        <f t="shared" si="299"/>
        <v>0</v>
      </c>
      <c r="N1009" s="62">
        <f t="shared" si="292"/>
        <v>0</v>
      </c>
      <c r="O1009" s="62">
        <f t="shared" si="293"/>
        <v>0</v>
      </c>
      <c r="P1009" s="62">
        <f t="shared" si="294"/>
        <v>170.54496876096002</v>
      </c>
      <c r="Q1009" s="62">
        <f>IF(H1009=1,I1009*VEHICLE!$C$69,IF(H1009=2,VEHICLE!$C$70*I1009,IF(H1009=3,VEHICLE!$C$71*I1009,0)))</f>
        <v>-438.86136489758803</v>
      </c>
      <c r="R1009" s="62">
        <f>(J1009+K1009+O1009+Q1009)</f>
        <v>-268.31639613662799</v>
      </c>
      <c r="S1009" s="62">
        <f t="shared" si="295"/>
        <v>268.31639613662799</v>
      </c>
      <c r="T1009" s="62">
        <f>ABS((R1009)/((2*PI()*G1009)/60))</f>
        <v>0.51244656909296971</v>
      </c>
      <c r="U1009" s="62">
        <f t="shared" si="296"/>
        <v>1</v>
      </c>
      <c r="V1009" s="62">
        <f>INDEX(BSFC!$D$4:$AD$26,MATCH(U1009,BSFC!$B$4:$B$26,0),MATCH(G1009,BSFC!$D$2:$AD$2,0))</f>
        <v>967.30583135999973</v>
      </c>
      <c r="W1009" s="62">
        <f t="shared" si="300"/>
        <v>-7.2095559620127772E-2</v>
      </c>
      <c r="X1009" s="62">
        <f t="shared" si="297"/>
        <v>7.2095559620127772E-2</v>
      </c>
      <c r="Y1009" s="62">
        <f t="shared" si="298"/>
        <v>-0.22277527922619481</v>
      </c>
      <c r="Z1009" s="79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</row>
    <row r="1010" spans="1:39" x14ac:dyDescent="0.3">
      <c r="A1010" s="55">
        <v>4</v>
      </c>
      <c r="B1010" s="62" t="s">
        <v>115</v>
      </c>
      <c r="C1010" s="62">
        <f t="shared" si="308"/>
        <v>1007</v>
      </c>
      <c r="D1010" s="62">
        <f t="shared" si="291"/>
        <v>16.576170000000001</v>
      </c>
      <c r="E1010" s="62">
        <f t="shared" si="309"/>
        <v>7.41</v>
      </c>
      <c r="F1010" s="87">
        <f>($C$4/E1010)+F1009</f>
        <v>126.85828513541483</v>
      </c>
      <c r="G1010" s="62">
        <f t="shared" si="310"/>
        <v>4500</v>
      </c>
      <c r="H1010" s="62">
        <v>2</v>
      </c>
      <c r="I1010" s="87">
        <f>E1010-E1009</f>
        <v>-0.75</v>
      </c>
      <c r="J1010" s="62">
        <f>(0.5*VEHICLE!$C$71*VEHICLE!$C$28*VEHICLE!$C$27*'Drive Cycle'!E1010^2)</f>
        <v>48.846470883209996</v>
      </c>
      <c r="K1010" s="62">
        <f>IF(A1010=1,VEHICLE!$S$5,IF(A1010=2,VEHICLE!$Q$5,IF(A1010=3,VEHICLE!$R$5,IF(A1010=4,VEHICLE!$P$5,1))))</f>
        <v>111.31014600000002</v>
      </c>
      <c r="L1010" s="62">
        <v>0</v>
      </c>
      <c r="M1010" s="62">
        <f t="shared" si="299"/>
        <v>0</v>
      </c>
      <c r="N1010" s="62">
        <f t="shared" si="292"/>
        <v>0</v>
      </c>
      <c r="O1010" s="62">
        <f t="shared" si="293"/>
        <v>0</v>
      </c>
      <c r="P1010" s="62">
        <f t="shared" si="294"/>
        <v>160.15661688321001</v>
      </c>
      <c r="Q1010" s="62">
        <f>IF(H1010=1,I1010*VEHICLE!$C$69,IF(H1010=2,VEHICLE!$C$70*I1010,IF(H1010=3,VEHICLE!$C$71*I1010,0)))</f>
        <v>-438.86136489758803</v>
      </c>
      <c r="R1010" s="62">
        <f>(J1010+K1010+O1010+Q1010)</f>
        <v>-278.70474801437803</v>
      </c>
      <c r="S1010" s="62">
        <f t="shared" si="295"/>
        <v>278.70474801437803</v>
      </c>
      <c r="T1010" s="62">
        <f>ABS((R1010)/((2*PI()*G1010)/60))</f>
        <v>0.59142984412892485</v>
      </c>
      <c r="U1010" s="62">
        <f t="shared" si="296"/>
        <v>1</v>
      </c>
      <c r="V1010" s="62">
        <f>INDEX(BSFC!$D$4:$AD$26,MATCH(U1010,BSFC!$B$4:$B$26,0),MATCH(G1010,BSFC!$D$2:$AD$2,0))</f>
        <v>996.72332351999967</v>
      </c>
      <c r="W1010" s="62">
        <f t="shared" si="300"/>
        <v>-7.7164311867137472E-2</v>
      </c>
      <c r="X1010" s="62">
        <f t="shared" si="297"/>
        <v>7.7164311867137472E-2</v>
      </c>
      <c r="Y1010" s="62">
        <f t="shared" si="298"/>
        <v>-0.23843772366945479</v>
      </c>
      <c r="Z1010" s="79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</row>
    <row r="1011" spans="1:39" x14ac:dyDescent="0.3">
      <c r="A1011" s="55">
        <v>4</v>
      </c>
      <c r="B1011" s="62" t="s">
        <v>115</v>
      </c>
      <c r="C1011" s="62">
        <f t="shared" si="308"/>
        <v>1008</v>
      </c>
      <c r="D1011" s="62">
        <f t="shared" si="291"/>
        <v>14.898420000000002</v>
      </c>
      <c r="E1011" s="62">
        <f t="shared" si="309"/>
        <v>6.66</v>
      </c>
      <c r="F1011" s="87">
        <f>($C$4/E1011)+F1010</f>
        <v>127.00843528556499</v>
      </c>
      <c r="G1011" s="62">
        <f t="shared" si="310"/>
        <v>4000</v>
      </c>
      <c r="H1011" s="62">
        <v>2</v>
      </c>
      <c r="I1011" s="87">
        <f>E1011-E1010</f>
        <v>-0.75</v>
      </c>
      <c r="J1011" s="62">
        <f>(0.5*VEHICLE!$C$71*VEHICLE!$C$28*VEHICLE!$C$27*'Drive Cycle'!E1011^2)</f>
        <v>39.458923617959996</v>
      </c>
      <c r="K1011" s="62">
        <f>IF(A1011=1,VEHICLE!$S$5,IF(A1011=2,VEHICLE!$Q$5,IF(A1011=3,VEHICLE!$R$5,IF(A1011=4,VEHICLE!$P$5,1))))</f>
        <v>111.31014600000002</v>
      </c>
      <c r="L1011" s="62">
        <v>0</v>
      </c>
      <c r="M1011" s="62">
        <f t="shared" si="299"/>
        <v>0</v>
      </c>
      <c r="N1011" s="62">
        <f t="shared" si="292"/>
        <v>0</v>
      </c>
      <c r="O1011" s="62">
        <f t="shared" si="293"/>
        <v>0</v>
      </c>
      <c r="P1011" s="62">
        <f t="shared" si="294"/>
        <v>150.76906961796001</v>
      </c>
      <c r="Q1011" s="62">
        <f>IF(H1011=1,I1011*VEHICLE!$C$69,IF(H1011=2,VEHICLE!$C$70*I1011,IF(H1011=3,VEHICLE!$C$71*I1011,0)))</f>
        <v>-438.86136489758803</v>
      </c>
      <c r="R1011" s="62">
        <f>(J1011+K1011+O1011+Q1011)</f>
        <v>-288.09229527962805</v>
      </c>
      <c r="S1011" s="62">
        <f t="shared" si="295"/>
        <v>288.09229527962805</v>
      </c>
      <c r="T1011" s="62">
        <f>ABS((R1011)/((2*PI()*G1011)/60))</f>
        <v>0.6877696929066407</v>
      </c>
      <c r="U1011" s="62">
        <f t="shared" si="296"/>
        <v>1</v>
      </c>
      <c r="V1011" s="62">
        <f>INDEX(BSFC!$D$4:$AD$26,MATCH(U1011,BSFC!$B$4:$B$26,0),MATCH(G1011,BSFC!$D$2:$AD$2,0))</f>
        <v>1026.1408156799998</v>
      </c>
      <c r="W1011" s="62">
        <f t="shared" si="300"/>
        <v>-8.2117573019266935E-2</v>
      </c>
      <c r="X1011" s="62">
        <f t="shared" si="297"/>
        <v>8.2117573019266935E-2</v>
      </c>
      <c r="Y1011" s="62">
        <f t="shared" si="298"/>
        <v>-0.25374330062953482</v>
      </c>
      <c r="Z1011" s="79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</row>
    <row r="1012" spans="1:39" x14ac:dyDescent="0.3">
      <c r="A1012" s="55">
        <v>4</v>
      </c>
      <c r="B1012" s="62" t="s">
        <v>115</v>
      </c>
      <c r="C1012" s="62">
        <f t="shared" si="308"/>
        <v>1009</v>
      </c>
      <c r="D1012" s="62">
        <f t="shared" si="291"/>
        <v>13.22067</v>
      </c>
      <c r="E1012" s="62">
        <f t="shared" si="309"/>
        <v>5.91</v>
      </c>
      <c r="F1012" s="87">
        <f>($C$4/E1012)+F1011</f>
        <v>127.17764002329764</v>
      </c>
      <c r="G1012" s="62">
        <f t="shared" si="310"/>
        <v>3500</v>
      </c>
      <c r="H1012" s="62">
        <v>2</v>
      </c>
      <c r="I1012" s="87">
        <f>E1012-E1011</f>
        <v>-0.75</v>
      </c>
      <c r="J1012" s="62">
        <f>(0.5*VEHICLE!$C$71*VEHICLE!$C$28*VEHICLE!$C$27*'Drive Cycle'!E1012^2)</f>
        <v>31.072180965209999</v>
      </c>
      <c r="K1012" s="62">
        <f>IF(A1012=1,VEHICLE!$S$5,IF(A1012=2,VEHICLE!$Q$5,IF(A1012=3,VEHICLE!$R$5,IF(A1012=4,VEHICLE!$P$5,1))))</f>
        <v>111.31014600000002</v>
      </c>
      <c r="L1012" s="62">
        <v>0</v>
      </c>
      <c r="M1012" s="62">
        <f t="shared" si="299"/>
        <v>0</v>
      </c>
      <c r="N1012" s="62">
        <f t="shared" si="292"/>
        <v>0</v>
      </c>
      <c r="O1012" s="62">
        <f t="shared" si="293"/>
        <v>0</v>
      </c>
      <c r="P1012" s="62">
        <f t="shared" si="294"/>
        <v>142.38232696521001</v>
      </c>
      <c r="Q1012" s="62">
        <f>IF(H1012=1,I1012*VEHICLE!$C$69,IF(H1012=2,VEHICLE!$C$70*I1012,IF(H1012=3,VEHICLE!$C$71*I1012,0)))</f>
        <v>-438.86136489758803</v>
      </c>
      <c r="R1012" s="62">
        <f>(J1012+K1012+O1012+Q1012)</f>
        <v>-296.47903793237799</v>
      </c>
      <c r="S1012" s="62">
        <f t="shared" si="295"/>
        <v>296.47903793237799</v>
      </c>
      <c r="T1012" s="62">
        <f>ABS((R1012)/((2*PI()*G1012)/60))</f>
        <v>0.80890464702972864</v>
      </c>
      <c r="U1012" s="62">
        <f t="shared" si="296"/>
        <v>1</v>
      </c>
      <c r="V1012" s="62">
        <f>INDEX(BSFC!$D$4:$AD$26,MATCH(U1012,BSFC!$B$4:$B$26,0),MATCH(G1012,BSFC!$D$2:$AD$2,0))</f>
        <v>1034.2259366399996</v>
      </c>
      <c r="W1012" s="62">
        <f t="shared" si="300"/>
        <v>-8.5173975194372115E-2</v>
      </c>
      <c r="X1012" s="62">
        <f t="shared" si="297"/>
        <v>8.5173975194372115E-2</v>
      </c>
      <c r="Y1012" s="62">
        <f t="shared" si="298"/>
        <v>-0.26318758335060982</v>
      </c>
      <c r="Z1012" s="79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</row>
    <row r="1013" spans="1:39" x14ac:dyDescent="0.3">
      <c r="A1013" s="55">
        <v>4</v>
      </c>
      <c r="B1013" s="62" t="s">
        <v>115</v>
      </c>
      <c r="C1013" s="62">
        <f t="shared" si="308"/>
        <v>1010</v>
      </c>
      <c r="D1013" s="62">
        <f t="shared" si="291"/>
        <v>11.542920000000001</v>
      </c>
      <c r="E1013" s="62">
        <f t="shared" si="309"/>
        <v>5.16</v>
      </c>
      <c r="F1013" s="87">
        <f>($C$4/E1013)+F1012</f>
        <v>127.37143847291004</v>
      </c>
      <c r="G1013" s="62">
        <f t="shared" si="310"/>
        <v>3000</v>
      </c>
      <c r="H1013" s="62">
        <v>2</v>
      </c>
      <c r="I1013" s="87">
        <f>E1013-E1012</f>
        <v>-0.75</v>
      </c>
      <c r="J1013" s="62">
        <f>(0.5*VEHICLE!$C$71*VEHICLE!$C$28*VEHICLE!$C$27*'Drive Cycle'!E1013^2)</f>
        <v>23.686242924959998</v>
      </c>
      <c r="K1013" s="62">
        <f>IF(A1013=1,VEHICLE!$S$5,IF(A1013=2,VEHICLE!$Q$5,IF(A1013=3,VEHICLE!$R$5,IF(A1013=4,VEHICLE!$P$5,1))))</f>
        <v>111.31014600000002</v>
      </c>
      <c r="L1013" s="62">
        <v>0</v>
      </c>
      <c r="M1013" s="62">
        <f t="shared" si="299"/>
        <v>0</v>
      </c>
      <c r="N1013" s="62">
        <f t="shared" si="292"/>
        <v>0</v>
      </c>
      <c r="O1013" s="62">
        <f t="shared" si="293"/>
        <v>0</v>
      </c>
      <c r="P1013" s="62">
        <f t="shared" si="294"/>
        <v>134.99638892496</v>
      </c>
      <c r="Q1013" s="62">
        <f>IF(H1013=1,I1013*VEHICLE!$C$69,IF(H1013=2,VEHICLE!$C$70*I1013,IF(H1013=3,VEHICLE!$C$71*I1013,0)))</f>
        <v>-438.86136489758803</v>
      </c>
      <c r="R1013" s="62">
        <f>(J1013+K1013+O1013+Q1013)</f>
        <v>-303.86497597262803</v>
      </c>
      <c r="S1013" s="62">
        <f t="shared" si="295"/>
        <v>303.86497597262803</v>
      </c>
      <c r="T1013" s="62">
        <f>ABS((R1013)/((2*PI()*G1013)/60))</f>
        <v>0.96723225917087519</v>
      </c>
      <c r="U1013" s="62">
        <f t="shared" si="296"/>
        <v>1</v>
      </c>
      <c r="V1013" s="62">
        <f>INDEX(BSFC!$D$4:$AD$26,MATCH(U1013,BSFC!$B$4:$B$26,0),MATCH(G1013,BSFC!$D$2:$AD$2,0))</f>
        <v>1049.8371440000003</v>
      </c>
      <c r="W1013" s="62">
        <f t="shared" si="300"/>
        <v>-8.8613538482425702E-2</v>
      </c>
      <c r="X1013" s="62">
        <f t="shared" si="297"/>
        <v>8.8613538482425702E-2</v>
      </c>
      <c r="Y1013" s="62">
        <f t="shared" si="298"/>
        <v>-0.27381583391069542</v>
      </c>
      <c r="Z1013" s="79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</row>
    <row r="1014" spans="1:39" x14ac:dyDescent="0.3">
      <c r="A1014" s="55">
        <v>4</v>
      </c>
      <c r="B1014" s="62" t="s">
        <v>115</v>
      </c>
      <c r="C1014" s="62">
        <f t="shared" si="308"/>
        <v>1011</v>
      </c>
      <c r="D1014" s="62">
        <f t="shared" si="291"/>
        <v>9.8651700000000009</v>
      </c>
      <c r="E1014" s="62">
        <f t="shared" si="309"/>
        <v>4.41</v>
      </c>
      <c r="F1014" s="87">
        <f>($C$4/E1014)+F1013</f>
        <v>127.59819584252456</v>
      </c>
      <c r="G1014" s="62">
        <f t="shared" si="310"/>
        <v>2500</v>
      </c>
      <c r="H1014" s="62">
        <v>2</v>
      </c>
      <c r="I1014" s="87">
        <f>E1014-E1013</f>
        <v>-0.75</v>
      </c>
      <c r="J1014" s="62">
        <f>(0.5*VEHICLE!$C$71*VEHICLE!$C$28*VEHICLE!$C$27*'Drive Cycle'!E1014^2)</f>
        <v>17.30110949721</v>
      </c>
      <c r="K1014" s="62">
        <f>IF(A1014=1,VEHICLE!$S$5,IF(A1014=2,VEHICLE!$Q$5,IF(A1014=3,VEHICLE!$R$5,IF(A1014=4,VEHICLE!$P$5,1))))</f>
        <v>111.31014600000002</v>
      </c>
      <c r="L1014" s="62">
        <v>0</v>
      </c>
      <c r="M1014" s="62">
        <f t="shared" si="299"/>
        <v>0</v>
      </c>
      <c r="N1014" s="62">
        <f t="shared" si="292"/>
        <v>0</v>
      </c>
      <c r="O1014" s="62">
        <f t="shared" si="293"/>
        <v>0</v>
      </c>
      <c r="P1014" s="62">
        <f t="shared" si="294"/>
        <v>128.61125549721001</v>
      </c>
      <c r="Q1014" s="62">
        <f>IF(H1014=1,I1014*VEHICLE!$C$69,IF(H1014=2,VEHICLE!$C$70*I1014,IF(H1014=3,VEHICLE!$C$71*I1014,0)))</f>
        <v>-438.86136489758803</v>
      </c>
      <c r="R1014" s="62">
        <f>(J1014+K1014+O1014+Q1014)</f>
        <v>-310.25010940037805</v>
      </c>
      <c r="S1014" s="62">
        <f t="shared" si="295"/>
        <v>310.25010940037805</v>
      </c>
      <c r="T1014" s="62">
        <f>ABS((R1014)/((2*PI()*G1014)/60))</f>
        <v>1.1850681241409153</v>
      </c>
      <c r="U1014" s="62">
        <f t="shared" si="296"/>
        <v>2</v>
      </c>
      <c r="V1014" s="62">
        <f>INDEX(BSFC!$D$4:$AD$26,MATCH(U1014,BSFC!$B$4:$B$26,0),MATCH(G1014,BSFC!$D$2:$AD$2,0))</f>
        <v>952.83484224000051</v>
      </c>
      <c r="W1014" s="62">
        <f t="shared" si="300"/>
        <v>-8.2115865012625577E-2</v>
      </c>
      <c r="X1014" s="62">
        <f t="shared" si="297"/>
        <v>8.2115865012625577E-2</v>
      </c>
      <c r="Y1014" s="62">
        <f t="shared" si="298"/>
        <v>-0.25373802288901304</v>
      </c>
      <c r="Z1014" s="79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</row>
    <row r="1015" spans="1:39" x14ac:dyDescent="0.3">
      <c r="A1015" s="55">
        <v>4</v>
      </c>
      <c r="B1015" s="62" t="s">
        <v>115</v>
      </c>
      <c r="C1015" s="62">
        <f t="shared" si="308"/>
        <v>1012</v>
      </c>
      <c r="D1015" s="62">
        <f t="shared" si="291"/>
        <v>8.1874200000000013</v>
      </c>
      <c r="E1015" s="62">
        <f t="shared" si="309"/>
        <v>3.66</v>
      </c>
      <c r="F1015" s="87">
        <f>($C$4/E1015)+F1014</f>
        <v>127.8714198862404</v>
      </c>
      <c r="G1015" s="62">
        <f t="shared" si="310"/>
        <v>2000</v>
      </c>
      <c r="H1015" s="62">
        <v>2</v>
      </c>
      <c r="I1015" s="87">
        <f>E1015-E1014</f>
        <v>-0.75</v>
      </c>
      <c r="J1015" s="62">
        <f>(0.5*VEHICLE!$C$71*VEHICLE!$C$28*VEHICLE!$C$27*'Drive Cycle'!E1015^2)</f>
        <v>11.916780681960001</v>
      </c>
      <c r="K1015" s="62">
        <f>IF(A1015=1,VEHICLE!$S$5,IF(A1015=2,VEHICLE!$Q$5,IF(A1015=3,VEHICLE!$R$5,IF(A1015=4,VEHICLE!$P$5,1))))</f>
        <v>111.31014600000002</v>
      </c>
      <c r="L1015" s="62">
        <v>0</v>
      </c>
      <c r="M1015" s="62">
        <f t="shared" si="299"/>
        <v>0</v>
      </c>
      <c r="N1015" s="62">
        <f t="shared" si="292"/>
        <v>0</v>
      </c>
      <c r="O1015" s="62">
        <f t="shared" si="293"/>
        <v>0</v>
      </c>
      <c r="P1015" s="62">
        <f t="shared" si="294"/>
        <v>123.22692668196002</v>
      </c>
      <c r="Q1015" s="62">
        <f>IF(H1015=1,I1015*VEHICLE!$C$69,IF(H1015=2,VEHICLE!$C$70*I1015,IF(H1015=3,VEHICLE!$C$71*I1015,0)))</f>
        <v>-438.86136489758803</v>
      </c>
      <c r="R1015" s="62">
        <f>(J1015+K1015+O1015+Q1015)</f>
        <v>-315.63443821562799</v>
      </c>
      <c r="S1015" s="62">
        <f t="shared" si="295"/>
        <v>315.63443821562799</v>
      </c>
      <c r="T1015" s="62">
        <f>ABS((R1015)/((2*PI()*G1015)/60))</f>
        <v>1.5070434315615189</v>
      </c>
      <c r="U1015" s="62">
        <f t="shared" si="296"/>
        <v>2</v>
      </c>
      <c r="V1015" s="62">
        <f>INDEX(BSFC!$D$4:$AD$26,MATCH(U1015,BSFC!$B$4:$B$26,0),MATCH(G1015,BSFC!$D$2:$AD$2,0))</f>
        <v>976.38004896000075</v>
      </c>
      <c r="W1015" s="62">
        <f t="shared" si="300"/>
        <v>-8.5605324510677011E-2</v>
      </c>
      <c r="X1015" s="62">
        <f t="shared" si="297"/>
        <v>8.5605324510677011E-2</v>
      </c>
      <c r="Y1015" s="62">
        <f t="shared" si="298"/>
        <v>-0.26452045273799196</v>
      </c>
      <c r="Z1015" s="79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</row>
    <row r="1016" spans="1:39" x14ac:dyDescent="0.3">
      <c r="A1016" s="55">
        <v>4</v>
      </c>
      <c r="B1016" s="62" t="s">
        <v>115</v>
      </c>
      <c r="C1016" s="62">
        <f t="shared" si="308"/>
        <v>1013</v>
      </c>
      <c r="D1016" s="62">
        <f t="shared" si="291"/>
        <v>6.5096700000000007</v>
      </c>
      <c r="E1016" s="62">
        <f t="shared" ref="E1016" si="311">E1015-0.75</f>
        <v>2.91</v>
      </c>
      <c r="F1016" s="87">
        <f>($C$4/E1016)+F1015</f>
        <v>128.21506249792427</v>
      </c>
      <c r="G1016" s="62">
        <f t="shared" si="310"/>
        <v>1500</v>
      </c>
      <c r="H1016" s="62">
        <v>2</v>
      </c>
      <c r="I1016" s="87">
        <f>E1016-E1015</f>
        <v>-0.75</v>
      </c>
      <c r="J1016" s="62">
        <f>(0.5*VEHICLE!$C$71*VEHICLE!$C$28*VEHICLE!$C$27*'Drive Cycle'!E1016^2)</f>
        <v>7.5332564792100003</v>
      </c>
      <c r="K1016" s="62">
        <f>IF(A1016=1,VEHICLE!$S$5,IF(A1016=2,VEHICLE!$Q$5,IF(A1016=3,VEHICLE!$R$5,IF(A1016=4,VEHICLE!$P$5,1))))</f>
        <v>111.31014600000002</v>
      </c>
      <c r="L1016" s="62">
        <v>0</v>
      </c>
      <c r="M1016" s="62">
        <f t="shared" si="299"/>
        <v>0</v>
      </c>
      <c r="N1016" s="62">
        <f t="shared" si="292"/>
        <v>0</v>
      </c>
      <c r="O1016" s="62">
        <f t="shared" si="293"/>
        <v>0</v>
      </c>
      <c r="P1016" s="62">
        <f t="shared" si="294"/>
        <v>118.84340247921001</v>
      </c>
      <c r="Q1016" s="62">
        <f>IF(H1016=1,I1016*VEHICLE!$C$69,IF(H1016=2,VEHICLE!$C$70*I1016,IF(H1016=3,VEHICLE!$C$71*I1016,0)))</f>
        <v>-438.86136489758803</v>
      </c>
      <c r="R1016" s="62">
        <f>(J1016+K1016+O1016+Q1016)</f>
        <v>-320.01796241837803</v>
      </c>
      <c r="S1016" s="62">
        <f t="shared" si="295"/>
        <v>320.01796241837803</v>
      </c>
      <c r="T1016" s="62">
        <f>ABS((R1016)/((2*PI()*G1016)/60))</f>
        <v>2.0372976238832501</v>
      </c>
      <c r="U1016" s="62">
        <f t="shared" si="296"/>
        <v>3</v>
      </c>
      <c r="V1016" s="62">
        <f>INDEX(BSFC!$D$4:$AD$26,MATCH(U1016,BSFC!$B$4:$B$26,0),MATCH(G1016,BSFC!$D$2:$AD$2,0))</f>
        <v>912.12649008000005</v>
      </c>
      <c r="W1016" s="62">
        <f t="shared" si="300"/>
        <v>-8.1082461339785708E-2</v>
      </c>
      <c r="X1016" s="62">
        <f t="shared" si="297"/>
        <v>8.1082461339785708E-2</v>
      </c>
      <c r="Y1016" s="62">
        <f t="shared" si="298"/>
        <v>-0.25054480553993785</v>
      </c>
      <c r="Z1016" s="79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</row>
    <row r="1017" spans="1:39" x14ac:dyDescent="0.3">
      <c r="A1017" s="55">
        <v>4</v>
      </c>
      <c r="B1017" s="61" t="s">
        <v>131</v>
      </c>
      <c r="C1017" s="61">
        <f t="shared" si="308"/>
        <v>1014</v>
      </c>
      <c r="D1017" s="61">
        <f t="shared" si="291"/>
        <v>6.5096700000000007</v>
      </c>
      <c r="E1017" s="61">
        <f>E1016</f>
        <v>2.91</v>
      </c>
      <c r="F1017" s="88">
        <f>($C$4/E1017)+F1016</f>
        <v>128.55870510960813</v>
      </c>
      <c r="G1017" s="61">
        <f>G1016</f>
        <v>1500</v>
      </c>
      <c r="H1017" s="61">
        <v>2</v>
      </c>
      <c r="I1017" s="88">
        <f>E1017-E1016</f>
        <v>0</v>
      </c>
      <c r="J1017" s="61">
        <f>(0.5*VEHICLE!$C$71*VEHICLE!$C$28*VEHICLE!$C$27*'Drive Cycle'!E1017^2)</f>
        <v>7.5332564792100003</v>
      </c>
      <c r="K1017" s="61">
        <f>IF(A1017=1,VEHICLE!$S$5,IF(A1017=2,VEHICLE!$Q$5,IF(A1017=3,VEHICLE!$R$5,IF(A1017=4,VEHICLE!$P$5,1))))</f>
        <v>111.31014600000002</v>
      </c>
      <c r="L1017" s="61">
        <v>0</v>
      </c>
      <c r="M1017" s="61">
        <f t="shared" si="299"/>
        <v>0</v>
      </c>
      <c r="N1017" s="61">
        <f t="shared" si="292"/>
        <v>0</v>
      </c>
      <c r="O1017" s="61">
        <f t="shared" si="293"/>
        <v>0</v>
      </c>
      <c r="P1017" s="61">
        <f t="shared" si="294"/>
        <v>118.84340247921001</v>
      </c>
      <c r="Q1017" s="61">
        <f>IF(H1017=1,I1017*VEHICLE!$C$69,IF(H1017=2,VEHICLE!$C$70*I1017,IF(H1017=3,VEHICLE!$C$71*I1017,0)))</f>
        <v>0</v>
      </c>
      <c r="R1017" s="61">
        <f>(J1017+K1017+O1017+Q1017)</f>
        <v>118.84340247921001</v>
      </c>
      <c r="S1017" s="61">
        <f t="shared" si="295"/>
        <v>118.84340247921001</v>
      </c>
      <c r="T1017" s="61">
        <f>ABS((R1017)/((2*PI()*G1017)/60))</f>
        <v>0.75658059833703528</v>
      </c>
      <c r="U1017" s="61">
        <f t="shared" si="296"/>
        <v>1</v>
      </c>
      <c r="V1017" s="61">
        <f>INDEX(BSFC!$D$4:$AD$26,MATCH(U1017,BSFC!$B$4:$B$26,0),MATCH(G1017,BSFC!$D$2:$AD$2,0))</f>
        <v>1159.5484262400005</v>
      </c>
      <c r="W1017" s="61">
        <f t="shared" si="300"/>
        <v>3.8279077864937484E-2</v>
      </c>
      <c r="X1017" s="61">
        <f t="shared" si="297"/>
        <v>3.8279077864937484E-2</v>
      </c>
      <c r="Y1017" s="61">
        <f t="shared" si="298"/>
        <v>0.11828235060265682</v>
      </c>
      <c r="Z1017" s="79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</row>
    <row r="1018" spans="1:39" x14ac:dyDescent="0.3">
      <c r="A1018" s="55">
        <v>4</v>
      </c>
      <c r="B1018" s="61" t="s">
        <v>131</v>
      </c>
      <c r="C1018" s="61">
        <f t="shared" si="308"/>
        <v>1015</v>
      </c>
      <c r="D1018" s="61">
        <f t="shared" si="291"/>
        <v>6.5096700000000007</v>
      </c>
      <c r="E1018" s="61">
        <f t="shared" ref="E1018:E1022" si="312">E1017</f>
        <v>2.91</v>
      </c>
      <c r="F1018" s="88">
        <f>($C$4/E1018)+F1017</f>
        <v>128.90234772129199</v>
      </c>
      <c r="G1018" s="61">
        <f t="shared" ref="G1018:G1022" si="313">G1017</f>
        <v>1500</v>
      </c>
      <c r="H1018" s="61">
        <v>2</v>
      </c>
      <c r="I1018" s="88">
        <f>E1018-E1017</f>
        <v>0</v>
      </c>
      <c r="J1018" s="61">
        <f>(0.5*VEHICLE!$C$71*VEHICLE!$C$28*VEHICLE!$C$27*'Drive Cycle'!E1018^2)</f>
        <v>7.5332564792100003</v>
      </c>
      <c r="K1018" s="61">
        <f>IF(A1018=1,VEHICLE!$S$5,IF(A1018=2,VEHICLE!$Q$5,IF(A1018=3,VEHICLE!$R$5,IF(A1018=4,VEHICLE!$P$5,1))))</f>
        <v>111.31014600000002</v>
      </c>
      <c r="L1018" s="61">
        <v>0</v>
      </c>
      <c r="M1018" s="61">
        <f t="shared" si="299"/>
        <v>0</v>
      </c>
      <c r="N1018" s="61">
        <f t="shared" si="292"/>
        <v>0</v>
      </c>
      <c r="O1018" s="61">
        <f t="shared" si="293"/>
        <v>0</v>
      </c>
      <c r="P1018" s="61">
        <f t="shared" si="294"/>
        <v>118.84340247921001</v>
      </c>
      <c r="Q1018" s="61">
        <f>IF(H1018=1,I1018*VEHICLE!$C$69,IF(H1018=2,VEHICLE!$C$70*I1018,IF(H1018=3,VEHICLE!$C$71*I1018,0)))</f>
        <v>0</v>
      </c>
      <c r="R1018" s="61">
        <f>(J1018+K1018+O1018+Q1018)</f>
        <v>118.84340247921001</v>
      </c>
      <c r="S1018" s="61">
        <f t="shared" si="295"/>
        <v>118.84340247921001</v>
      </c>
      <c r="T1018" s="61">
        <f>ABS((R1018)/((2*PI()*G1018)/60))</f>
        <v>0.75658059833703528</v>
      </c>
      <c r="U1018" s="61">
        <f t="shared" si="296"/>
        <v>1</v>
      </c>
      <c r="V1018" s="61">
        <f>INDEX(BSFC!$D$4:$AD$26,MATCH(U1018,BSFC!$B$4:$B$26,0),MATCH(G1018,BSFC!$D$2:$AD$2,0))</f>
        <v>1159.5484262400005</v>
      </c>
      <c r="W1018" s="61">
        <f t="shared" si="300"/>
        <v>3.8279077864937484E-2</v>
      </c>
      <c r="X1018" s="61">
        <f t="shared" si="297"/>
        <v>3.8279077864937484E-2</v>
      </c>
      <c r="Y1018" s="61">
        <f t="shared" si="298"/>
        <v>0.11828235060265682</v>
      </c>
      <c r="Z1018" s="79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</row>
    <row r="1019" spans="1:39" x14ac:dyDescent="0.3">
      <c r="A1019" s="55">
        <v>4</v>
      </c>
      <c r="B1019" s="61" t="s">
        <v>131</v>
      </c>
      <c r="C1019" s="61">
        <f t="shared" si="308"/>
        <v>1016</v>
      </c>
      <c r="D1019" s="61">
        <f t="shared" si="291"/>
        <v>6.5096700000000007</v>
      </c>
      <c r="E1019" s="61">
        <f t="shared" si="312"/>
        <v>2.91</v>
      </c>
      <c r="F1019" s="88">
        <f>($C$4/E1019)+F1018</f>
        <v>129.24599033297585</v>
      </c>
      <c r="G1019" s="61">
        <f t="shared" si="313"/>
        <v>1500</v>
      </c>
      <c r="H1019" s="61">
        <v>2</v>
      </c>
      <c r="I1019" s="88">
        <f>E1019-E1018</f>
        <v>0</v>
      </c>
      <c r="J1019" s="61">
        <f>(0.5*VEHICLE!$C$71*VEHICLE!$C$28*VEHICLE!$C$27*'Drive Cycle'!E1019^2)</f>
        <v>7.5332564792100003</v>
      </c>
      <c r="K1019" s="61">
        <f>IF(A1019=1,VEHICLE!$S$5,IF(A1019=2,VEHICLE!$Q$5,IF(A1019=3,VEHICLE!$R$5,IF(A1019=4,VEHICLE!$P$5,1))))</f>
        <v>111.31014600000002</v>
      </c>
      <c r="L1019" s="61">
        <v>0</v>
      </c>
      <c r="M1019" s="61">
        <f t="shared" si="299"/>
        <v>0</v>
      </c>
      <c r="N1019" s="61">
        <f t="shared" si="292"/>
        <v>0</v>
      </c>
      <c r="O1019" s="61">
        <f t="shared" si="293"/>
        <v>0</v>
      </c>
      <c r="P1019" s="61">
        <f t="shared" si="294"/>
        <v>118.84340247921001</v>
      </c>
      <c r="Q1019" s="61">
        <f>IF(H1019=1,I1019*VEHICLE!$C$69,IF(H1019=2,VEHICLE!$C$70*I1019,IF(H1019=3,VEHICLE!$C$71*I1019,0)))</f>
        <v>0</v>
      </c>
      <c r="R1019" s="61">
        <f>(J1019+K1019+O1019+Q1019)</f>
        <v>118.84340247921001</v>
      </c>
      <c r="S1019" s="61">
        <f t="shared" si="295"/>
        <v>118.84340247921001</v>
      </c>
      <c r="T1019" s="61">
        <f>ABS((R1019)/((2*PI()*G1019)/60))</f>
        <v>0.75658059833703528</v>
      </c>
      <c r="U1019" s="61">
        <f t="shared" si="296"/>
        <v>1</v>
      </c>
      <c r="V1019" s="61">
        <f>INDEX(BSFC!$D$4:$AD$26,MATCH(U1019,BSFC!$B$4:$B$26,0),MATCH(G1019,BSFC!$D$2:$AD$2,0))</f>
        <v>1159.5484262400005</v>
      </c>
      <c r="W1019" s="61">
        <f t="shared" si="300"/>
        <v>3.8279077864937484E-2</v>
      </c>
      <c r="X1019" s="61">
        <f t="shared" si="297"/>
        <v>3.8279077864937484E-2</v>
      </c>
      <c r="Y1019" s="61">
        <f t="shared" si="298"/>
        <v>0.11828235060265682</v>
      </c>
      <c r="Z1019" s="79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</row>
    <row r="1020" spans="1:39" x14ac:dyDescent="0.3">
      <c r="A1020" s="55">
        <v>4</v>
      </c>
      <c r="B1020" s="61" t="s">
        <v>131</v>
      </c>
      <c r="C1020" s="61">
        <f t="shared" si="308"/>
        <v>1017</v>
      </c>
      <c r="D1020" s="61">
        <f t="shared" si="291"/>
        <v>6.5096700000000007</v>
      </c>
      <c r="E1020" s="61">
        <f t="shared" si="312"/>
        <v>2.91</v>
      </c>
      <c r="F1020" s="88">
        <f>($C$4/E1020)+F1019</f>
        <v>129.58963294465971</v>
      </c>
      <c r="G1020" s="61">
        <f t="shared" si="313"/>
        <v>1500</v>
      </c>
      <c r="H1020" s="61">
        <v>2</v>
      </c>
      <c r="I1020" s="88">
        <f>E1020-E1019</f>
        <v>0</v>
      </c>
      <c r="J1020" s="61">
        <f>(0.5*VEHICLE!$C$71*VEHICLE!$C$28*VEHICLE!$C$27*'Drive Cycle'!E1020^2)</f>
        <v>7.5332564792100003</v>
      </c>
      <c r="K1020" s="61">
        <f>IF(A1020=1,VEHICLE!$S$5,IF(A1020=2,VEHICLE!$Q$5,IF(A1020=3,VEHICLE!$R$5,IF(A1020=4,VEHICLE!$P$5,1))))</f>
        <v>111.31014600000002</v>
      </c>
      <c r="L1020" s="61">
        <v>0</v>
      </c>
      <c r="M1020" s="61">
        <f t="shared" si="299"/>
        <v>0</v>
      </c>
      <c r="N1020" s="61">
        <f t="shared" si="292"/>
        <v>0</v>
      </c>
      <c r="O1020" s="61">
        <f t="shared" si="293"/>
        <v>0</v>
      </c>
      <c r="P1020" s="61">
        <f t="shared" si="294"/>
        <v>118.84340247921001</v>
      </c>
      <c r="Q1020" s="61">
        <f>IF(H1020=1,I1020*VEHICLE!$C$69,IF(H1020=2,VEHICLE!$C$70*I1020,IF(H1020=3,VEHICLE!$C$71*I1020,0)))</f>
        <v>0</v>
      </c>
      <c r="R1020" s="61">
        <f>(J1020+K1020+O1020+Q1020)</f>
        <v>118.84340247921001</v>
      </c>
      <c r="S1020" s="61">
        <f t="shared" si="295"/>
        <v>118.84340247921001</v>
      </c>
      <c r="T1020" s="61">
        <f>ABS((R1020)/((2*PI()*G1020)/60))</f>
        <v>0.75658059833703528</v>
      </c>
      <c r="U1020" s="61">
        <f t="shared" si="296"/>
        <v>1</v>
      </c>
      <c r="V1020" s="61">
        <f>INDEX(BSFC!$D$4:$AD$26,MATCH(U1020,BSFC!$B$4:$B$26,0),MATCH(G1020,BSFC!$D$2:$AD$2,0))</f>
        <v>1159.5484262400005</v>
      </c>
      <c r="W1020" s="61">
        <f t="shared" si="300"/>
        <v>3.8279077864937484E-2</v>
      </c>
      <c r="X1020" s="61">
        <f t="shared" si="297"/>
        <v>3.8279077864937484E-2</v>
      </c>
      <c r="Y1020" s="61">
        <f t="shared" si="298"/>
        <v>0.11828235060265682</v>
      </c>
      <c r="Z1020" s="79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</row>
    <row r="1021" spans="1:39" x14ac:dyDescent="0.3">
      <c r="A1021" s="55">
        <v>4</v>
      </c>
      <c r="B1021" s="61" t="s">
        <v>131</v>
      </c>
      <c r="C1021" s="61">
        <f t="shared" si="308"/>
        <v>1018</v>
      </c>
      <c r="D1021" s="61">
        <f t="shared" si="291"/>
        <v>6.5096700000000007</v>
      </c>
      <c r="E1021" s="61">
        <f t="shared" si="312"/>
        <v>2.91</v>
      </c>
      <c r="F1021" s="88">
        <f>($C$4/E1021)+F1020</f>
        <v>129.93327555634357</v>
      </c>
      <c r="G1021" s="61">
        <f t="shared" si="313"/>
        <v>1500</v>
      </c>
      <c r="H1021" s="61">
        <v>2</v>
      </c>
      <c r="I1021" s="88">
        <f>E1021-E1020</f>
        <v>0</v>
      </c>
      <c r="J1021" s="61">
        <f>(0.5*VEHICLE!$C$71*VEHICLE!$C$28*VEHICLE!$C$27*'Drive Cycle'!E1021^2)</f>
        <v>7.5332564792100003</v>
      </c>
      <c r="K1021" s="61">
        <f>IF(A1021=1,VEHICLE!$S$5,IF(A1021=2,VEHICLE!$Q$5,IF(A1021=3,VEHICLE!$R$5,IF(A1021=4,VEHICLE!$P$5,1))))</f>
        <v>111.31014600000002</v>
      </c>
      <c r="L1021" s="61">
        <v>0</v>
      </c>
      <c r="M1021" s="61">
        <f t="shared" si="299"/>
        <v>0</v>
      </c>
      <c r="N1021" s="61">
        <f t="shared" si="292"/>
        <v>0</v>
      </c>
      <c r="O1021" s="61">
        <f t="shared" si="293"/>
        <v>0</v>
      </c>
      <c r="P1021" s="61">
        <f t="shared" si="294"/>
        <v>118.84340247921001</v>
      </c>
      <c r="Q1021" s="61">
        <f>IF(H1021=1,I1021*VEHICLE!$C$69,IF(H1021=2,VEHICLE!$C$70*I1021,IF(H1021=3,VEHICLE!$C$71*I1021,0)))</f>
        <v>0</v>
      </c>
      <c r="R1021" s="61">
        <f>(J1021+K1021+O1021+Q1021)</f>
        <v>118.84340247921001</v>
      </c>
      <c r="S1021" s="61">
        <f t="shared" si="295"/>
        <v>118.84340247921001</v>
      </c>
      <c r="T1021" s="61">
        <f>ABS((R1021)/((2*PI()*G1021)/60))</f>
        <v>0.75658059833703528</v>
      </c>
      <c r="U1021" s="61">
        <f t="shared" si="296"/>
        <v>1</v>
      </c>
      <c r="V1021" s="61">
        <f>INDEX(BSFC!$D$4:$AD$26,MATCH(U1021,BSFC!$B$4:$B$26,0),MATCH(G1021,BSFC!$D$2:$AD$2,0))</f>
        <v>1159.5484262400005</v>
      </c>
      <c r="W1021" s="61">
        <f t="shared" si="300"/>
        <v>3.8279077864937484E-2</v>
      </c>
      <c r="X1021" s="61">
        <f t="shared" si="297"/>
        <v>3.8279077864937484E-2</v>
      </c>
      <c r="Y1021" s="61">
        <f t="shared" si="298"/>
        <v>0.11828235060265682</v>
      </c>
      <c r="Z1021" s="79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</row>
    <row r="1022" spans="1:39" x14ac:dyDescent="0.3">
      <c r="A1022" s="55">
        <v>4</v>
      </c>
      <c r="B1022" s="61" t="s">
        <v>131</v>
      </c>
      <c r="C1022" s="61">
        <f t="shared" si="308"/>
        <v>1019</v>
      </c>
      <c r="D1022" s="61">
        <f t="shared" si="291"/>
        <v>6.5096700000000007</v>
      </c>
      <c r="E1022" s="61">
        <f t="shared" si="312"/>
        <v>2.91</v>
      </c>
      <c r="F1022" s="88">
        <f>($C$4/E1022)+F1021</f>
        <v>130.27691816802744</v>
      </c>
      <c r="G1022" s="61">
        <f t="shared" si="313"/>
        <v>1500</v>
      </c>
      <c r="H1022" s="61">
        <v>2</v>
      </c>
      <c r="I1022" s="88">
        <f>E1022-E1021</f>
        <v>0</v>
      </c>
      <c r="J1022" s="61">
        <f>(0.5*VEHICLE!$C$71*VEHICLE!$C$28*VEHICLE!$C$27*'Drive Cycle'!E1022^2)</f>
        <v>7.5332564792100003</v>
      </c>
      <c r="K1022" s="61">
        <f>IF(A1022=1,VEHICLE!$S$5,IF(A1022=2,VEHICLE!$Q$5,IF(A1022=3,VEHICLE!$R$5,IF(A1022=4,VEHICLE!$P$5,1))))</f>
        <v>111.31014600000002</v>
      </c>
      <c r="L1022" s="61">
        <v>0</v>
      </c>
      <c r="M1022" s="61">
        <f t="shared" si="299"/>
        <v>0</v>
      </c>
      <c r="N1022" s="61">
        <f t="shared" si="292"/>
        <v>0</v>
      </c>
      <c r="O1022" s="61">
        <f t="shared" si="293"/>
        <v>0</v>
      </c>
      <c r="P1022" s="61">
        <f t="shared" si="294"/>
        <v>118.84340247921001</v>
      </c>
      <c r="Q1022" s="61">
        <f>IF(H1022=1,I1022*VEHICLE!$C$69,IF(H1022=2,VEHICLE!$C$70*I1022,IF(H1022=3,VEHICLE!$C$71*I1022,0)))</f>
        <v>0</v>
      </c>
      <c r="R1022" s="61">
        <f>(J1022+K1022+O1022+Q1022)</f>
        <v>118.84340247921001</v>
      </c>
      <c r="S1022" s="61">
        <f t="shared" si="295"/>
        <v>118.84340247921001</v>
      </c>
      <c r="T1022" s="61">
        <f>ABS((R1022)/((2*PI()*G1022)/60))</f>
        <v>0.75658059833703528</v>
      </c>
      <c r="U1022" s="61">
        <f t="shared" si="296"/>
        <v>1</v>
      </c>
      <c r="V1022" s="61">
        <f>INDEX(BSFC!$D$4:$AD$26,MATCH(U1022,BSFC!$B$4:$B$26,0),MATCH(G1022,BSFC!$D$2:$AD$2,0))</f>
        <v>1159.5484262400005</v>
      </c>
      <c r="W1022" s="61">
        <f t="shared" si="300"/>
        <v>3.8279077864937484E-2</v>
      </c>
      <c r="X1022" s="61">
        <f t="shared" si="297"/>
        <v>3.8279077864937484E-2</v>
      </c>
      <c r="Y1022" s="61">
        <f t="shared" si="298"/>
        <v>0.11828235060265682</v>
      </c>
      <c r="Z1022" s="79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</row>
    <row r="1023" spans="1:39" x14ac:dyDescent="0.3">
      <c r="A1023" s="55">
        <v>4</v>
      </c>
      <c r="B1023" s="61" t="s">
        <v>131</v>
      </c>
      <c r="C1023" s="61">
        <f t="shared" si="308"/>
        <v>1020</v>
      </c>
      <c r="D1023" s="61">
        <f t="shared" si="291"/>
        <v>8.1874200000000013</v>
      </c>
      <c r="E1023" s="61">
        <f>E1022+0.75</f>
        <v>3.66</v>
      </c>
      <c r="F1023" s="88">
        <f>($C$4/E1023)+F1022</f>
        <v>130.55014221174329</v>
      </c>
      <c r="G1023" s="61">
        <f>G1022+500</f>
        <v>2000</v>
      </c>
      <c r="H1023" s="61">
        <v>2</v>
      </c>
      <c r="I1023" s="88">
        <f>E1023-E1022</f>
        <v>0.75</v>
      </c>
      <c r="J1023" s="61">
        <f>(0.5*VEHICLE!$C$71*VEHICLE!$C$28*VEHICLE!$C$27*'Drive Cycle'!E1023^2)</f>
        <v>11.916780681960001</v>
      </c>
      <c r="K1023" s="61">
        <f>IF(A1023=1,VEHICLE!$S$5,IF(A1023=2,VEHICLE!$Q$5,IF(A1023=3,VEHICLE!$R$5,IF(A1023=4,VEHICLE!$P$5,1))))</f>
        <v>111.31014600000002</v>
      </c>
      <c r="L1023" s="61">
        <v>0</v>
      </c>
      <c r="M1023" s="61">
        <f t="shared" si="299"/>
        <v>0</v>
      </c>
      <c r="N1023" s="61">
        <f t="shared" si="292"/>
        <v>0</v>
      </c>
      <c r="O1023" s="61">
        <f t="shared" si="293"/>
        <v>0</v>
      </c>
      <c r="P1023" s="61">
        <f t="shared" si="294"/>
        <v>123.22692668196002</v>
      </c>
      <c r="Q1023" s="61">
        <f>IF(H1023=1,I1023*VEHICLE!$C$69,IF(H1023=2,VEHICLE!$C$70*I1023,IF(H1023=3,VEHICLE!$C$71*I1023,0)))</f>
        <v>438.86136489758803</v>
      </c>
      <c r="R1023" s="61">
        <f>(J1023+K1023+O1023+Q1023)</f>
        <v>562.08829157954801</v>
      </c>
      <c r="S1023" s="61">
        <f t="shared" si="295"/>
        <v>562.08829157954801</v>
      </c>
      <c r="T1023" s="61">
        <f>ABS((R1023)/((2*PI()*G1023)/60))</f>
        <v>2.6837739017689093</v>
      </c>
      <c r="U1023" s="61">
        <f t="shared" si="296"/>
        <v>3</v>
      </c>
      <c r="V1023" s="61">
        <f>INDEX(BSFC!$D$4:$AD$26,MATCH(U1023,BSFC!$B$4:$B$26,0),MATCH(G1023,BSFC!$D$2:$AD$2,0))</f>
        <v>871.70053920000043</v>
      </c>
      <c r="W1023" s="61">
        <f t="shared" si="300"/>
        <v>0.13610351856886085</v>
      </c>
      <c r="X1023" s="61">
        <f t="shared" si="297"/>
        <v>0.13610351856886085</v>
      </c>
      <c r="Y1023" s="61">
        <f t="shared" si="298"/>
        <v>0.42055987237778003</v>
      </c>
      <c r="Z1023" s="79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</row>
    <row r="1024" spans="1:39" x14ac:dyDescent="0.3">
      <c r="A1024" s="55">
        <v>4</v>
      </c>
      <c r="B1024" s="61" t="s">
        <v>131</v>
      </c>
      <c r="C1024" s="61">
        <f t="shared" si="308"/>
        <v>1021</v>
      </c>
      <c r="D1024" s="61">
        <f t="shared" si="291"/>
        <v>9.8651700000000009</v>
      </c>
      <c r="E1024" s="61">
        <f t="shared" ref="E1024:E1036" si="314">E1023+0.75</f>
        <v>4.41</v>
      </c>
      <c r="F1024" s="88">
        <f>($C$4/E1024)+F1023</f>
        <v>130.77689958135781</v>
      </c>
      <c r="G1024" s="61">
        <f t="shared" ref="G1024:G1032" si="315">G1023+500</f>
        <v>2500</v>
      </c>
      <c r="H1024" s="61">
        <v>2</v>
      </c>
      <c r="I1024" s="88">
        <f>E1024-E1023</f>
        <v>0.75</v>
      </c>
      <c r="J1024" s="61">
        <f>(0.5*VEHICLE!$C$71*VEHICLE!$C$28*VEHICLE!$C$27*'Drive Cycle'!E1024^2)</f>
        <v>17.30110949721</v>
      </c>
      <c r="K1024" s="61">
        <f>IF(A1024=1,VEHICLE!$S$5,IF(A1024=2,VEHICLE!$Q$5,IF(A1024=3,VEHICLE!$R$5,IF(A1024=4,VEHICLE!$P$5,1))))</f>
        <v>111.31014600000002</v>
      </c>
      <c r="L1024" s="61">
        <v>0</v>
      </c>
      <c r="M1024" s="61">
        <f t="shared" si="299"/>
        <v>0</v>
      </c>
      <c r="N1024" s="61">
        <f t="shared" si="292"/>
        <v>0</v>
      </c>
      <c r="O1024" s="61">
        <f t="shared" si="293"/>
        <v>0</v>
      </c>
      <c r="P1024" s="61">
        <f t="shared" si="294"/>
        <v>128.61125549721001</v>
      </c>
      <c r="Q1024" s="61">
        <f>IF(H1024=1,I1024*VEHICLE!$C$69,IF(H1024=2,VEHICLE!$C$70*I1024,IF(H1024=3,VEHICLE!$C$71*I1024,0)))</f>
        <v>438.86136489758803</v>
      </c>
      <c r="R1024" s="61">
        <f>(J1024+K1024+O1024+Q1024)</f>
        <v>567.47262039479801</v>
      </c>
      <c r="S1024" s="61">
        <f t="shared" si="295"/>
        <v>567.47262039479801</v>
      </c>
      <c r="T1024" s="61">
        <f>ABS((R1024)/((2*PI()*G1024)/60))</f>
        <v>2.1675857425234275</v>
      </c>
      <c r="U1024" s="61">
        <f t="shared" si="296"/>
        <v>3</v>
      </c>
      <c r="V1024" s="61">
        <f>INDEX(BSFC!$D$4:$AD$26,MATCH(U1024,BSFC!$B$4:$B$26,0),MATCH(G1024,BSFC!$D$2:$AD$2,0))</f>
        <v>898.36185024000031</v>
      </c>
      <c r="W1024" s="61">
        <f t="shared" si="300"/>
        <v>0.14160993144955891</v>
      </c>
      <c r="X1024" s="61">
        <f t="shared" si="297"/>
        <v>0.14160993144955891</v>
      </c>
      <c r="Y1024" s="61">
        <f t="shared" si="298"/>
        <v>0.43757468817913703</v>
      </c>
      <c r="Z1024" s="79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</row>
    <row r="1025" spans="1:39" x14ac:dyDescent="0.3">
      <c r="A1025" s="55">
        <v>4</v>
      </c>
      <c r="B1025" s="62" t="s">
        <v>116</v>
      </c>
      <c r="C1025" s="62">
        <f t="shared" si="308"/>
        <v>1022</v>
      </c>
      <c r="D1025" s="62">
        <f t="shared" si="291"/>
        <v>11.542920000000001</v>
      </c>
      <c r="E1025" s="62">
        <f t="shared" si="314"/>
        <v>5.16</v>
      </c>
      <c r="F1025" s="87">
        <f>($C$4/E1025)+F1024</f>
        <v>130.97069803097023</v>
      </c>
      <c r="G1025" s="62">
        <f t="shared" si="315"/>
        <v>3000</v>
      </c>
      <c r="H1025" s="62">
        <v>2</v>
      </c>
      <c r="I1025" s="87">
        <f>E1025-E1024</f>
        <v>0.75</v>
      </c>
      <c r="J1025" s="62">
        <f>(0.5*VEHICLE!$C$71*VEHICLE!$C$28*VEHICLE!$C$27*'Drive Cycle'!E1025^2)</f>
        <v>23.686242924959998</v>
      </c>
      <c r="K1025" s="62">
        <f>IF(A1025=1,VEHICLE!$S$5,IF(A1025=2,VEHICLE!$Q$5,IF(A1025=3,VEHICLE!$R$5,IF(A1025=4,VEHICLE!$P$5,1))))</f>
        <v>111.31014600000002</v>
      </c>
      <c r="L1025" s="62">
        <v>0</v>
      </c>
      <c r="M1025" s="62">
        <f t="shared" si="299"/>
        <v>0</v>
      </c>
      <c r="N1025" s="62">
        <f t="shared" si="292"/>
        <v>0</v>
      </c>
      <c r="O1025" s="62">
        <f t="shared" si="293"/>
        <v>0</v>
      </c>
      <c r="P1025" s="62">
        <f t="shared" si="294"/>
        <v>134.99638892496</v>
      </c>
      <c r="Q1025" s="62">
        <f>IF(H1025=1,I1025*VEHICLE!$C$69,IF(H1025=2,VEHICLE!$C$70*I1025,IF(H1025=3,VEHICLE!$C$71*I1025,0)))</f>
        <v>438.86136489758803</v>
      </c>
      <c r="R1025" s="62">
        <f>(J1025+K1025+O1025+Q1025)</f>
        <v>573.85775382254803</v>
      </c>
      <c r="S1025" s="62">
        <f t="shared" si="295"/>
        <v>573.85775382254803</v>
      </c>
      <c r="T1025" s="62">
        <f>ABS((R1025)/((2*PI()*G1025)/60))</f>
        <v>1.8266459630494103</v>
      </c>
      <c r="U1025" s="62">
        <f t="shared" si="296"/>
        <v>2</v>
      </c>
      <c r="V1025" s="62">
        <f>INDEX(BSFC!$D$4:$AD$26,MATCH(U1025,BSFC!$B$4:$B$26,0),MATCH(G1025,BSFC!$D$2:$AD$2,0))</f>
        <v>929.28963552000016</v>
      </c>
      <c r="W1025" s="62">
        <f t="shared" si="300"/>
        <v>0.14813335080280046</v>
      </c>
      <c r="X1025" s="62">
        <f t="shared" si="297"/>
        <v>0.14813335080280046</v>
      </c>
      <c r="Y1025" s="62">
        <f t="shared" si="298"/>
        <v>0.45773205398065342</v>
      </c>
      <c r="Z1025" s="79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</row>
    <row r="1026" spans="1:39" x14ac:dyDescent="0.3">
      <c r="A1026" s="55">
        <v>4</v>
      </c>
      <c r="B1026" s="62" t="s">
        <v>116</v>
      </c>
      <c r="C1026" s="62">
        <f t="shared" si="308"/>
        <v>1023</v>
      </c>
      <c r="D1026" s="62">
        <f t="shared" si="291"/>
        <v>13.22067</v>
      </c>
      <c r="E1026" s="62">
        <f t="shared" si="314"/>
        <v>5.91</v>
      </c>
      <c r="F1026" s="87">
        <f>($C$4/E1026)+F1025</f>
        <v>131.13990276870288</v>
      </c>
      <c r="G1026" s="62">
        <f t="shared" si="315"/>
        <v>3500</v>
      </c>
      <c r="H1026" s="62">
        <v>2</v>
      </c>
      <c r="I1026" s="87">
        <f>E1026-E1025</f>
        <v>0.75</v>
      </c>
      <c r="J1026" s="62">
        <f>(0.5*VEHICLE!$C$71*VEHICLE!$C$28*VEHICLE!$C$27*'Drive Cycle'!E1026^2)</f>
        <v>31.072180965209999</v>
      </c>
      <c r="K1026" s="62">
        <f>IF(A1026=1,VEHICLE!$S$5,IF(A1026=2,VEHICLE!$Q$5,IF(A1026=3,VEHICLE!$R$5,IF(A1026=4,VEHICLE!$P$5,1))))</f>
        <v>111.31014600000002</v>
      </c>
      <c r="L1026" s="62">
        <v>0</v>
      </c>
      <c r="M1026" s="62">
        <f t="shared" si="299"/>
        <v>0</v>
      </c>
      <c r="N1026" s="62">
        <f t="shared" si="292"/>
        <v>0</v>
      </c>
      <c r="O1026" s="62">
        <f t="shared" si="293"/>
        <v>0</v>
      </c>
      <c r="P1026" s="62">
        <f t="shared" si="294"/>
        <v>142.38232696521001</v>
      </c>
      <c r="Q1026" s="62">
        <f>IF(H1026=1,I1026*VEHICLE!$C$69,IF(H1026=2,VEHICLE!$C$70*I1026,IF(H1026=3,VEHICLE!$C$71*I1026,0)))</f>
        <v>438.86136489758803</v>
      </c>
      <c r="R1026" s="62">
        <f>(J1026+K1026+O1026+Q1026)</f>
        <v>581.24369186279807</v>
      </c>
      <c r="S1026" s="62">
        <f t="shared" si="295"/>
        <v>581.24369186279807</v>
      </c>
      <c r="T1026" s="62">
        <f>ABS((R1026)/((2*PI()*G1026)/60))</f>
        <v>1.5858481148733734</v>
      </c>
      <c r="U1026" s="62">
        <f t="shared" si="296"/>
        <v>2</v>
      </c>
      <c r="V1026" s="62">
        <f>INDEX(BSFC!$D$4:$AD$26,MATCH(U1026,BSFC!$B$4:$B$26,0),MATCH(G1026,BSFC!$D$2:$AD$2,0))</f>
        <v>905.74442879999992</v>
      </c>
      <c r="W1026" s="62">
        <f t="shared" si="300"/>
        <v>0.14623839879996475</v>
      </c>
      <c r="X1026" s="62">
        <f t="shared" si="297"/>
        <v>0.14623839879996475</v>
      </c>
      <c r="Y1026" s="62">
        <f t="shared" si="298"/>
        <v>0.45187665229189106</v>
      </c>
      <c r="Z1026" s="79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</row>
    <row r="1027" spans="1:39" x14ac:dyDescent="0.3">
      <c r="A1027" s="55">
        <v>4</v>
      </c>
      <c r="B1027" s="62" t="s">
        <v>116</v>
      </c>
      <c r="C1027" s="62">
        <f t="shared" si="308"/>
        <v>1024</v>
      </c>
      <c r="D1027" s="62">
        <f t="shared" si="291"/>
        <v>14.898420000000002</v>
      </c>
      <c r="E1027" s="62">
        <f t="shared" si="314"/>
        <v>6.66</v>
      </c>
      <c r="F1027" s="87">
        <f>($C$4/E1027)+F1026</f>
        <v>131.29005291885304</v>
      </c>
      <c r="G1027" s="62">
        <f t="shared" si="315"/>
        <v>4000</v>
      </c>
      <c r="H1027" s="62">
        <v>2</v>
      </c>
      <c r="I1027" s="87">
        <f>E1027-E1026</f>
        <v>0.75</v>
      </c>
      <c r="J1027" s="62">
        <f>(0.5*VEHICLE!$C$71*VEHICLE!$C$28*VEHICLE!$C$27*'Drive Cycle'!E1027^2)</f>
        <v>39.458923617959996</v>
      </c>
      <c r="K1027" s="62">
        <f>IF(A1027=1,VEHICLE!$S$5,IF(A1027=2,VEHICLE!$Q$5,IF(A1027=3,VEHICLE!$R$5,IF(A1027=4,VEHICLE!$P$5,1))))</f>
        <v>111.31014600000002</v>
      </c>
      <c r="L1027" s="62">
        <v>0</v>
      </c>
      <c r="M1027" s="62">
        <f t="shared" si="299"/>
        <v>0</v>
      </c>
      <c r="N1027" s="62">
        <f t="shared" si="292"/>
        <v>0</v>
      </c>
      <c r="O1027" s="62">
        <f t="shared" si="293"/>
        <v>0</v>
      </c>
      <c r="P1027" s="62">
        <f t="shared" si="294"/>
        <v>150.76906961796001</v>
      </c>
      <c r="Q1027" s="62">
        <f>IF(H1027=1,I1027*VEHICLE!$C$69,IF(H1027=2,VEHICLE!$C$70*I1027,IF(H1027=3,VEHICLE!$C$71*I1027,0)))</f>
        <v>438.86136489758803</v>
      </c>
      <c r="R1027" s="62">
        <f>(J1027+K1027+O1027+Q1027)</f>
        <v>589.63043451554802</v>
      </c>
      <c r="S1027" s="62">
        <f t="shared" si="295"/>
        <v>589.63043451554802</v>
      </c>
      <c r="T1027" s="62">
        <f>ABS((R1027)/((2*PI()*G1027)/60))</f>
        <v>1.4076389737585735</v>
      </c>
      <c r="U1027" s="62">
        <f t="shared" si="296"/>
        <v>2</v>
      </c>
      <c r="V1027" s="62">
        <f>INDEX(BSFC!$D$4:$AD$26,MATCH(U1027,BSFC!$B$4:$B$26,0),MATCH(G1027,BSFC!$D$2:$AD$2,0))</f>
        <v>918.89477663999969</v>
      </c>
      <c r="W1027" s="62">
        <f t="shared" si="300"/>
        <v>0.15050231289564178</v>
      </c>
      <c r="X1027" s="62">
        <f t="shared" si="297"/>
        <v>0.15050231289564178</v>
      </c>
      <c r="Y1027" s="62">
        <f t="shared" si="298"/>
        <v>0.4650521468475331</v>
      </c>
      <c r="Z1027" s="79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</row>
    <row r="1028" spans="1:39" x14ac:dyDescent="0.3">
      <c r="A1028" s="55">
        <v>4</v>
      </c>
      <c r="B1028" s="62" t="s">
        <v>116</v>
      </c>
      <c r="C1028" s="62">
        <f t="shared" si="308"/>
        <v>1025</v>
      </c>
      <c r="D1028" s="62">
        <f t="shared" ref="D1028:D1091" si="316">E1028*2.237</f>
        <v>16.576170000000001</v>
      </c>
      <c r="E1028" s="62">
        <f t="shared" si="314"/>
        <v>7.41</v>
      </c>
      <c r="F1028" s="87">
        <f>($C$4/E1028)+F1027</f>
        <v>131.42500568538475</v>
      </c>
      <c r="G1028" s="62">
        <f t="shared" si="315"/>
        <v>4500</v>
      </c>
      <c r="H1028" s="62">
        <v>2</v>
      </c>
      <c r="I1028" s="87">
        <f>E1028-E1027</f>
        <v>0.75</v>
      </c>
      <c r="J1028" s="62">
        <f>(0.5*VEHICLE!$C$71*VEHICLE!$C$28*VEHICLE!$C$27*'Drive Cycle'!E1028^2)</f>
        <v>48.846470883209996</v>
      </c>
      <c r="K1028" s="62">
        <f>IF(A1028=1,VEHICLE!$S$5,IF(A1028=2,VEHICLE!$Q$5,IF(A1028=3,VEHICLE!$R$5,IF(A1028=4,VEHICLE!$P$5,1))))</f>
        <v>111.31014600000002</v>
      </c>
      <c r="L1028" s="62">
        <v>0</v>
      </c>
      <c r="M1028" s="62">
        <f t="shared" si="299"/>
        <v>0</v>
      </c>
      <c r="N1028" s="62">
        <f t="shared" ref="N1028:N1091" si="317">DEGREES(ATAN(M1028/$C$4))</f>
        <v>0</v>
      </c>
      <c r="O1028" s="62">
        <f t="shared" ref="O1028:O1091" si="318">9.81*SIN(RADIANS(N1028))*($C$47)</f>
        <v>0</v>
      </c>
      <c r="P1028" s="62">
        <f t="shared" ref="P1028:P1091" si="319">J1028+K1028+O1028</f>
        <v>160.15661688321001</v>
      </c>
      <c r="Q1028" s="62">
        <f>IF(H1028=1,I1028*VEHICLE!$C$69,IF(H1028=2,VEHICLE!$C$70*I1028,IF(H1028=3,VEHICLE!$C$71*I1028,0)))</f>
        <v>438.86136489758803</v>
      </c>
      <c r="R1028" s="62">
        <f>(J1028+K1028+O1028+Q1028)</f>
        <v>599.01798178079798</v>
      </c>
      <c r="S1028" s="62">
        <f t="shared" ref="S1028:S1091" si="320">ABS(R1028)</f>
        <v>599.01798178079798</v>
      </c>
      <c r="T1028" s="62">
        <f>ABS((R1028)/((2*PI()*G1028)/60))</f>
        <v>1.2711556373512654</v>
      </c>
      <c r="U1028" s="62">
        <f t="shared" ref="U1028:U1091" si="321">ROUNDUP(T1028,0)</f>
        <v>2</v>
      </c>
      <c r="V1028" s="62">
        <f>INDEX(BSFC!$D$4:$AD$26,MATCH(U1028,BSFC!$B$4:$B$26,0),MATCH(G1028,BSFC!$D$2:$AD$2,0))</f>
        <v>900.04656767999984</v>
      </c>
      <c r="W1028" s="62">
        <f t="shared" si="300"/>
        <v>0.14976224402233554</v>
      </c>
      <c r="X1028" s="62">
        <f t="shared" ref="X1028:X1091" si="322">ABS(W1028)</f>
        <v>0.14976224402233554</v>
      </c>
      <c r="Y1028" s="62">
        <f t="shared" ref="Y1028:Y1091" si="323">W1028*3.09</f>
        <v>0.46276533402901682</v>
      </c>
      <c r="Z1028" s="79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</row>
    <row r="1029" spans="1:39" x14ac:dyDescent="0.3">
      <c r="A1029" s="55">
        <v>4</v>
      </c>
      <c r="B1029" s="62" t="s">
        <v>116</v>
      </c>
      <c r="C1029" s="62">
        <f t="shared" si="308"/>
        <v>1026</v>
      </c>
      <c r="D1029" s="62">
        <f t="shared" si="316"/>
        <v>18.253920000000001</v>
      </c>
      <c r="E1029" s="62">
        <f t="shared" si="314"/>
        <v>8.16</v>
      </c>
      <c r="F1029" s="87">
        <f>($C$4/E1029)+F1028</f>
        <v>131.54755470499259</v>
      </c>
      <c r="G1029" s="62">
        <f t="shared" si="315"/>
        <v>5000</v>
      </c>
      <c r="H1029" s="62">
        <v>2</v>
      </c>
      <c r="I1029" s="87">
        <f>E1029-E1028</f>
        <v>0.75</v>
      </c>
      <c r="J1029" s="62">
        <f>(0.5*VEHICLE!$C$71*VEHICLE!$C$28*VEHICLE!$C$27*'Drive Cycle'!E1029^2)</f>
        <v>59.234822760959993</v>
      </c>
      <c r="K1029" s="62">
        <f>IF(A1029=1,VEHICLE!$S$5,IF(A1029=2,VEHICLE!$Q$5,IF(A1029=3,VEHICLE!$R$5,IF(A1029=4,VEHICLE!$P$5,1))))</f>
        <v>111.31014600000002</v>
      </c>
      <c r="L1029" s="62">
        <v>0</v>
      </c>
      <c r="M1029" s="62">
        <f t="shared" ref="M1029:M1092" si="324">L1029-L1028</f>
        <v>0</v>
      </c>
      <c r="N1029" s="62">
        <f t="shared" si="317"/>
        <v>0</v>
      </c>
      <c r="O1029" s="62">
        <f t="shared" si="318"/>
        <v>0</v>
      </c>
      <c r="P1029" s="62">
        <f t="shared" si="319"/>
        <v>170.54496876096002</v>
      </c>
      <c r="Q1029" s="62">
        <f>IF(H1029=1,I1029*VEHICLE!$C$69,IF(H1029=2,VEHICLE!$C$70*I1029,IF(H1029=3,VEHICLE!$C$71*I1029,0)))</f>
        <v>438.86136489758803</v>
      </c>
      <c r="R1029" s="62">
        <f>(J1029+K1029+O1029+Q1029)</f>
        <v>609.40633365854808</v>
      </c>
      <c r="S1029" s="62">
        <f t="shared" si="320"/>
        <v>609.40633365854808</v>
      </c>
      <c r="T1029" s="62">
        <f>ABS((R1029)/((2*PI()*G1029)/60))</f>
        <v>1.1638803642392017</v>
      </c>
      <c r="U1029" s="62">
        <f t="shared" si="321"/>
        <v>2</v>
      </c>
      <c r="V1029" s="62">
        <f>INDEX(BSFC!$D$4:$AD$26,MATCH(U1029,BSFC!$B$4:$B$26,0),MATCH(G1029,BSFC!$D$2:$AD$2,0))</f>
        <v>881.19835871999999</v>
      </c>
      <c r="W1029" s="62">
        <f t="shared" ref="W1029:W1092" si="325">(R1029*V1029/3600)/1000</f>
        <v>0.14916885028152368</v>
      </c>
      <c r="X1029" s="62">
        <f t="shared" si="322"/>
        <v>0.14916885028152368</v>
      </c>
      <c r="Y1029" s="62">
        <f t="shared" si="323"/>
        <v>0.46093174736990816</v>
      </c>
      <c r="Z1029" s="79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</row>
    <row r="1030" spans="1:39" x14ac:dyDescent="0.3">
      <c r="A1030" s="55">
        <v>4</v>
      </c>
      <c r="B1030" s="62" t="s">
        <v>116</v>
      </c>
      <c r="C1030" s="62">
        <f t="shared" si="308"/>
        <v>1027</v>
      </c>
      <c r="D1030" s="62">
        <f t="shared" si="316"/>
        <v>19.93167</v>
      </c>
      <c r="E1030" s="62">
        <f t="shared" si="314"/>
        <v>8.91</v>
      </c>
      <c r="F1030" s="87">
        <f>($C$4/E1030)+F1029</f>
        <v>131.65978815055936</v>
      </c>
      <c r="G1030" s="62">
        <f t="shared" si="315"/>
        <v>5500</v>
      </c>
      <c r="H1030" s="62">
        <v>2</v>
      </c>
      <c r="I1030" s="87">
        <f>E1030-E1029</f>
        <v>0.75</v>
      </c>
      <c r="J1030" s="62">
        <f>(0.5*VEHICLE!$C$71*VEHICLE!$C$28*VEHICLE!$C$27*'Drive Cycle'!E1030^2)</f>
        <v>70.623979251210002</v>
      </c>
      <c r="K1030" s="62">
        <f>IF(A1030=1,VEHICLE!$S$5,IF(A1030=2,VEHICLE!$Q$5,IF(A1030=3,VEHICLE!$R$5,IF(A1030=4,VEHICLE!$P$5,1))))</f>
        <v>111.31014600000002</v>
      </c>
      <c r="L1030" s="62">
        <v>0</v>
      </c>
      <c r="M1030" s="62">
        <f t="shared" si="324"/>
        <v>0</v>
      </c>
      <c r="N1030" s="62">
        <f t="shared" si="317"/>
        <v>0</v>
      </c>
      <c r="O1030" s="62">
        <f t="shared" si="318"/>
        <v>0</v>
      </c>
      <c r="P1030" s="62">
        <f t="shared" si="319"/>
        <v>181.93412525121002</v>
      </c>
      <c r="Q1030" s="62">
        <f>IF(H1030=1,I1030*VEHICLE!$C$69,IF(H1030=2,VEHICLE!$C$70*I1030,IF(H1030=3,VEHICLE!$C$71*I1030,0)))</f>
        <v>438.86136489758803</v>
      </c>
      <c r="R1030" s="62">
        <f>(J1030+K1030+O1030+Q1030)</f>
        <v>620.79549014879808</v>
      </c>
      <c r="S1030" s="62">
        <f t="shared" si="320"/>
        <v>620.79549014879808</v>
      </c>
      <c r="T1030" s="62">
        <f>ABS((R1030)/((2*PI()*G1030)/60))</f>
        <v>1.0778473189782245</v>
      </c>
      <c r="U1030" s="62">
        <f t="shared" si="321"/>
        <v>2</v>
      </c>
      <c r="V1030" s="62">
        <f>INDEX(BSFC!$D$4:$AD$26,MATCH(U1030,BSFC!$B$4:$B$26,0),MATCH(G1030,BSFC!$D$2:$AD$2,0))</f>
        <v>862.35014976000002</v>
      </c>
      <c r="W1030" s="62">
        <f t="shared" si="325"/>
        <v>0.14870641219448572</v>
      </c>
      <c r="X1030" s="62">
        <f t="shared" si="322"/>
        <v>0.14870641219448572</v>
      </c>
      <c r="Y1030" s="62">
        <f t="shared" si="323"/>
        <v>0.45950281368096085</v>
      </c>
      <c r="Z1030" s="79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</row>
    <row r="1031" spans="1:39" x14ac:dyDescent="0.3">
      <c r="A1031" s="55">
        <v>4</v>
      </c>
      <c r="B1031" s="62" t="s">
        <v>116</v>
      </c>
      <c r="C1031" s="62">
        <f t="shared" si="308"/>
        <v>1028</v>
      </c>
      <c r="D1031" s="62">
        <f t="shared" si="316"/>
        <v>21.60942</v>
      </c>
      <c r="E1031" s="62">
        <f t="shared" si="314"/>
        <v>9.66</v>
      </c>
      <c r="F1031" s="87">
        <f>($C$4/E1031)+F1030</f>
        <v>131.76330781929641</v>
      </c>
      <c r="G1031" s="62">
        <f t="shared" si="315"/>
        <v>6000</v>
      </c>
      <c r="H1031" s="62">
        <v>3</v>
      </c>
      <c r="I1031" s="87">
        <f>E1031-E1030</f>
        <v>0.75</v>
      </c>
      <c r="J1031" s="62">
        <f>(0.5*VEHICLE!$C$71*VEHICLE!$C$28*VEHICLE!$C$27*'Drive Cycle'!E1031^2)</f>
        <v>83.013940353959995</v>
      </c>
      <c r="K1031" s="62">
        <f>IF(A1031=1,VEHICLE!$S$5,IF(A1031=2,VEHICLE!$Q$5,IF(A1031=3,VEHICLE!$R$5,IF(A1031=4,VEHICLE!$P$5,1))))</f>
        <v>111.31014600000002</v>
      </c>
      <c r="L1031" s="62">
        <v>0</v>
      </c>
      <c r="M1031" s="62">
        <f t="shared" si="324"/>
        <v>0</v>
      </c>
      <c r="N1031" s="62">
        <f t="shared" si="317"/>
        <v>0</v>
      </c>
      <c r="O1031" s="62">
        <f t="shared" si="318"/>
        <v>0</v>
      </c>
      <c r="P1031" s="62">
        <f t="shared" si="319"/>
        <v>194.32408635396001</v>
      </c>
      <c r="Q1031" s="62">
        <f>IF(H1031=1,I1031*VEHICLE!$C$69,IF(H1031=2,VEHICLE!$C$70*I1031,IF(H1031=3,VEHICLE!$C$71*I1031,0)))</f>
        <v>0.87525000000000008</v>
      </c>
      <c r="R1031" s="62">
        <f>(J1031+K1031+O1031+Q1031)</f>
        <v>195.19933635396001</v>
      </c>
      <c r="S1031" s="62">
        <f t="shared" si="320"/>
        <v>195.19933635396001</v>
      </c>
      <c r="T1031" s="62">
        <f>ABS((R1031)/((2*PI()*G1031)/60))</f>
        <v>0.3106693926899024</v>
      </c>
      <c r="U1031" s="62">
        <f t="shared" si="321"/>
        <v>1</v>
      </c>
      <c r="V1031" s="62">
        <f>INDEX(BSFC!$D$4:$AD$26,MATCH(U1031,BSFC!$B$4:$B$26,0),MATCH(G1031,BSFC!$D$2:$AD$2,0))</f>
        <v>933.91499472000044</v>
      </c>
      <c r="W1031" s="62">
        <f t="shared" si="325"/>
        <v>5.0638774216765596E-2</v>
      </c>
      <c r="X1031" s="62">
        <f t="shared" si="322"/>
        <v>5.0638774216765596E-2</v>
      </c>
      <c r="Y1031" s="62">
        <f t="shared" si="323"/>
        <v>0.15647381232980567</v>
      </c>
      <c r="Z1031" s="79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</row>
    <row r="1032" spans="1:39" x14ac:dyDescent="0.3">
      <c r="A1032" s="55">
        <v>4</v>
      </c>
      <c r="B1032" s="62" t="s">
        <v>116</v>
      </c>
      <c r="C1032" s="62">
        <f t="shared" si="308"/>
        <v>1029</v>
      </c>
      <c r="D1032" s="62">
        <f t="shared" si="316"/>
        <v>23.28717</v>
      </c>
      <c r="E1032" s="62">
        <f t="shared" si="314"/>
        <v>10.41</v>
      </c>
      <c r="F1032" s="87">
        <f>($C$4/E1032)+F1031</f>
        <v>131.8593692986432</v>
      </c>
      <c r="G1032" s="62">
        <f t="shared" si="315"/>
        <v>6500</v>
      </c>
      <c r="H1032" s="62">
        <v>3</v>
      </c>
      <c r="I1032" s="87">
        <f>E1032-E1031</f>
        <v>0.75</v>
      </c>
      <c r="J1032" s="62">
        <f>(0.5*VEHICLE!$C$71*VEHICLE!$C$28*VEHICLE!$C$27*'Drive Cycle'!E1032^2)</f>
        <v>96.404706069209993</v>
      </c>
      <c r="K1032" s="62">
        <f>IF(A1032=1,VEHICLE!$S$5,IF(A1032=2,VEHICLE!$Q$5,IF(A1032=3,VEHICLE!$R$5,IF(A1032=4,VEHICLE!$P$5,1))))</f>
        <v>111.31014600000002</v>
      </c>
      <c r="L1032" s="62">
        <v>0</v>
      </c>
      <c r="M1032" s="62">
        <f t="shared" si="324"/>
        <v>0</v>
      </c>
      <c r="N1032" s="62">
        <f t="shared" si="317"/>
        <v>0</v>
      </c>
      <c r="O1032" s="62">
        <f t="shared" si="318"/>
        <v>0</v>
      </c>
      <c r="P1032" s="62">
        <f t="shared" si="319"/>
        <v>207.71485206921</v>
      </c>
      <c r="Q1032" s="62">
        <f>IF(H1032=1,I1032*VEHICLE!$C$69,IF(H1032=2,VEHICLE!$C$70*I1032,IF(H1032=3,VEHICLE!$C$71*I1032,0)))</f>
        <v>0.87525000000000008</v>
      </c>
      <c r="R1032" s="62">
        <f>(J1032+K1032+O1032+Q1032)</f>
        <v>208.59010206920999</v>
      </c>
      <c r="S1032" s="62">
        <f t="shared" si="320"/>
        <v>208.59010206920999</v>
      </c>
      <c r="T1032" s="62">
        <f>ABS((R1032)/((2*PI()*G1032)/60))</f>
        <v>0.3064444229940716</v>
      </c>
      <c r="U1032" s="62">
        <f t="shared" si="321"/>
        <v>1</v>
      </c>
      <c r="V1032" s="62">
        <f>INDEX(BSFC!$D$4:$AD$26,MATCH(U1032,BSFC!$B$4:$B$26,0),MATCH(G1032,BSFC!$D$2:$AD$2,0))</f>
        <v>925.65735288000019</v>
      </c>
      <c r="W1032" s="62">
        <f t="shared" si="325"/>
        <v>5.36341560328761E-2</v>
      </c>
      <c r="X1032" s="62">
        <f t="shared" si="322"/>
        <v>5.36341560328761E-2</v>
      </c>
      <c r="Y1032" s="62">
        <f t="shared" si="323"/>
        <v>0.16572954214158714</v>
      </c>
      <c r="Z1032" s="79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</row>
    <row r="1033" spans="1:39" x14ac:dyDescent="0.3">
      <c r="A1033" s="55">
        <v>4</v>
      </c>
      <c r="B1033" s="62" t="s">
        <v>116</v>
      </c>
      <c r="C1033" s="62">
        <f t="shared" si="308"/>
        <v>1030</v>
      </c>
      <c r="D1033" s="62">
        <f t="shared" si="316"/>
        <v>24.964920000000003</v>
      </c>
      <c r="E1033" s="62">
        <f t="shared" si="314"/>
        <v>11.16</v>
      </c>
      <c r="F1033" s="87">
        <f>($C$4/E1033)+F1032</f>
        <v>131.94897503341022</v>
      </c>
      <c r="G1033" s="62">
        <f>G1032+500</f>
        <v>7000</v>
      </c>
      <c r="H1033" s="62">
        <v>3</v>
      </c>
      <c r="I1033" s="87">
        <f>E1033-E1032</f>
        <v>0.75</v>
      </c>
      <c r="J1033" s="62">
        <f>(0.5*VEHICLE!$C$71*VEHICLE!$C$28*VEHICLE!$C$27*'Drive Cycle'!E1033^2)</f>
        <v>110.79627639696</v>
      </c>
      <c r="K1033" s="62">
        <f>IF(A1033=1,VEHICLE!$S$5,IF(A1033=2,VEHICLE!$Q$5,IF(A1033=3,VEHICLE!$R$5,IF(A1033=4,VEHICLE!$P$5,1))))</f>
        <v>111.31014600000002</v>
      </c>
      <c r="L1033" s="62">
        <v>0</v>
      </c>
      <c r="M1033" s="62">
        <f t="shared" si="324"/>
        <v>0</v>
      </c>
      <c r="N1033" s="62">
        <f t="shared" si="317"/>
        <v>0</v>
      </c>
      <c r="O1033" s="62">
        <f t="shared" si="318"/>
        <v>0</v>
      </c>
      <c r="P1033" s="62">
        <f t="shared" si="319"/>
        <v>222.10642239696</v>
      </c>
      <c r="Q1033" s="62">
        <f>IF(H1033=1,I1033*VEHICLE!$C$69,IF(H1033=2,VEHICLE!$C$70*I1033,IF(H1033=3,VEHICLE!$C$71*I1033,0)))</f>
        <v>0.87525000000000008</v>
      </c>
      <c r="R1033" s="62">
        <f>(J1033+K1033+O1033+Q1033)</f>
        <v>222.98167239695999</v>
      </c>
      <c r="S1033" s="62">
        <f t="shared" si="320"/>
        <v>222.98167239695999</v>
      </c>
      <c r="T1033" s="62">
        <f>ABS((R1033)/((2*PI()*G1033)/60))</f>
        <v>0.30418830326463275</v>
      </c>
      <c r="U1033" s="62">
        <f t="shared" si="321"/>
        <v>1</v>
      </c>
      <c r="V1033" s="62">
        <f>INDEX(BSFC!$D$4:$AD$26,MATCH(U1033,BSFC!$B$4:$B$26,0),MATCH(G1033,BSFC!$D$2:$AD$2,0))</f>
        <v>920.25590927999997</v>
      </c>
      <c r="W1033" s="62">
        <f t="shared" si="325"/>
        <v>5.7000056023455412E-2</v>
      </c>
      <c r="X1033" s="62">
        <f t="shared" si="322"/>
        <v>5.7000056023455412E-2</v>
      </c>
      <c r="Y1033" s="62">
        <f t="shared" si="323"/>
        <v>0.17613017311247722</v>
      </c>
      <c r="Z1033" s="79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</row>
    <row r="1034" spans="1:39" x14ac:dyDescent="0.3">
      <c r="A1034" s="55">
        <v>4</v>
      </c>
      <c r="B1034" s="62" t="s">
        <v>116</v>
      </c>
      <c r="C1034" s="62">
        <f t="shared" si="308"/>
        <v>1031</v>
      </c>
      <c r="D1034" s="62">
        <f t="shared" si="316"/>
        <v>26.642670000000003</v>
      </c>
      <c r="E1034" s="62">
        <f t="shared" si="314"/>
        <v>11.91</v>
      </c>
      <c r="F1034" s="87">
        <f>($C$4/E1034)+F1033</f>
        <v>132.03293808966546</v>
      </c>
      <c r="G1034" s="62">
        <f t="shared" ref="G1034:G1039" si="326">G1033</f>
        <v>7000</v>
      </c>
      <c r="H1034" s="62">
        <v>3</v>
      </c>
      <c r="I1034" s="87">
        <f>E1034-E1033</f>
        <v>0.75</v>
      </c>
      <c r="J1034" s="62">
        <f>(0.5*VEHICLE!$C$71*VEHICLE!$C$28*VEHICLE!$C$27*'Drive Cycle'!E1034^2)</f>
        <v>126.18865133721</v>
      </c>
      <c r="K1034" s="62">
        <f>IF(A1034=1,VEHICLE!$S$5,IF(A1034=2,VEHICLE!$Q$5,IF(A1034=3,VEHICLE!$R$5,IF(A1034=4,VEHICLE!$P$5,1))))</f>
        <v>111.31014600000002</v>
      </c>
      <c r="L1034" s="62">
        <v>0</v>
      </c>
      <c r="M1034" s="62">
        <f t="shared" si="324"/>
        <v>0</v>
      </c>
      <c r="N1034" s="62">
        <f t="shared" si="317"/>
        <v>0</v>
      </c>
      <c r="O1034" s="62">
        <f t="shared" si="318"/>
        <v>0</v>
      </c>
      <c r="P1034" s="62">
        <f t="shared" si="319"/>
        <v>237.49879733721002</v>
      </c>
      <c r="Q1034" s="62">
        <f>IF(H1034=1,I1034*VEHICLE!$C$69,IF(H1034=2,VEHICLE!$C$70*I1034,IF(H1034=3,VEHICLE!$C$71*I1034,0)))</f>
        <v>0.87525000000000008</v>
      </c>
      <c r="R1034" s="62">
        <f>(J1034+K1034+O1034+Q1034)</f>
        <v>238.37404733721002</v>
      </c>
      <c r="S1034" s="62">
        <f t="shared" si="320"/>
        <v>238.37404733721002</v>
      </c>
      <c r="T1034" s="62">
        <f>ABS((R1034)/((2*PI()*G1034)/60))</f>
        <v>0.32518635375890081</v>
      </c>
      <c r="U1034" s="62">
        <f t="shared" si="321"/>
        <v>1</v>
      </c>
      <c r="V1034" s="62">
        <f>INDEX(BSFC!$D$4:$AD$26,MATCH(U1034,BSFC!$B$4:$B$26,0),MATCH(G1034,BSFC!$D$2:$AD$2,0))</f>
        <v>920.25590927999997</v>
      </c>
      <c r="W1034" s="62">
        <f t="shared" si="325"/>
        <v>6.0934757133627206E-2</v>
      </c>
      <c r="X1034" s="62">
        <f t="shared" si="322"/>
        <v>6.0934757133627206E-2</v>
      </c>
      <c r="Y1034" s="62">
        <f t="shared" si="323"/>
        <v>0.18828839954290805</v>
      </c>
      <c r="Z1034" s="79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</row>
    <row r="1035" spans="1:39" x14ac:dyDescent="0.3">
      <c r="A1035" s="55">
        <v>4</v>
      </c>
      <c r="B1035" s="62" t="s">
        <v>116</v>
      </c>
      <c r="C1035" s="62">
        <f t="shared" si="308"/>
        <v>1032</v>
      </c>
      <c r="D1035" s="62">
        <f t="shared" si="316"/>
        <v>28.320420000000002</v>
      </c>
      <c r="E1035" s="62">
        <f t="shared" si="314"/>
        <v>12.66</v>
      </c>
      <c r="F1035" s="87">
        <f>($C$4/E1035)+F1034</f>
        <v>132.11192703121364</v>
      </c>
      <c r="G1035" s="62">
        <f t="shared" si="326"/>
        <v>7000</v>
      </c>
      <c r="H1035" s="62">
        <v>3</v>
      </c>
      <c r="I1035" s="87">
        <f>E1035-E1034</f>
        <v>0.75</v>
      </c>
      <c r="J1035" s="62">
        <f>(0.5*VEHICLE!$C$71*VEHICLE!$C$28*VEHICLE!$C$27*'Drive Cycle'!E1035^2)</f>
        <v>142.58183088995997</v>
      </c>
      <c r="K1035" s="62">
        <f>IF(A1035=1,VEHICLE!$S$5,IF(A1035=2,VEHICLE!$Q$5,IF(A1035=3,VEHICLE!$R$5,IF(A1035=4,VEHICLE!$P$5,1))))</f>
        <v>111.31014600000002</v>
      </c>
      <c r="L1035" s="62">
        <v>0</v>
      </c>
      <c r="M1035" s="62">
        <f t="shared" si="324"/>
        <v>0</v>
      </c>
      <c r="N1035" s="62">
        <f t="shared" si="317"/>
        <v>0</v>
      </c>
      <c r="O1035" s="62">
        <f t="shared" si="318"/>
        <v>0</v>
      </c>
      <c r="P1035" s="62">
        <f t="shared" si="319"/>
        <v>253.89197688996001</v>
      </c>
      <c r="Q1035" s="62">
        <f>IF(H1035=1,I1035*VEHICLE!$C$69,IF(H1035=2,VEHICLE!$C$70*I1035,IF(H1035=3,VEHICLE!$C$71*I1035,0)))</f>
        <v>0.87525000000000008</v>
      </c>
      <c r="R1035" s="62">
        <f>(J1035+K1035+O1035+Q1035)</f>
        <v>254.76722688996</v>
      </c>
      <c r="S1035" s="62">
        <f t="shared" si="320"/>
        <v>254.76722688996</v>
      </c>
      <c r="T1035" s="62">
        <f>ABS((R1035)/((2*PI()*G1035)/60))</f>
        <v>0.34754968712015638</v>
      </c>
      <c r="U1035" s="62">
        <f t="shared" si="321"/>
        <v>1</v>
      </c>
      <c r="V1035" s="62">
        <f>INDEX(BSFC!$D$4:$AD$26,MATCH(U1035,BSFC!$B$4:$B$26,0),MATCH(G1035,BSFC!$D$2:$AD$2,0))</f>
        <v>920.25590927999997</v>
      </c>
      <c r="W1035" s="62">
        <f t="shared" si="325"/>
        <v>6.5125290565656732E-2</v>
      </c>
      <c r="X1035" s="62">
        <f t="shared" si="322"/>
        <v>6.5125290565656732E-2</v>
      </c>
      <c r="Y1035" s="62">
        <f t="shared" si="323"/>
        <v>0.2012371478478793</v>
      </c>
      <c r="Z1035" s="79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</row>
    <row r="1036" spans="1:39" x14ac:dyDescent="0.3">
      <c r="A1036" s="55">
        <v>4</v>
      </c>
      <c r="B1036" s="62" t="s">
        <v>116</v>
      </c>
      <c r="C1036" s="62">
        <f t="shared" si="308"/>
        <v>1033</v>
      </c>
      <c r="D1036" s="62">
        <f t="shared" si="316"/>
        <v>29.998170000000002</v>
      </c>
      <c r="E1036" s="62">
        <f t="shared" si="314"/>
        <v>13.41</v>
      </c>
      <c r="F1036" s="87">
        <f>($C$4/E1036)+F1035</f>
        <v>132.18649824672445</v>
      </c>
      <c r="G1036" s="62">
        <f t="shared" si="326"/>
        <v>7000</v>
      </c>
      <c r="H1036" s="62">
        <v>3</v>
      </c>
      <c r="I1036" s="87">
        <f>E1036-E1035</f>
        <v>0.75</v>
      </c>
      <c r="J1036" s="62">
        <f>(0.5*VEHICLE!$C$71*VEHICLE!$C$28*VEHICLE!$C$27*'Drive Cycle'!E1036^2)</f>
        <v>159.97581505520998</v>
      </c>
      <c r="K1036" s="62">
        <f>IF(A1036=1,VEHICLE!$S$5,IF(A1036=2,VEHICLE!$Q$5,IF(A1036=3,VEHICLE!$R$5,IF(A1036=4,VEHICLE!$P$5,1))))</f>
        <v>111.31014600000002</v>
      </c>
      <c r="L1036" s="62">
        <v>0</v>
      </c>
      <c r="M1036" s="62">
        <f t="shared" si="324"/>
        <v>0</v>
      </c>
      <c r="N1036" s="62">
        <f t="shared" si="317"/>
        <v>0</v>
      </c>
      <c r="O1036" s="62">
        <f t="shared" si="318"/>
        <v>0</v>
      </c>
      <c r="P1036" s="62">
        <f t="shared" si="319"/>
        <v>271.28596105521001</v>
      </c>
      <c r="Q1036" s="62">
        <f>IF(H1036=1,I1036*VEHICLE!$C$69,IF(H1036=2,VEHICLE!$C$70*I1036,IF(H1036=3,VEHICLE!$C$71*I1036,0)))</f>
        <v>0.87525000000000008</v>
      </c>
      <c r="R1036" s="62">
        <f>(J1036+K1036+O1036+Q1036)</f>
        <v>272.16121105521</v>
      </c>
      <c r="S1036" s="62">
        <f t="shared" si="320"/>
        <v>272.16121105521</v>
      </c>
      <c r="T1036" s="62">
        <f>ABS((R1036)/((2*PI()*G1036)/60))</f>
        <v>0.37127830334839945</v>
      </c>
      <c r="U1036" s="62">
        <f t="shared" si="321"/>
        <v>1</v>
      </c>
      <c r="V1036" s="62">
        <f>INDEX(BSFC!$D$4:$AD$26,MATCH(U1036,BSFC!$B$4:$B$26,0),MATCH(G1036,BSFC!$D$2:$AD$2,0))</f>
        <v>920.25590927999997</v>
      </c>
      <c r="W1036" s="62">
        <f t="shared" si="325"/>
        <v>6.9571656319543956E-2</v>
      </c>
      <c r="X1036" s="62">
        <f t="shared" si="322"/>
        <v>6.9571656319543956E-2</v>
      </c>
      <c r="Y1036" s="62">
        <f t="shared" si="323"/>
        <v>0.21497641802739081</v>
      </c>
      <c r="Z1036" s="79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</row>
    <row r="1037" spans="1:39" x14ac:dyDescent="0.3">
      <c r="A1037" s="55">
        <v>4</v>
      </c>
      <c r="B1037" s="62" t="s">
        <v>116</v>
      </c>
      <c r="C1037" s="62">
        <f t="shared" si="308"/>
        <v>1034</v>
      </c>
      <c r="D1037" s="62">
        <f t="shared" si="316"/>
        <v>29.998170000000002</v>
      </c>
      <c r="E1037" s="62">
        <f>E1036</f>
        <v>13.41</v>
      </c>
      <c r="F1037" s="87">
        <f>($C$4/E1037)+F1036</f>
        <v>132.26106946223527</v>
      </c>
      <c r="G1037" s="62">
        <f t="shared" si="326"/>
        <v>7000</v>
      </c>
      <c r="H1037" s="62">
        <v>3</v>
      </c>
      <c r="I1037" s="87">
        <f>E1037-E1036</f>
        <v>0</v>
      </c>
      <c r="J1037" s="62">
        <f>(0.5*VEHICLE!$C$71*VEHICLE!$C$28*VEHICLE!$C$27*'Drive Cycle'!E1037^2)</f>
        <v>159.97581505520998</v>
      </c>
      <c r="K1037" s="62">
        <f>IF(A1037=1,VEHICLE!$S$5,IF(A1037=2,VEHICLE!$Q$5,IF(A1037=3,VEHICLE!$R$5,IF(A1037=4,VEHICLE!$P$5,1))))</f>
        <v>111.31014600000002</v>
      </c>
      <c r="L1037" s="62">
        <v>0</v>
      </c>
      <c r="M1037" s="62">
        <f t="shared" si="324"/>
        <v>0</v>
      </c>
      <c r="N1037" s="62">
        <f t="shared" si="317"/>
        <v>0</v>
      </c>
      <c r="O1037" s="62">
        <f t="shared" si="318"/>
        <v>0</v>
      </c>
      <c r="P1037" s="62">
        <f t="shared" si="319"/>
        <v>271.28596105521001</v>
      </c>
      <c r="Q1037" s="62">
        <f>IF(H1037=1,I1037*VEHICLE!$C$69,IF(H1037=2,VEHICLE!$C$70*I1037,IF(H1037=3,VEHICLE!$C$71*I1037,0)))</f>
        <v>0</v>
      </c>
      <c r="R1037" s="62">
        <f>(J1037+K1037+O1037+Q1037)</f>
        <v>271.28596105521001</v>
      </c>
      <c r="S1037" s="62">
        <f t="shared" si="320"/>
        <v>271.28596105521001</v>
      </c>
      <c r="T1037" s="62">
        <f>ABS((R1037)/((2*PI()*G1037)/60))</f>
        <v>0.3700843002289036</v>
      </c>
      <c r="U1037" s="62">
        <f t="shared" si="321"/>
        <v>1</v>
      </c>
      <c r="V1037" s="62">
        <f>INDEX(BSFC!$D$4:$AD$26,MATCH(U1037,BSFC!$B$4:$B$26,0),MATCH(G1037,BSFC!$D$2:$AD$2,0))</f>
        <v>920.25590927999997</v>
      </c>
      <c r="W1037" s="62">
        <f t="shared" si="325"/>
        <v>6.9347919101600264E-2</v>
      </c>
      <c r="X1037" s="62">
        <f t="shared" si="322"/>
        <v>6.9347919101600264E-2</v>
      </c>
      <c r="Y1037" s="62">
        <f t="shared" si="323"/>
        <v>0.21428507002394481</v>
      </c>
      <c r="Z1037" s="79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</row>
    <row r="1038" spans="1:39" x14ac:dyDescent="0.3">
      <c r="A1038" s="55">
        <v>4</v>
      </c>
      <c r="B1038" s="62" t="s">
        <v>116</v>
      </c>
      <c r="C1038" s="62">
        <f t="shared" si="308"/>
        <v>1035</v>
      </c>
      <c r="D1038" s="62">
        <f t="shared" si="316"/>
        <v>29.998170000000002</v>
      </c>
      <c r="E1038" s="62">
        <f t="shared" ref="E1038:E1039" si="327">E1037</f>
        <v>13.41</v>
      </c>
      <c r="F1038" s="87">
        <f>($C$4/E1038)+F1037</f>
        <v>132.33564067774608</v>
      </c>
      <c r="G1038" s="62">
        <f t="shared" si="326"/>
        <v>7000</v>
      </c>
      <c r="H1038" s="62">
        <v>3</v>
      </c>
      <c r="I1038" s="87">
        <f>E1038-E1037</f>
        <v>0</v>
      </c>
      <c r="J1038" s="62">
        <f>(0.5*VEHICLE!$C$71*VEHICLE!$C$28*VEHICLE!$C$27*'Drive Cycle'!E1038^2)</f>
        <v>159.97581505520998</v>
      </c>
      <c r="K1038" s="62">
        <f>IF(A1038=1,VEHICLE!$S$5,IF(A1038=2,VEHICLE!$Q$5,IF(A1038=3,VEHICLE!$R$5,IF(A1038=4,VEHICLE!$P$5,1))))</f>
        <v>111.31014600000002</v>
      </c>
      <c r="L1038" s="62">
        <v>0</v>
      </c>
      <c r="M1038" s="62">
        <f t="shared" si="324"/>
        <v>0</v>
      </c>
      <c r="N1038" s="62">
        <f t="shared" si="317"/>
        <v>0</v>
      </c>
      <c r="O1038" s="62">
        <f t="shared" si="318"/>
        <v>0</v>
      </c>
      <c r="P1038" s="62">
        <f t="shared" si="319"/>
        <v>271.28596105521001</v>
      </c>
      <c r="Q1038" s="62">
        <f>IF(H1038=1,I1038*VEHICLE!$C$69,IF(H1038=2,VEHICLE!$C$70*I1038,IF(H1038=3,VEHICLE!$C$71*I1038,0)))</f>
        <v>0</v>
      </c>
      <c r="R1038" s="62">
        <f>(J1038+K1038+O1038+Q1038)</f>
        <v>271.28596105521001</v>
      </c>
      <c r="S1038" s="62">
        <f t="shared" si="320"/>
        <v>271.28596105521001</v>
      </c>
      <c r="T1038" s="62">
        <f>ABS((R1038)/((2*PI()*G1038)/60))</f>
        <v>0.3700843002289036</v>
      </c>
      <c r="U1038" s="62">
        <f t="shared" si="321"/>
        <v>1</v>
      </c>
      <c r="V1038" s="62">
        <f>INDEX(BSFC!$D$4:$AD$26,MATCH(U1038,BSFC!$B$4:$B$26,0),MATCH(G1038,BSFC!$D$2:$AD$2,0))</f>
        <v>920.25590927999997</v>
      </c>
      <c r="W1038" s="62">
        <f t="shared" si="325"/>
        <v>6.9347919101600264E-2</v>
      </c>
      <c r="X1038" s="62">
        <f t="shared" si="322"/>
        <v>6.9347919101600264E-2</v>
      </c>
      <c r="Y1038" s="62">
        <f t="shared" si="323"/>
        <v>0.21428507002394481</v>
      </c>
      <c r="Z1038" s="79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</row>
    <row r="1039" spans="1:39" x14ac:dyDescent="0.3">
      <c r="A1039" s="55">
        <v>4</v>
      </c>
      <c r="B1039" s="62" t="s">
        <v>116</v>
      </c>
      <c r="C1039" s="62">
        <f t="shared" si="308"/>
        <v>1036</v>
      </c>
      <c r="D1039" s="62">
        <f t="shared" si="316"/>
        <v>29.998170000000002</v>
      </c>
      <c r="E1039" s="62">
        <f t="shared" si="327"/>
        <v>13.41</v>
      </c>
      <c r="F1039" s="87">
        <f>($C$4/E1039)+F1038</f>
        <v>132.4102118932569</v>
      </c>
      <c r="G1039" s="62">
        <f t="shared" si="326"/>
        <v>7000</v>
      </c>
      <c r="H1039" s="62">
        <v>3</v>
      </c>
      <c r="I1039" s="87">
        <f>E1039-E1038</f>
        <v>0</v>
      </c>
      <c r="J1039" s="62">
        <f>(0.5*VEHICLE!$C$71*VEHICLE!$C$28*VEHICLE!$C$27*'Drive Cycle'!E1039^2)</f>
        <v>159.97581505520998</v>
      </c>
      <c r="K1039" s="62">
        <f>IF(A1039=1,VEHICLE!$S$5,IF(A1039=2,VEHICLE!$Q$5,IF(A1039=3,VEHICLE!$R$5,IF(A1039=4,VEHICLE!$P$5,1))))</f>
        <v>111.31014600000002</v>
      </c>
      <c r="L1039" s="62">
        <v>0</v>
      </c>
      <c r="M1039" s="62">
        <f t="shared" si="324"/>
        <v>0</v>
      </c>
      <c r="N1039" s="62">
        <f t="shared" si="317"/>
        <v>0</v>
      </c>
      <c r="O1039" s="62">
        <f t="shared" si="318"/>
        <v>0</v>
      </c>
      <c r="P1039" s="62">
        <f t="shared" si="319"/>
        <v>271.28596105521001</v>
      </c>
      <c r="Q1039" s="62">
        <f>IF(H1039=1,I1039*VEHICLE!$C$69,IF(H1039=2,VEHICLE!$C$70*I1039,IF(H1039=3,VEHICLE!$C$71*I1039,0)))</f>
        <v>0</v>
      </c>
      <c r="R1039" s="62">
        <f>(J1039+K1039+O1039+Q1039)</f>
        <v>271.28596105521001</v>
      </c>
      <c r="S1039" s="62">
        <f t="shared" si="320"/>
        <v>271.28596105521001</v>
      </c>
      <c r="T1039" s="62">
        <f>ABS((R1039)/((2*PI()*G1039)/60))</f>
        <v>0.3700843002289036</v>
      </c>
      <c r="U1039" s="62">
        <f t="shared" si="321"/>
        <v>1</v>
      </c>
      <c r="V1039" s="62">
        <f>INDEX(BSFC!$D$4:$AD$26,MATCH(U1039,BSFC!$B$4:$B$26,0),MATCH(G1039,BSFC!$D$2:$AD$2,0))</f>
        <v>920.25590927999997</v>
      </c>
      <c r="W1039" s="62">
        <f t="shared" si="325"/>
        <v>6.9347919101600264E-2</v>
      </c>
      <c r="X1039" s="62">
        <f t="shared" si="322"/>
        <v>6.9347919101600264E-2</v>
      </c>
      <c r="Y1039" s="62">
        <f t="shared" si="323"/>
        <v>0.21428507002394481</v>
      </c>
      <c r="Z1039" s="79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</row>
    <row r="1040" spans="1:39" x14ac:dyDescent="0.3">
      <c r="A1040" s="55">
        <v>4</v>
      </c>
      <c r="B1040" s="62" t="s">
        <v>116</v>
      </c>
      <c r="C1040" s="62">
        <f t="shared" si="308"/>
        <v>1037</v>
      </c>
      <c r="D1040" s="62">
        <f t="shared" si="316"/>
        <v>28.320420000000002</v>
      </c>
      <c r="E1040" s="62">
        <f t="shared" ref="E1040:E1043" si="328">E1039-0.75</f>
        <v>12.66</v>
      </c>
      <c r="F1040" s="87">
        <f>($C$4/E1040)+F1039</f>
        <v>132.48920083480508</v>
      </c>
      <c r="G1040" s="62">
        <f>G1039-500</f>
        <v>6500</v>
      </c>
      <c r="H1040" s="62">
        <v>3</v>
      </c>
      <c r="I1040" s="87">
        <f>E1040-E1039</f>
        <v>-0.75</v>
      </c>
      <c r="J1040" s="62">
        <f>(0.5*VEHICLE!$C$71*VEHICLE!$C$28*VEHICLE!$C$27*'Drive Cycle'!E1040^2)</f>
        <v>142.58183088995997</v>
      </c>
      <c r="K1040" s="62">
        <f>IF(A1040=1,VEHICLE!$S$5,IF(A1040=2,VEHICLE!$Q$5,IF(A1040=3,VEHICLE!$R$5,IF(A1040=4,VEHICLE!$P$5,1))))</f>
        <v>111.31014600000002</v>
      </c>
      <c r="L1040" s="62">
        <v>0</v>
      </c>
      <c r="M1040" s="62">
        <f t="shared" si="324"/>
        <v>0</v>
      </c>
      <c r="N1040" s="62">
        <f t="shared" si="317"/>
        <v>0</v>
      </c>
      <c r="O1040" s="62">
        <f t="shared" si="318"/>
        <v>0</v>
      </c>
      <c r="P1040" s="62">
        <f t="shared" si="319"/>
        <v>253.89197688996001</v>
      </c>
      <c r="Q1040" s="62">
        <f>IF(H1040=1,I1040*VEHICLE!$C$69,IF(H1040=2,VEHICLE!$C$70*I1040,IF(H1040=3,VEHICLE!$C$71*I1040,0)))</f>
        <v>-0.87525000000000008</v>
      </c>
      <c r="R1040" s="62">
        <f>(J1040+K1040+O1040+Q1040)</f>
        <v>253.01672688996001</v>
      </c>
      <c r="S1040" s="62">
        <f t="shared" si="320"/>
        <v>253.01672688996001</v>
      </c>
      <c r="T1040" s="62">
        <f>ABS((R1040)/((2*PI()*G1040)/60))</f>
        <v>0.37171257941048502</v>
      </c>
      <c r="U1040" s="62">
        <f t="shared" si="321"/>
        <v>1</v>
      </c>
      <c r="V1040" s="62">
        <f>INDEX(BSFC!$D$4:$AD$26,MATCH(U1040,BSFC!$B$4:$B$26,0),MATCH(G1040,BSFC!$D$2:$AD$2,0))</f>
        <v>925.65735288000019</v>
      </c>
      <c r="W1040" s="62">
        <f t="shared" si="325"/>
        <v>6.5057442679811756E-2</v>
      </c>
      <c r="X1040" s="62">
        <f t="shared" si="322"/>
        <v>6.5057442679811756E-2</v>
      </c>
      <c r="Y1040" s="62">
        <f t="shared" si="323"/>
        <v>0.20102749788061833</v>
      </c>
      <c r="Z1040" s="79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</row>
    <row r="1041" spans="1:39" x14ac:dyDescent="0.3">
      <c r="A1041" s="55">
        <v>4</v>
      </c>
      <c r="B1041" s="62" t="s">
        <v>116</v>
      </c>
      <c r="C1041" s="62">
        <f t="shared" si="308"/>
        <v>1038</v>
      </c>
      <c r="D1041" s="62">
        <f t="shared" si="316"/>
        <v>26.642670000000003</v>
      </c>
      <c r="E1041" s="62">
        <f t="shared" si="328"/>
        <v>11.91</v>
      </c>
      <c r="F1041" s="87">
        <f>($C$4/E1041)+F1040</f>
        <v>132.57316389106032</v>
      </c>
      <c r="G1041" s="62">
        <f t="shared" ref="G1041:G1053" si="329">G1040-500</f>
        <v>6000</v>
      </c>
      <c r="H1041" s="62">
        <v>3</v>
      </c>
      <c r="I1041" s="87">
        <f>E1041-E1040</f>
        <v>-0.75</v>
      </c>
      <c r="J1041" s="62">
        <f>(0.5*VEHICLE!$C$71*VEHICLE!$C$28*VEHICLE!$C$27*'Drive Cycle'!E1041^2)</f>
        <v>126.18865133721</v>
      </c>
      <c r="K1041" s="62">
        <f>IF(A1041=1,VEHICLE!$S$5,IF(A1041=2,VEHICLE!$Q$5,IF(A1041=3,VEHICLE!$R$5,IF(A1041=4,VEHICLE!$P$5,1))))</f>
        <v>111.31014600000002</v>
      </c>
      <c r="L1041" s="62">
        <v>0</v>
      </c>
      <c r="M1041" s="62">
        <f t="shared" si="324"/>
        <v>0</v>
      </c>
      <c r="N1041" s="62">
        <f t="shared" si="317"/>
        <v>0</v>
      </c>
      <c r="O1041" s="62">
        <f t="shared" si="318"/>
        <v>0</v>
      </c>
      <c r="P1041" s="62">
        <f t="shared" si="319"/>
        <v>237.49879733721002</v>
      </c>
      <c r="Q1041" s="62">
        <f>IF(H1041=1,I1041*VEHICLE!$C$69,IF(H1041=2,VEHICLE!$C$70*I1041,IF(H1041=3,VEHICLE!$C$71*I1041,0)))</f>
        <v>-0.87525000000000008</v>
      </c>
      <c r="R1041" s="62">
        <f>(J1041+K1041+O1041+Q1041)</f>
        <v>236.62354733721003</v>
      </c>
      <c r="S1041" s="62">
        <f t="shared" si="320"/>
        <v>236.62354733721003</v>
      </c>
      <c r="T1041" s="62">
        <f>ABS((R1041)/((2*PI()*G1041)/60))</f>
        <v>0.37659807210656066</v>
      </c>
      <c r="U1041" s="62">
        <f t="shared" si="321"/>
        <v>1</v>
      </c>
      <c r="V1041" s="62">
        <f>INDEX(BSFC!$D$4:$AD$26,MATCH(U1041,BSFC!$B$4:$B$26,0),MATCH(G1041,BSFC!$D$2:$AD$2,0))</f>
        <v>933.91499472000044</v>
      </c>
      <c r="W1041" s="62">
        <f t="shared" si="325"/>
        <v>6.1385077489460635E-2</v>
      </c>
      <c r="X1041" s="62">
        <f t="shared" si="322"/>
        <v>6.1385077489460635E-2</v>
      </c>
      <c r="Y1041" s="62">
        <f t="shared" si="323"/>
        <v>0.18967988944243336</v>
      </c>
      <c r="Z1041" s="79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</row>
    <row r="1042" spans="1:39" x14ac:dyDescent="0.3">
      <c r="A1042" s="55">
        <v>4</v>
      </c>
      <c r="B1042" s="62" t="s">
        <v>116</v>
      </c>
      <c r="C1042" s="62">
        <f t="shared" si="308"/>
        <v>1039</v>
      </c>
      <c r="D1042" s="62">
        <f t="shared" si="316"/>
        <v>24.964920000000003</v>
      </c>
      <c r="E1042" s="62">
        <f t="shared" si="328"/>
        <v>11.16</v>
      </c>
      <c r="F1042" s="87">
        <f>($C$4/E1042)+F1041</f>
        <v>132.66276962582734</v>
      </c>
      <c r="G1042" s="62">
        <f t="shared" si="329"/>
        <v>5500</v>
      </c>
      <c r="H1042" s="62">
        <v>3</v>
      </c>
      <c r="I1042" s="87">
        <f>E1042-E1041</f>
        <v>-0.75</v>
      </c>
      <c r="J1042" s="62">
        <f>(0.5*VEHICLE!$C$71*VEHICLE!$C$28*VEHICLE!$C$27*'Drive Cycle'!E1042^2)</f>
        <v>110.79627639696</v>
      </c>
      <c r="K1042" s="62">
        <f>IF(A1042=1,VEHICLE!$S$5,IF(A1042=2,VEHICLE!$Q$5,IF(A1042=3,VEHICLE!$R$5,IF(A1042=4,VEHICLE!$P$5,1))))</f>
        <v>111.31014600000002</v>
      </c>
      <c r="L1042" s="62">
        <v>0</v>
      </c>
      <c r="M1042" s="62">
        <f t="shared" si="324"/>
        <v>0</v>
      </c>
      <c r="N1042" s="62">
        <f t="shared" si="317"/>
        <v>0</v>
      </c>
      <c r="O1042" s="62">
        <f t="shared" si="318"/>
        <v>0</v>
      </c>
      <c r="P1042" s="62">
        <f t="shared" si="319"/>
        <v>222.10642239696</v>
      </c>
      <c r="Q1042" s="62">
        <f>IF(H1042=1,I1042*VEHICLE!$C$69,IF(H1042=2,VEHICLE!$C$70*I1042,IF(H1042=3,VEHICLE!$C$71*I1042,0)))</f>
        <v>-0.87525000000000008</v>
      </c>
      <c r="R1042" s="62">
        <f>(J1042+K1042+O1042+Q1042)</f>
        <v>221.23117239696001</v>
      </c>
      <c r="S1042" s="62">
        <f t="shared" si="320"/>
        <v>221.23117239696001</v>
      </c>
      <c r="T1042" s="62">
        <f>ABS((R1042)/((2*PI()*G1042)/60))</f>
        <v>0.38410946894172504</v>
      </c>
      <c r="U1042" s="62">
        <f t="shared" si="321"/>
        <v>1</v>
      </c>
      <c r="V1042" s="62">
        <f>INDEX(BSFC!$D$4:$AD$26,MATCH(U1042,BSFC!$B$4:$B$26,0),MATCH(G1042,BSFC!$D$2:$AD$2,0))</f>
        <v>937.88833920000002</v>
      </c>
      <c r="W1042" s="62">
        <f t="shared" si="325"/>
        <v>5.7636149127403814E-2</v>
      </c>
      <c r="X1042" s="62">
        <f t="shared" si="322"/>
        <v>5.7636149127403814E-2</v>
      </c>
      <c r="Y1042" s="62">
        <f t="shared" si="323"/>
        <v>0.17809570080367779</v>
      </c>
      <c r="Z1042" s="79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</row>
    <row r="1043" spans="1:39" x14ac:dyDescent="0.3">
      <c r="A1043" s="55">
        <v>4</v>
      </c>
      <c r="B1043" s="62" t="s">
        <v>116</v>
      </c>
      <c r="C1043" s="62">
        <f t="shared" si="308"/>
        <v>1040</v>
      </c>
      <c r="D1043" s="62">
        <f t="shared" si="316"/>
        <v>23.28717</v>
      </c>
      <c r="E1043" s="62">
        <f t="shared" si="328"/>
        <v>10.41</v>
      </c>
      <c r="F1043" s="87">
        <f>($C$4/E1043)+F1042</f>
        <v>132.75883110517412</v>
      </c>
      <c r="G1043" s="62">
        <f t="shared" si="329"/>
        <v>5000</v>
      </c>
      <c r="H1043" s="62">
        <v>2</v>
      </c>
      <c r="I1043" s="87">
        <f>E1043-E1042</f>
        <v>-0.75</v>
      </c>
      <c r="J1043" s="62">
        <f>(0.5*VEHICLE!$C$71*VEHICLE!$C$28*VEHICLE!$C$27*'Drive Cycle'!E1043^2)</f>
        <v>96.404706069209993</v>
      </c>
      <c r="K1043" s="62">
        <f>IF(A1043=1,VEHICLE!$S$5,IF(A1043=2,VEHICLE!$Q$5,IF(A1043=3,VEHICLE!$R$5,IF(A1043=4,VEHICLE!$P$5,1))))</f>
        <v>111.31014600000002</v>
      </c>
      <c r="L1043" s="62">
        <v>0</v>
      </c>
      <c r="M1043" s="62">
        <f t="shared" si="324"/>
        <v>0</v>
      </c>
      <c r="N1043" s="62">
        <f t="shared" si="317"/>
        <v>0</v>
      </c>
      <c r="O1043" s="62">
        <f t="shared" si="318"/>
        <v>0</v>
      </c>
      <c r="P1043" s="62">
        <f t="shared" si="319"/>
        <v>207.71485206921</v>
      </c>
      <c r="Q1043" s="62">
        <f>IF(H1043=1,I1043*VEHICLE!$C$69,IF(H1043=2,VEHICLE!$C$70*I1043,IF(H1043=3,VEHICLE!$C$71*I1043,0)))</f>
        <v>-438.86136489758803</v>
      </c>
      <c r="R1043" s="62">
        <f>(J1043+K1043+O1043+Q1043)</f>
        <v>-231.14651282837804</v>
      </c>
      <c r="S1043" s="62">
        <f t="shared" si="320"/>
        <v>231.14651282837804</v>
      </c>
      <c r="T1043" s="62">
        <f>ABS((R1043)/((2*PI()*G1043)/60))</f>
        <v>0.44145732114108677</v>
      </c>
      <c r="U1043" s="62">
        <f t="shared" si="321"/>
        <v>1</v>
      </c>
      <c r="V1043" s="62">
        <f>INDEX(BSFC!$D$4:$AD$26,MATCH(U1043,BSFC!$B$4:$B$26,0),MATCH(G1043,BSFC!$D$2:$AD$2,0))</f>
        <v>967.30583135999973</v>
      </c>
      <c r="W1043" s="62">
        <f t="shared" si="325"/>
        <v>-6.2108158265949731E-2</v>
      </c>
      <c r="X1043" s="62">
        <f t="shared" si="322"/>
        <v>6.2108158265949731E-2</v>
      </c>
      <c r="Y1043" s="62">
        <f t="shared" si="323"/>
        <v>-0.19191420904178466</v>
      </c>
      <c r="Z1043" s="79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</row>
    <row r="1044" spans="1:39" x14ac:dyDescent="0.3">
      <c r="A1044" s="55">
        <v>4</v>
      </c>
      <c r="B1044" s="62" t="s">
        <v>116</v>
      </c>
      <c r="C1044" s="62">
        <f t="shared" si="308"/>
        <v>1041</v>
      </c>
      <c r="D1044" s="62">
        <f t="shared" si="316"/>
        <v>21.60942</v>
      </c>
      <c r="E1044" s="62">
        <f t="shared" ref="E1044:E1053" si="330">E1043-0.75</f>
        <v>9.66</v>
      </c>
      <c r="F1044" s="87">
        <f>($C$4/E1044)+F1043</f>
        <v>132.86235077391117</v>
      </c>
      <c r="G1044" s="62">
        <f t="shared" si="329"/>
        <v>4500</v>
      </c>
      <c r="H1044" s="62">
        <v>2</v>
      </c>
      <c r="I1044" s="87">
        <f>E1044-E1043</f>
        <v>-0.75</v>
      </c>
      <c r="J1044" s="62">
        <f>(0.5*VEHICLE!$C$71*VEHICLE!$C$28*VEHICLE!$C$27*'Drive Cycle'!E1044^2)</f>
        <v>83.013940353959995</v>
      </c>
      <c r="K1044" s="62">
        <f>IF(A1044=1,VEHICLE!$S$5,IF(A1044=2,VEHICLE!$Q$5,IF(A1044=3,VEHICLE!$R$5,IF(A1044=4,VEHICLE!$P$5,1))))</f>
        <v>111.31014600000002</v>
      </c>
      <c r="L1044" s="62">
        <v>0</v>
      </c>
      <c r="M1044" s="62">
        <f t="shared" si="324"/>
        <v>0</v>
      </c>
      <c r="N1044" s="62">
        <f t="shared" si="317"/>
        <v>0</v>
      </c>
      <c r="O1044" s="62">
        <f t="shared" si="318"/>
        <v>0</v>
      </c>
      <c r="P1044" s="62">
        <f t="shared" si="319"/>
        <v>194.32408635396001</v>
      </c>
      <c r="Q1044" s="62">
        <f>IF(H1044=1,I1044*VEHICLE!$C$69,IF(H1044=2,VEHICLE!$C$70*I1044,IF(H1044=3,VEHICLE!$C$71*I1044,0)))</f>
        <v>-438.86136489758803</v>
      </c>
      <c r="R1044" s="62">
        <f>(J1044+K1044+O1044+Q1044)</f>
        <v>-244.53727854362802</v>
      </c>
      <c r="S1044" s="62">
        <f t="shared" si="320"/>
        <v>244.53727854362802</v>
      </c>
      <c r="T1044" s="62">
        <f>ABS((R1044)/((2*PI()*G1044)/60))</f>
        <v>0.51892422200610766</v>
      </c>
      <c r="U1044" s="62">
        <f t="shared" si="321"/>
        <v>1</v>
      </c>
      <c r="V1044" s="62">
        <f>INDEX(BSFC!$D$4:$AD$26,MATCH(U1044,BSFC!$B$4:$B$26,0),MATCH(G1044,BSFC!$D$2:$AD$2,0))</f>
        <v>996.72332351999967</v>
      </c>
      <c r="W1044" s="62">
        <f t="shared" si="325"/>
        <v>-6.7704446942928001E-2</v>
      </c>
      <c r="X1044" s="62">
        <f t="shared" si="322"/>
        <v>6.7704446942928001E-2</v>
      </c>
      <c r="Y1044" s="62">
        <f t="shared" si="323"/>
        <v>-0.2092067410536475</v>
      </c>
      <c r="Z1044" s="79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</row>
    <row r="1045" spans="1:39" x14ac:dyDescent="0.3">
      <c r="A1045" s="55">
        <v>4</v>
      </c>
      <c r="B1045" s="62" t="s">
        <v>116</v>
      </c>
      <c r="C1045" s="62">
        <f t="shared" si="308"/>
        <v>1042</v>
      </c>
      <c r="D1045" s="62">
        <f t="shared" si="316"/>
        <v>19.93167</v>
      </c>
      <c r="E1045" s="62">
        <f t="shared" si="330"/>
        <v>8.91</v>
      </c>
      <c r="F1045" s="87">
        <f>($C$4/E1045)+F1044</f>
        <v>132.97458421947795</v>
      </c>
      <c r="G1045" s="62">
        <f t="shared" si="329"/>
        <v>4000</v>
      </c>
      <c r="H1045" s="62">
        <v>2</v>
      </c>
      <c r="I1045" s="87">
        <f>E1045-E1044</f>
        <v>-0.75</v>
      </c>
      <c r="J1045" s="62">
        <f>(0.5*VEHICLE!$C$71*VEHICLE!$C$28*VEHICLE!$C$27*'Drive Cycle'!E1045^2)</f>
        <v>70.623979251210002</v>
      </c>
      <c r="K1045" s="62">
        <f>IF(A1045=1,VEHICLE!$S$5,IF(A1045=2,VEHICLE!$Q$5,IF(A1045=3,VEHICLE!$R$5,IF(A1045=4,VEHICLE!$P$5,1))))</f>
        <v>111.31014600000002</v>
      </c>
      <c r="L1045" s="62">
        <v>0</v>
      </c>
      <c r="M1045" s="62">
        <f t="shared" si="324"/>
        <v>0</v>
      </c>
      <c r="N1045" s="62">
        <f t="shared" si="317"/>
        <v>0</v>
      </c>
      <c r="O1045" s="62">
        <f t="shared" si="318"/>
        <v>0</v>
      </c>
      <c r="P1045" s="62">
        <f t="shared" si="319"/>
        <v>181.93412525121002</v>
      </c>
      <c r="Q1045" s="62">
        <f>IF(H1045=1,I1045*VEHICLE!$C$69,IF(H1045=2,VEHICLE!$C$70*I1045,IF(H1045=3,VEHICLE!$C$71*I1045,0)))</f>
        <v>-438.86136489758803</v>
      </c>
      <c r="R1045" s="62">
        <f>(J1045+K1045+O1045+Q1045)</f>
        <v>-256.92723964637798</v>
      </c>
      <c r="S1045" s="62">
        <f t="shared" si="320"/>
        <v>256.92723964637798</v>
      </c>
      <c r="T1045" s="62">
        <f>ABS((R1045)/((2*PI()*G1045)/60))</f>
        <v>0.61336860307015573</v>
      </c>
      <c r="U1045" s="62">
        <f t="shared" si="321"/>
        <v>1</v>
      </c>
      <c r="V1045" s="62">
        <f>INDEX(BSFC!$D$4:$AD$26,MATCH(U1045,BSFC!$B$4:$B$26,0),MATCH(G1045,BSFC!$D$2:$AD$2,0))</f>
        <v>1026.1408156799998</v>
      </c>
      <c r="W1045" s="62">
        <f t="shared" si="325"/>
        <v>-7.3234313128095863E-2</v>
      </c>
      <c r="X1045" s="62">
        <f t="shared" si="322"/>
        <v>7.3234313128095863E-2</v>
      </c>
      <c r="Y1045" s="62">
        <f t="shared" si="323"/>
        <v>-0.22629402756581621</v>
      </c>
      <c r="Z1045" s="79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</row>
    <row r="1046" spans="1:39" x14ac:dyDescent="0.3">
      <c r="A1046" s="55">
        <v>4</v>
      </c>
      <c r="B1046" s="62" t="s">
        <v>116</v>
      </c>
      <c r="C1046" s="62">
        <f t="shared" si="308"/>
        <v>1043</v>
      </c>
      <c r="D1046" s="62">
        <f t="shared" si="316"/>
        <v>18.253920000000001</v>
      </c>
      <c r="E1046" s="62">
        <f t="shared" si="330"/>
        <v>8.16</v>
      </c>
      <c r="F1046" s="87">
        <f>($C$4/E1046)+F1045</f>
        <v>133.09713323908579</v>
      </c>
      <c r="G1046" s="62">
        <f t="shared" si="329"/>
        <v>3500</v>
      </c>
      <c r="H1046" s="62">
        <v>2</v>
      </c>
      <c r="I1046" s="87">
        <f>E1046-E1045</f>
        <v>-0.75</v>
      </c>
      <c r="J1046" s="62">
        <f>(0.5*VEHICLE!$C$71*VEHICLE!$C$28*VEHICLE!$C$27*'Drive Cycle'!E1046^2)</f>
        <v>59.234822760959993</v>
      </c>
      <c r="K1046" s="62">
        <f>IF(A1046=1,VEHICLE!$S$5,IF(A1046=2,VEHICLE!$Q$5,IF(A1046=3,VEHICLE!$R$5,IF(A1046=4,VEHICLE!$P$5,1))))</f>
        <v>111.31014600000002</v>
      </c>
      <c r="L1046" s="62">
        <v>0</v>
      </c>
      <c r="M1046" s="62">
        <f t="shared" si="324"/>
        <v>0</v>
      </c>
      <c r="N1046" s="62">
        <f t="shared" si="317"/>
        <v>0</v>
      </c>
      <c r="O1046" s="62">
        <f t="shared" si="318"/>
        <v>0</v>
      </c>
      <c r="P1046" s="62">
        <f t="shared" si="319"/>
        <v>170.54496876096002</v>
      </c>
      <c r="Q1046" s="62">
        <f>IF(H1046=1,I1046*VEHICLE!$C$69,IF(H1046=2,VEHICLE!$C$70*I1046,IF(H1046=3,VEHICLE!$C$71*I1046,0)))</f>
        <v>-438.86136489758803</v>
      </c>
      <c r="R1046" s="62">
        <f>(J1046+K1046+O1046+Q1046)</f>
        <v>-268.31639613662799</v>
      </c>
      <c r="S1046" s="62">
        <f t="shared" si="320"/>
        <v>268.31639613662799</v>
      </c>
      <c r="T1046" s="62">
        <f>ABS((R1046)/((2*PI()*G1046)/60))</f>
        <v>0.73206652727567101</v>
      </c>
      <c r="U1046" s="62">
        <f t="shared" si="321"/>
        <v>1</v>
      </c>
      <c r="V1046" s="62">
        <f>INDEX(BSFC!$D$4:$AD$26,MATCH(U1046,BSFC!$B$4:$B$26,0),MATCH(G1046,BSFC!$D$2:$AD$2,0))</f>
        <v>1034.2259366399996</v>
      </c>
      <c r="W1046" s="62">
        <f t="shared" si="325"/>
        <v>-7.7083271141742571E-2</v>
      </c>
      <c r="X1046" s="62">
        <f t="shared" si="322"/>
        <v>7.7083271141742571E-2</v>
      </c>
      <c r="Y1046" s="62">
        <f t="shared" si="323"/>
        <v>-0.23818730782798453</v>
      </c>
      <c r="Z1046" s="79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</row>
    <row r="1047" spans="1:39" x14ac:dyDescent="0.3">
      <c r="A1047" s="55">
        <v>4</v>
      </c>
      <c r="B1047" s="62" t="s">
        <v>116</v>
      </c>
      <c r="C1047" s="62">
        <f t="shared" si="308"/>
        <v>1044</v>
      </c>
      <c r="D1047" s="62">
        <f t="shared" si="316"/>
        <v>16.576170000000001</v>
      </c>
      <c r="E1047" s="62">
        <f>E1046-0.75</f>
        <v>7.41</v>
      </c>
      <c r="F1047" s="87">
        <f>($C$4/E1047)+F1046</f>
        <v>133.2320860056175</v>
      </c>
      <c r="G1047" s="62">
        <f t="shared" si="329"/>
        <v>3000</v>
      </c>
      <c r="H1047" s="62">
        <v>2</v>
      </c>
      <c r="I1047" s="87">
        <f>E1047-E1046</f>
        <v>-0.75</v>
      </c>
      <c r="J1047" s="62">
        <f>(0.5*VEHICLE!$C$71*VEHICLE!$C$28*VEHICLE!$C$27*'Drive Cycle'!E1047^2)</f>
        <v>48.846470883209996</v>
      </c>
      <c r="K1047" s="62">
        <f>IF(A1047=1,VEHICLE!$S$5,IF(A1047=2,VEHICLE!$Q$5,IF(A1047=3,VEHICLE!$R$5,IF(A1047=4,VEHICLE!$P$5,1))))</f>
        <v>111.31014600000002</v>
      </c>
      <c r="L1047" s="62">
        <v>0</v>
      </c>
      <c r="M1047" s="62">
        <f t="shared" si="324"/>
        <v>0</v>
      </c>
      <c r="N1047" s="62">
        <f t="shared" si="317"/>
        <v>0</v>
      </c>
      <c r="O1047" s="62">
        <f t="shared" si="318"/>
        <v>0</v>
      </c>
      <c r="P1047" s="62">
        <f t="shared" si="319"/>
        <v>160.15661688321001</v>
      </c>
      <c r="Q1047" s="62">
        <f>IF(H1047=1,I1047*VEHICLE!$C$69,IF(H1047=2,VEHICLE!$C$70*I1047,IF(H1047=3,VEHICLE!$C$71*I1047,0)))</f>
        <v>-438.86136489758803</v>
      </c>
      <c r="R1047" s="62">
        <f>(J1047+K1047+O1047+Q1047)</f>
        <v>-278.70474801437803</v>
      </c>
      <c r="S1047" s="62">
        <f t="shared" si="320"/>
        <v>278.70474801437803</v>
      </c>
      <c r="T1047" s="62">
        <f>ABS((R1047)/((2*PI()*G1047)/60))</f>
        <v>0.88714476619338734</v>
      </c>
      <c r="U1047" s="62">
        <f t="shared" si="321"/>
        <v>1</v>
      </c>
      <c r="V1047" s="62">
        <f>INDEX(BSFC!$D$4:$AD$26,MATCH(U1047,BSFC!$B$4:$B$26,0),MATCH(G1047,BSFC!$D$2:$AD$2,0))</f>
        <v>1049.8371440000003</v>
      </c>
      <c r="W1047" s="62">
        <f t="shared" si="325"/>
        <v>-8.127627685407067E-2</v>
      </c>
      <c r="X1047" s="62">
        <f t="shared" si="322"/>
        <v>8.127627685407067E-2</v>
      </c>
      <c r="Y1047" s="62">
        <f t="shared" si="323"/>
        <v>-0.25114369547907833</v>
      </c>
      <c r="Z1047" s="79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</row>
    <row r="1048" spans="1:39" x14ac:dyDescent="0.3">
      <c r="A1048" s="55">
        <v>4</v>
      </c>
      <c r="B1048" s="62" t="s">
        <v>116</v>
      </c>
      <c r="C1048" s="62">
        <f t="shared" si="308"/>
        <v>1045</v>
      </c>
      <c r="D1048" s="62">
        <f t="shared" si="316"/>
        <v>14.898420000000002</v>
      </c>
      <c r="E1048" s="62">
        <f t="shared" si="330"/>
        <v>6.66</v>
      </c>
      <c r="F1048" s="87">
        <f>($C$4/E1048)+F1047</f>
        <v>133.38223615576766</v>
      </c>
      <c r="G1048" s="62">
        <f t="shared" si="329"/>
        <v>2500</v>
      </c>
      <c r="H1048" s="62">
        <v>2</v>
      </c>
      <c r="I1048" s="87">
        <f>E1048-E1047</f>
        <v>-0.75</v>
      </c>
      <c r="J1048" s="62">
        <f>(0.5*VEHICLE!$C$71*VEHICLE!$C$28*VEHICLE!$C$27*'Drive Cycle'!E1048^2)</f>
        <v>39.458923617959996</v>
      </c>
      <c r="K1048" s="62">
        <f>IF(A1048=1,VEHICLE!$S$5,IF(A1048=2,VEHICLE!$Q$5,IF(A1048=3,VEHICLE!$R$5,IF(A1048=4,VEHICLE!$P$5,1))))</f>
        <v>111.31014600000002</v>
      </c>
      <c r="L1048" s="62">
        <v>0</v>
      </c>
      <c r="M1048" s="62">
        <f t="shared" si="324"/>
        <v>0</v>
      </c>
      <c r="N1048" s="62">
        <f t="shared" si="317"/>
        <v>0</v>
      </c>
      <c r="O1048" s="62">
        <f t="shared" si="318"/>
        <v>0</v>
      </c>
      <c r="P1048" s="62">
        <f t="shared" si="319"/>
        <v>150.76906961796001</v>
      </c>
      <c r="Q1048" s="62">
        <f>IF(H1048=1,I1048*VEHICLE!$C$69,IF(H1048=2,VEHICLE!$C$70*I1048,IF(H1048=3,VEHICLE!$C$71*I1048,0)))</f>
        <v>-438.86136489758803</v>
      </c>
      <c r="R1048" s="62">
        <f>(J1048+K1048+O1048+Q1048)</f>
        <v>-288.09229527962805</v>
      </c>
      <c r="S1048" s="62">
        <f t="shared" si="320"/>
        <v>288.09229527962805</v>
      </c>
      <c r="T1048" s="62">
        <f>ABS((R1048)/((2*PI()*G1048)/60))</f>
        <v>1.1004315086506251</v>
      </c>
      <c r="U1048" s="62">
        <f t="shared" si="321"/>
        <v>2</v>
      </c>
      <c r="V1048" s="62">
        <f>INDEX(BSFC!$D$4:$AD$26,MATCH(U1048,BSFC!$B$4:$B$26,0),MATCH(G1048,BSFC!$D$2:$AD$2,0))</f>
        <v>952.83484224000051</v>
      </c>
      <c r="W1048" s="62">
        <f t="shared" si="325"/>
        <v>-7.6251215756478891E-2</v>
      </c>
      <c r="X1048" s="62">
        <f t="shared" si="322"/>
        <v>7.6251215756478891E-2</v>
      </c>
      <c r="Y1048" s="62">
        <f t="shared" si="323"/>
        <v>-0.23561625668751976</v>
      </c>
      <c r="Z1048" s="79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</row>
    <row r="1049" spans="1:39" x14ac:dyDescent="0.3">
      <c r="A1049" s="55">
        <v>4</v>
      </c>
      <c r="B1049" s="62" t="s">
        <v>116</v>
      </c>
      <c r="C1049" s="62">
        <f t="shared" si="308"/>
        <v>1046</v>
      </c>
      <c r="D1049" s="62">
        <f t="shared" si="316"/>
        <v>13.22067</v>
      </c>
      <c r="E1049" s="62">
        <f t="shared" si="330"/>
        <v>5.91</v>
      </c>
      <c r="F1049" s="87">
        <f>($C$4/E1049)+F1048</f>
        <v>133.55144089350031</v>
      </c>
      <c r="G1049" s="62">
        <f t="shared" si="329"/>
        <v>2000</v>
      </c>
      <c r="H1049" s="62">
        <v>2</v>
      </c>
      <c r="I1049" s="87">
        <f>E1049-E1048</f>
        <v>-0.75</v>
      </c>
      <c r="J1049" s="62">
        <f>(0.5*VEHICLE!$C$71*VEHICLE!$C$28*VEHICLE!$C$27*'Drive Cycle'!E1049^2)</f>
        <v>31.072180965209999</v>
      </c>
      <c r="K1049" s="62">
        <f>IF(A1049=1,VEHICLE!$S$5,IF(A1049=2,VEHICLE!$Q$5,IF(A1049=3,VEHICLE!$R$5,IF(A1049=4,VEHICLE!$P$5,1))))</f>
        <v>111.31014600000002</v>
      </c>
      <c r="L1049" s="62">
        <v>0</v>
      </c>
      <c r="M1049" s="62">
        <f t="shared" si="324"/>
        <v>0</v>
      </c>
      <c r="N1049" s="62">
        <f t="shared" si="317"/>
        <v>0</v>
      </c>
      <c r="O1049" s="62">
        <f t="shared" si="318"/>
        <v>0</v>
      </c>
      <c r="P1049" s="62">
        <f t="shared" si="319"/>
        <v>142.38232696521001</v>
      </c>
      <c r="Q1049" s="62">
        <f>IF(H1049=1,I1049*VEHICLE!$C$69,IF(H1049=2,VEHICLE!$C$70*I1049,IF(H1049=3,VEHICLE!$C$71*I1049,0)))</f>
        <v>-438.86136489758803</v>
      </c>
      <c r="R1049" s="62">
        <f>(J1049+K1049+O1049+Q1049)</f>
        <v>-296.47903793237799</v>
      </c>
      <c r="S1049" s="62">
        <f t="shared" si="320"/>
        <v>296.47903793237799</v>
      </c>
      <c r="T1049" s="62">
        <f>ABS((R1049)/((2*PI()*G1049)/60))</f>
        <v>1.4155831323020251</v>
      </c>
      <c r="U1049" s="62">
        <f t="shared" si="321"/>
        <v>2</v>
      </c>
      <c r="V1049" s="62">
        <f>INDEX(BSFC!$D$4:$AD$26,MATCH(U1049,BSFC!$B$4:$B$26,0),MATCH(G1049,BSFC!$D$2:$AD$2,0))</f>
        <v>976.38004896000075</v>
      </c>
      <c r="W1049" s="62">
        <f t="shared" si="325"/>
        <v>-8.0410060436674771E-2</v>
      </c>
      <c r="X1049" s="62">
        <f t="shared" si="322"/>
        <v>8.0410060436674771E-2</v>
      </c>
      <c r="Y1049" s="62">
        <f t="shared" si="323"/>
        <v>-0.24846708674932502</v>
      </c>
      <c r="Z1049" s="79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</row>
    <row r="1050" spans="1:39" x14ac:dyDescent="0.3">
      <c r="A1050" s="55">
        <v>4</v>
      </c>
      <c r="B1050" s="62" t="s">
        <v>116</v>
      </c>
      <c r="C1050" s="62">
        <f t="shared" si="308"/>
        <v>1047</v>
      </c>
      <c r="D1050" s="62">
        <f t="shared" si="316"/>
        <v>11.542920000000001</v>
      </c>
      <c r="E1050" s="62">
        <f t="shared" si="330"/>
        <v>5.16</v>
      </c>
      <c r="F1050" s="87">
        <f>($C$4/E1050)+F1049</f>
        <v>133.74523934311273</v>
      </c>
      <c r="G1050" s="62">
        <f t="shared" si="329"/>
        <v>1500</v>
      </c>
      <c r="H1050" s="62">
        <v>2</v>
      </c>
      <c r="I1050" s="87">
        <f>E1050-E1049</f>
        <v>-0.75</v>
      </c>
      <c r="J1050" s="62">
        <f>(0.5*VEHICLE!$C$71*VEHICLE!$C$28*VEHICLE!$C$27*'Drive Cycle'!E1050^2)</f>
        <v>23.686242924959998</v>
      </c>
      <c r="K1050" s="62">
        <f>IF(A1050=1,VEHICLE!$S$5,IF(A1050=2,VEHICLE!$Q$5,IF(A1050=3,VEHICLE!$R$5,IF(A1050=4,VEHICLE!$P$5,1))))</f>
        <v>111.31014600000002</v>
      </c>
      <c r="L1050" s="62">
        <v>0</v>
      </c>
      <c r="M1050" s="62">
        <f t="shared" si="324"/>
        <v>0</v>
      </c>
      <c r="N1050" s="62">
        <f t="shared" si="317"/>
        <v>0</v>
      </c>
      <c r="O1050" s="62">
        <f t="shared" si="318"/>
        <v>0</v>
      </c>
      <c r="P1050" s="62">
        <f t="shared" si="319"/>
        <v>134.99638892496</v>
      </c>
      <c r="Q1050" s="62">
        <f>IF(H1050=1,I1050*VEHICLE!$C$69,IF(H1050=2,VEHICLE!$C$70*I1050,IF(H1050=3,VEHICLE!$C$71*I1050,0)))</f>
        <v>-438.86136489758803</v>
      </c>
      <c r="R1050" s="62">
        <f>(J1050+K1050+O1050+Q1050)</f>
        <v>-303.86497597262803</v>
      </c>
      <c r="S1050" s="62">
        <f t="shared" si="320"/>
        <v>303.86497597262803</v>
      </c>
      <c r="T1050" s="62">
        <f>ABS((R1050)/((2*PI()*G1050)/60))</f>
        <v>1.9344645183417504</v>
      </c>
      <c r="U1050" s="62">
        <f t="shared" si="321"/>
        <v>2</v>
      </c>
      <c r="V1050" s="62">
        <f>INDEX(BSFC!$D$4:$AD$26,MATCH(U1050,BSFC!$B$4:$B$26,0),MATCH(G1050,BSFC!$D$2:$AD$2,0))</f>
        <v>992.61604608000016</v>
      </c>
      <c r="W1050" s="62">
        <f t="shared" si="325"/>
        <v>-8.3783680831151189E-2</v>
      </c>
      <c r="X1050" s="62">
        <f t="shared" si="322"/>
        <v>8.3783680831151189E-2</v>
      </c>
      <c r="Y1050" s="62">
        <f t="shared" si="323"/>
        <v>-0.25889157376825717</v>
      </c>
      <c r="Z1050" s="79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</row>
    <row r="1051" spans="1:39" x14ac:dyDescent="0.3">
      <c r="A1051" s="55">
        <v>4</v>
      </c>
      <c r="B1051" s="62" t="s">
        <v>116</v>
      </c>
      <c r="C1051" s="62">
        <f t="shared" si="308"/>
        <v>1048</v>
      </c>
      <c r="D1051" s="62">
        <f t="shared" si="316"/>
        <v>9.8651700000000009</v>
      </c>
      <c r="E1051" s="62">
        <f t="shared" si="330"/>
        <v>4.41</v>
      </c>
      <c r="F1051" s="87">
        <f>($C$4/E1051)+F1050</f>
        <v>133.97199671272725</v>
      </c>
      <c r="G1051" s="62">
        <f>G1050</f>
        <v>1500</v>
      </c>
      <c r="H1051" s="62">
        <v>2</v>
      </c>
      <c r="I1051" s="87">
        <f>E1051-E1050</f>
        <v>-0.75</v>
      </c>
      <c r="J1051" s="62">
        <f>(0.5*VEHICLE!$C$71*VEHICLE!$C$28*VEHICLE!$C$27*'Drive Cycle'!E1051^2)</f>
        <v>17.30110949721</v>
      </c>
      <c r="K1051" s="62">
        <f>IF(A1051=1,VEHICLE!$S$5,IF(A1051=2,VEHICLE!$Q$5,IF(A1051=3,VEHICLE!$R$5,IF(A1051=4,VEHICLE!$P$5,1))))</f>
        <v>111.31014600000002</v>
      </c>
      <c r="L1051" s="62">
        <v>0</v>
      </c>
      <c r="M1051" s="62">
        <f t="shared" si="324"/>
        <v>0</v>
      </c>
      <c r="N1051" s="62">
        <f t="shared" si="317"/>
        <v>0</v>
      </c>
      <c r="O1051" s="62">
        <f t="shared" si="318"/>
        <v>0</v>
      </c>
      <c r="P1051" s="62">
        <f t="shared" si="319"/>
        <v>128.61125549721001</v>
      </c>
      <c r="Q1051" s="62">
        <f>IF(H1051=1,I1051*VEHICLE!$C$69,IF(H1051=2,VEHICLE!$C$70*I1051,IF(H1051=3,VEHICLE!$C$71*I1051,0)))</f>
        <v>-438.86136489758803</v>
      </c>
      <c r="R1051" s="62">
        <f>(J1051+K1051+O1051+Q1051)</f>
        <v>-310.25010940037805</v>
      </c>
      <c r="S1051" s="62">
        <f t="shared" si="320"/>
        <v>310.25010940037805</v>
      </c>
      <c r="T1051" s="62">
        <f>ABS((R1051)/((2*PI()*G1051)/60))</f>
        <v>1.9751135402348587</v>
      </c>
      <c r="U1051" s="62">
        <f t="shared" si="321"/>
        <v>2</v>
      </c>
      <c r="V1051" s="62">
        <f>INDEX(BSFC!$D$4:$AD$26,MATCH(U1051,BSFC!$B$4:$B$26,0),MATCH(G1051,BSFC!$D$2:$AD$2,0))</f>
        <v>992.61604608000016</v>
      </c>
      <c r="W1051" s="62">
        <f t="shared" si="325"/>
        <v>-8.5544232469136325E-2</v>
      </c>
      <c r="X1051" s="62">
        <f t="shared" si="322"/>
        <v>8.5544232469136325E-2</v>
      </c>
      <c r="Y1051" s="62">
        <f t="shared" si="323"/>
        <v>-0.26433167832963123</v>
      </c>
      <c r="Z1051" s="79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</row>
    <row r="1052" spans="1:39" x14ac:dyDescent="0.3">
      <c r="A1052" s="55">
        <v>4</v>
      </c>
      <c r="B1052" s="62" t="s">
        <v>116</v>
      </c>
      <c r="C1052" s="62">
        <f t="shared" si="308"/>
        <v>1049</v>
      </c>
      <c r="D1052" s="62">
        <f t="shared" si="316"/>
        <v>8.1874200000000013</v>
      </c>
      <c r="E1052" s="62">
        <f t="shared" si="330"/>
        <v>3.66</v>
      </c>
      <c r="F1052" s="87">
        <f>($C$4/E1052)+F1051</f>
        <v>134.2452207564431</v>
      </c>
      <c r="G1052" s="62">
        <f t="shared" si="329"/>
        <v>1000</v>
      </c>
      <c r="H1052" s="62">
        <v>1</v>
      </c>
      <c r="I1052" s="87">
        <f>E1052-E1051</f>
        <v>-0.75</v>
      </c>
      <c r="J1052" s="62">
        <f>(0.5*VEHICLE!$C$71*VEHICLE!$C$28*VEHICLE!$C$27*'Drive Cycle'!E1052^2)</f>
        <v>11.916780681960001</v>
      </c>
      <c r="K1052" s="62">
        <f>IF(A1052=1,VEHICLE!$S$5,IF(A1052=2,VEHICLE!$Q$5,IF(A1052=3,VEHICLE!$R$5,IF(A1052=4,VEHICLE!$P$5,1))))</f>
        <v>111.31014600000002</v>
      </c>
      <c r="L1052" s="62">
        <v>0</v>
      </c>
      <c r="M1052" s="62">
        <f t="shared" si="324"/>
        <v>0</v>
      </c>
      <c r="N1052" s="62">
        <f t="shared" si="317"/>
        <v>0</v>
      </c>
      <c r="O1052" s="62">
        <f t="shared" si="318"/>
        <v>0</v>
      </c>
      <c r="P1052" s="62">
        <f t="shared" si="319"/>
        <v>123.22692668196002</v>
      </c>
      <c r="Q1052" s="62">
        <f>IF(H1052=1,I1052*VEHICLE!$C$69,IF(H1052=2,VEHICLE!$C$70*I1052,IF(H1052=3,VEHICLE!$C$71*I1052,0)))</f>
        <v>-440.49017657114598</v>
      </c>
      <c r="R1052" s="62">
        <f>(J1052+K1052+O1052+Q1052)</f>
        <v>-317.26324988918594</v>
      </c>
      <c r="S1052" s="62">
        <f t="shared" si="320"/>
        <v>317.26324988918594</v>
      </c>
      <c r="T1052" s="62">
        <f>ABS((R1052)/((2*PI()*G1052)/60))</f>
        <v>3.0296408688757896</v>
      </c>
      <c r="U1052" s="62">
        <f t="shared" si="321"/>
        <v>4</v>
      </c>
      <c r="V1052" s="62">
        <f>INDEX(BSFC!$D$4:$AD$26,MATCH(U1052,BSFC!$B$4:$B$26,0),MATCH(G1052,BSFC!$D$2:$AD$2,0))</f>
        <v>773.56661352000003</v>
      </c>
      <c r="W1052" s="62">
        <f t="shared" si="325"/>
        <v>-6.8173404947535307E-2</v>
      </c>
      <c r="X1052" s="62">
        <f t="shared" si="322"/>
        <v>6.8173404947535307E-2</v>
      </c>
      <c r="Y1052" s="62">
        <f t="shared" si="323"/>
        <v>-0.2106558212878841</v>
      </c>
      <c r="Z1052" s="79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</row>
    <row r="1053" spans="1:39" x14ac:dyDescent="0.3">
      <c r="A1053" s="55">
        <v>4</v>
      </c>
      <c r="B1053" s="62" t="s">
        <v>116</v>
      </c>
      <c r="C1053" s="62">
        <f t="shared" si="308"/>
        <v>1050</v>
      </c>
      <c r="D1053" s="62">
        <f t="shared" si="316"/>
        <v>6.5096700000000007</v>
      </c>
      <c r="E1053" s="62">
        <f t="shared" si="330"/>
        <v>2.91</v>
      </c>
      <c r="F1053" s="87">
        <f>($C$4/E1053)+F1052</f>
        <v>134.58886336812697</v>
      </c>
      <c r="G1053" s="62">
        <f t="shared" si="329"/>
        <v>500</v>
      </c>
      <c r="H1053" s="62">
        <v>1</v>
      </c>
      <c r="I1053" s="87">
        <f>E1053-E1052</f>
        <v>-0.75</v>
      </c>
      <c r="J1053" s="62">
        <f>(0.5*VEHICLE!$C$71*VEHICLE!$C$28*VEHICLE!$C$27*'Drive Cycle'!E1053^2)</f>
        <v>7.5332564792100003</v>
      </c>
      <c r="K1053" s="62">
        <f>IF(A1053=1,VEHICLE!$S$5,IF(A1053=2,VEHICLE!$Q$5,IF(A1053=3,VEHICLE!$R$5,IF(A1053=4,VEHICLE!$P$5,1))))</f>
        <v>111.31014600000002</v>
      </c>
      <c r="L1053" s="62">
        <v>0</v>
      </c>
      <c r="M1053" s="62">
        <f t="shared" si="324"/>
        <v>0</v>
      </c>
      <c r="N1053" s="62">
        <f t="shared" si="317"/>
        <v>0</v>
      </c>
      <c r="O1053" s="62">
        <f t="shared" si="318"/>
        <v>0</v>
      </c>
      <c r="P1053" s="62">
        <f t="shared" si="319"/>
        <v>118.84340247921001</v>
      </c>
      <c r="Q1053" s="62">
        <f>IF(H1053=1,I1053*VEHICLE!$C$69,IF(H1053=2,VEHICLE!$C$70*I1053,IF(H1053=3,VEHICLE!$C$71*I1053,0)))</f>
        <v>-440.49017657114598</v>
      </c>
      <c r="R1053" s="62">
        <f>(J1053+K1053+O1053+Q1053)</f>
        <v>-321.64677409193598</v>
      </c>
      <c r="S1053" s="62">
        <f t="shared" si="320"/>
        <v>321.64677409193598</v>
      </c>
      <c r="T1053" s="62">
        <f>ABS((R1053)/((2*PI()*G1053)/60))</f>
        <v>6.1430008831552545</v>
      </c>
      <c r="U1053" s="62">
        <f t="shared" si="321"/>
        <v>7</v>
      </c>
      <c r="V1053" s="62">
        <f>INDEX(BSFC!$D$4:$AD$26,MATCH(U1053,BSFC!$B$4:$B$26,0),MATCH(G1053,BSFC!$D$2:$AD$2,0))</f>
        <v>0</v>
      </c>
      <c r="W1053" s="62">
        <f t="shared" si="325"/>
        <v>0</v>
      </c>
      <c r="X1053" s="62">
        <f t="shared" si="322"/>
        <v>0</v>
      </c>
      <c r="Y1053" s="62">
        <f t="shared" si="323"/>
        <v>0</v>
      </c>
      <c r="Z1053" s="79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</row>
    <row r="1054" spans="1:39" x14ac:dyDescent="0.3">
      <c r="A1054" s="55">
        <v>4</v>
      </c>
      <c r="B1054" s="61" t="s">
        <v>132</v>
      </c>
      <c r="C1054" s="61">
        <f t="shared" si="308"/>
        <v>1051</v>
      </c>
      <c r="D1054" s="61">
        <f t="shared" si="316"/>
        <v>6.5096700000000007</v>
      </c>
      <c r="E1054" s="61">
        <f>E1053</f>
        <v>2.91</v>
      </c>
      <c r="F1054" s="88">
        <f>($C$4/E1054)+F1053</f>
        <v>134.93250597981083</v>
      </c>
      <c r="G1054" s="61">
        <f>G1053</f>
        <v>500</v>
      </c>
      <c r="H1054" s="61">
        <v>1</v>
      </c>
      <c r="I1054" s="88">
        <f>E1054-E1053</f>
        <v>0</v>
      </c>
      <c r="J1054" s="61">
        <f>(0.5*VEHICLE!$C$71*VEHICLE!$C$28*VEHICLE!$C$27*'Drive Cycle'!E1054^2)</f>
        <v>7.5332564792100003</v>
      </c>
      <c r="K1054" s="61">
        <f>IF(A1054=1,VEHICLE!$S$5,IF(A1054=2,VEHICLE!$Q$5,IF(A1054=3,VEHICLE!$R$5,IF(A1054=4,VEHICLE!$P$5,1))))</f>
        <v>111.31014600000002</v>
      </c>
      <c r="L1054" s="61">
        <v>0</v>
      </c>
      <c r="M1054" s="61">
        <f t="shared" si="324"/>
        <v>0</v>
      </c>
      <c r="N1054" s="61">
        <f t="shared" si="317"/>
        <v>0</v>
      </c>
      <c r="O1054" s="61">
        <f t="shared" si="318"/>
        <v>0</v>
      </c>
      <c r="P1054" s="61">
        <f t="shared" si="319"/>
        <v>118.84340247921001</v>
      </c>
      <c r="Q1054" s="61">
        <f>IF(H1054=1,I1054*VEHICLE!$C$69,IF(H1054=2,VEHICLE!$C$70*I1054,IF(H1054=3,VEHICLE!$C$71*I1054,0)))</f>
        <v>0</v>
      </c>
      <c r="R1054" s="61">
        <f>(J1054+K1054+O1054+Q1054)</f>
        <v>118.84340247921001</v>
      </c>
      <c r="S1054" s="61">
        <f t="shared" si="320"/>
        <v>118.84340247921001</v>
      </c>
      <c r="T1054" s="61">
        <f>ABS((R1054)/((2*PI()*G1054)/60))</f>
        <v>2.2697417950111061</v>
      </c>
      <c r="U1054" s="61">
        <f t="shared" si="321"/>
        <v>3</v>
      </c>
      <c r="V1054" s="61">
        <f>INDEX(BSFC!$D$4:$AD$26,MATCH(U1054,BSFC!$B$4:$B$26,0),MATCH(G1054,BSFC!$D$2:$AD$2,0))</f>
        <v>943.43189170987625</v>
      </c>
      <c r="W1054" s="61">
        <f t="shared" si="325"/>
        <v>3.1144626671722027E-2</v>
      </c>
      <c r="X1054" s="61">
        <f t="shared" si="322"/>
        <v>3.1144626671722027E-2</v>
      </c>
      <c r="Y1054" s="61">
        <f t="shared" si="323"/>
        <v>9.6236896415621054E-2</v>
      </c>
      <c r="Z1054" s="79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</row>
    <row r="1055" spans="1:39" x14ac:dyDescent="0.3">
      <c r="A1055" s="55">
        <v>4</v>
      </c>
      <c r="B1055" s="61" t="s">
        <v>132</v>
      </c>
      <c r="C1055" s="61">
        <f t="shared" si="308"/>
        <v>1052</v>
      </c>
      <c r="D1055" s="61">
        <f t="shared" si="316"/>
        <v>6.5096700000000007</v>
      </c>
      <c r="E1055" s="61">
        <f t="shared" ref="E1055:E1061" si="331">E1054</f>
        <v>2.91</v>
      </c>
      <c r="F1055" s="88">
        <f>($C$4/E1055)+F1054</f>
        <v>135.27614859149469</v>
      </c>
      <c r="G1055" s="61">
        <f t="shared" ref="G1055:G1061" si="332">G1054</f>
        <v>500</v>
      </c>
      <c r="H1055" s="61">
        <v>1</v>
      </c>
      <c r="I1055" s="88">
        <f>E1055-E1054</f>
        <v>0</v>
      </c>
      <c r="J1055" s="61">
        <f>(0.5*VEHICLE!$C$71*VEHICLE!$C$28*VEHICLE!$C$27*'Drive Cycle'!E1055^2)</f>
        <v>7.5332564792100003</v>
      </c>
      <c r="K1055" s="61">
        <f>IF(A1055=1,VEHICLE!$S$5,IF(A1055=2,VEHICLE!$Q$5,IF(A1055=3,VEHICLE!$R$5,IF(A1055=4,VEHICLE!$P$5,1))))</f>
        <v>111.31014600000002</v>
      </c>
      <c r="L1055" s="61">
        <v>0</v>
      </c>
      <c r="M1055" s="61">
        <f t="shared" si="324"/>
        <v>0</v>
      </c>
      <c r="N1055" s="61">
        <f t="shared" si="317"/>
        <v>0</v>
      </c>
      <c r="O1055" s="61">
        <f t="shared" si="318"/>
        <v>0</v>
      </c>
      <c r="P1055" s="61">
        <f t="shared" si="319"/>
        <v>118.84340247921001</v>
      </c>
      <c r="Q1055" s="61">
        <f>IF(H1055=1,I1055*VEHICLE!$C$69,IF(H1055=2,VEHICLE!$C$70*I1055,IF(H1055=3,VEHICLE!$C$71*I1055,0)))</f>
        <v>0</v>
      </c>
      <c r="R1055" s="61">
        <f>(J1055+K1055+O1055+Q1055)</f>
        <v>118.84340247921001</v>
      </c>
      <c r="S1055" s="61">
        <f t="shared" si="320"/>
        <v>118.84340247921001</v>
      </c>
      <c r="T1055" s="61">
        <f>ABS((R1055)/((2*PI()*G1055)/60))</f>
        <v>2.2697417950111061</v>
      </c>
      <c r="U1055" s="61">
        <f t="shared" si="321"/>
        <v>3</v>
      </c>
      <c r="V1055" s="61">
        <f>INDEX(BSFC!$D$4:$AD$26,MATCH(U1055,BSFC!$B$4:$B$26,0),MATCH(G1055,BSFC!$D$2:$AD$2,0))</f>
        <v>943.43189170987625</v>
      </c>
      <c r="W1055" s="61">
        <f t="shared" si="325"/>
        <v>3.1144626671722027E-2</v>
      </c>
      <c r="X1055" s="61">
        <f t="shared" si="322"/>
        <v>3.1144626671722027E-2</v>
      </c>
      <c r="Y1055" s="61">
        <f t="shared" si="323"/>
        <v>9.6236896415621054E-2</v>
      </c>
      <c r="Z1055" s="79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</row>
    <row r="1056" spans="1:39" x14ac:dyDescent="0.3">
      <c r="A1056" s="55">
        <v>4</v>
      </c>
      <c r="B1056" s="61" t="s">
        <v>132</v>
      </c>
      <c r="C1056" s="61">
        <f t="shared" si="308"/>
        <v>1053</v>
      </c>
      <c r="D1056" s="61">
        <f t="shared" si="316"/>
        <v>6.5096700000000007</v>
      </c>
      <c r="E1056" s="61">
        <f t="shared" si="331"/>
        <v>2.91</v>
      </c>
      <c r="F1056" s="88">
        <f>($C$4/E1056)+F1055</f>
        <v>135.61979120317855</v>
      </c>
      <c r="G1056" s="61">
        <f t="shared" si="332"/>
        <v>500</v>
      </c>
      <c r="H1056" s="61">
        <v>1</v>
      </c>
      <c r="I1056" s="88">
        <f>E1056-E1055</f>
        <v>0</v>
      </c>
      <c r="J1056" s="61">
        <f>(0.5*VEHICLE!$C$71*VEHICLE!$C$28*VEHICLE!$C$27*'Drive Cycle'!E1056^2)</f>
        <v>7.5332564792100003</v>
      </c>
      <c r="K1056" s="61">
        <f>IF(A1056=1,VEHICLE!$S$5,IF(A1056=2,VEHICLE!$Q$5,IF(A1056=3,VEHICLE!$R$5,IF(A1056=4,VEHICLE!$P$5,1))))</f>
        <v>111.31014600000002</v>
      </c>
      <c r="L1056" s="61">
        <v>0</v>
      </c>
      <c r="M1056" s="61">
        <f t="shared" si="324"/>
        <v>0</v>
      </c>
      <c r="N1056" s="61">
        <f t="shared" si="317"/>
        <v>0</v>
      </c>
      <c r="O1056" s="61">
        <f t="shared" si="318"/>
        <v>0</v>
      </c>
      <c r="P1056" s="61">
        <f t="shared" si="319"/>
        <v>118.84340247921001</v>
      </c>
      <c r="Q1056" s="61">
        <f>IF(H1056=1,I1056*VEHICLE!$C$69,IF(H1056=2,VEHICLE!$C$70*I1056,IF(H1056=3,VEHICLE!$C$71*I1056,0)))</f>
        <v>0</v>
      </c>
      <c r="R1056" s="61">
        <f>(J1056+K1056+O1056+Q1056)</f>
        <v>118.84340247921001</v>
      </c>
      <c r="S1056" s="61">
        <f t="shared" si="320"/>
        <v>118.84340247921001</v>
      </c>
      <c r="T1056" s="61">
        <f>ABS((R1056)/((2*PI()*G1056)/60))</f>
        <v>2.2697417950111061</v>
      </c>
      <c r="U1056" s="61">
        <f t="shared" si="321"/>
        <v>3</v>
      </c>
      <c r="V1056" s="61">
        <f>INDEX(BSFC!$D$4:$AD$26,MATCH(U1056,BSFC!$B$4:$B$26,0),MATCH(G1056,BSFC!$D$2:$AD$2,0))</f>
        <v>943.43189170987625</v>
      </c>
      <c r="W1056" s="61">
        <f t="shared" si="325"/>
        <v>3.1144626671722027E-2</v>
      </c>
      <c r="X1056" s="61">
        <f t="shared" si="322"/>
        <v>3.1144626671722027E-2</v>
      </c>
      <c r="Y1056" s="61">
        <f t="shared" si="323"/>
        <v>9.6236896415621054E-2</v>
      </c>
      <c r="Z1056" s="79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</row>
    <row r="1057" spans="1:39" x14ac:dyDescent="0.3">
      <c r="A1057" s="55">
        <v>4</v>
      </c>
      <c r="B1057" s="61" t="s">
        <v>132</v>
      </c>
      <c r="C1057" s="61">
        <f t="shared" si="308"/>
        <v>1054</v>
      </c>
      <c r="D1057" s="61">
        <f t="shared" si="316"/>
        <v>6.5096700000000007</v>
      </c>
      <c r="E1057" s="61">
        <f t="shared" si="331"/>
        <v>2.91</v>
      </c>
      <c r="F1057" s="88">
        <f>($C$4/E1057)+F1056</f>
        <v>135.96343381486241</v>
      </c>
      <c r="G1057" s="61">
        <f t="shared" si="332"/>
        <v>500</v>
      </c>
      <c r="H1057" s="61">
        <v>1</v>
      </c>
      <c r="I1057" s="88">
        <f>E1057-E1056</f>
        <v>0</v>
      </c>
      <c r="J1057" s="61">
        <f>(0.5*VEHICLE!$C$71*VEHICLE!$C$28*VEHICLE!$C$27*'Drive Cycle'!E1057^2)</f>
        <v>7.5332564792100003</v>
      </c>
      <c r="K1057" s="61">
        <f>IF(A1057=1,VEHICLE!$S$5,IF(A1057=2,VEHICLE!$Q$5,IF(A1057=3,VEHICLE!$R$5,IF(A1057=4,VEHICLE!$P$5,1))))</f>
        <v>111.31014600000002</v>
      </c>
      <c r="L1057" s="61">
        <v>0</v>
      </c>
      <c r="M1057" s="61">
        <f t="shared" si="324"/>
        <v>0</v>
      </c>
      <c r="N1057" s="61">
        <f t="shared" si="317"/>
        <v>0</v>
      </c>
      <c r="O1057" s="61">
        <f t="shared" si="318"/>
        <v>0</v>
      </c>
      <c r="P1057" s="61">
        <f t="shared" si="319"/>
        <v>118.84340247921001</v>
      </c>
      <c r="Q1057" s="61">
        <f>IF(H1057=1,I1057*VEHICLE!$C$69,IF(H1057=2,VEHICLE!$C$70*I1057,IF(H1057=3,VEHICLE!$C$71*I1057,0)))</f>
        <v>0</v>
      </c>
      <c r="R1057" s="61">
        <f>(J1057+K1057+O1057+Q1057)</f>
        <v>118.84340247921001</v>
      </c>
      <c r="S1057" s="61">
        <f t="shared" si="320"/>
        <v>118.84340247921001</v>
      </c>
      <c r="T1057" s="61">
        <f>ABS((R1057)/((2*PI()*G1057)/60))</f>
        <v>2.2697417950111061</v>
      </c>
      <c r="U1057" s="61">
        <f t="shared" si="321"/>
        <v>3</v>
      </c>
      <c r="V1057" s="61">
        <f>INDEX(BSFC!$D$4:$AD$26,MATCH(U1057,BSFC!$B$4:$B$26,0),MATCH(G1057,BSFC!$D$2:$AD$2,0))</f>
        <v>943.43189170987625</v>
      </c>
      <c r="W1057" s="61">
        <f t="shared" si="325"/>
        <v>3.1144626671722027E-2</v>
      </c>
      <c r="X1057" s="61">
        <f t="shared" si="322"/>
        <v>3.1144626671722027E-2</v>
      </c>
      <c r="Y1057" s="61">
        <f t="shared" si="323"/>
        <v>9.6236896415621054E-2</v>
      </c>
      <c r="Z1057" s="79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</row>
    <row r="1058" spans="1:39" x14ac:dyDescent="0.3">
      <c r="A1058" s="55">
        <v>4</v>
      </c>
      <c r="B1058" s="61" t="s">
        <v>132</v>
      </c>
      <c r="C1058" s="61">
        <f t="shared" si="308"/>
        <v>1055</v>
      </c>
      <c r="D1058" s="61">
        <f t="shared" si="316"/>
        <v>6.5096700000000007</v>
      </c>
      <c r="E1058" s="61">
        <f t="shared" si="331"/>
        <v>2.91</v>
      </c>
      <c r="F1058" s="88">
        <f>($C$4/E1058)+F1057</f>
        <v>136.30707642654627</v>
      </c>
      <c r="G1058" s="61">
        <f t="shared" si="332"/>
        <v>500</v>
      </c>
      <c r="H1058" s="61">
        <v>1</v>
      </c>
      <c r="I1058" s="88">
        <f>E1058-E1057</f>
        <v>0</v>
      </c>
      <c r="J1058" s="61">
        <f>(0.5*VEHICLE!$C$71*VEHICLE!$C$28*VEHICLE!$C$27*'Drive Cycle'!E1058^2)</f>
        <v>7.5332564792100003</v>
      </c>
      <c r="K1058" s="61">
        <f>IF(A1058=1,VEHICLE!$S$5,IF(A1058=2,VEHICLE!$Q$5,IF(A1058=3,VEHICLE!$R$5,IF(A1058=4,VEHICLE!$P$5,1))))</f>
        <v>111.31014600000002</v>
      </c>
      <c r="L1058" s="61">
        <v>0</v>
      </c>
      <c r="M1058" s="61">
        <f t="shared" si="324"/>
        <v>0</v>
      </c>
      <c r="N1058" s="61">
        <f t="shared" si="317"/>
        <v>0</v>
      </c>
      <c r="O1058" s="61">
        <f t="shared" si="318"/>
        <v>0</v>
      </c>
      <c r="P1058" s="61">
        <f t="shared" si="319"/>
        <v>118.84340247921001</v>
      </c>
      <c r="Q1058" s="61">
        <f>IF(H1058=1,I1058*VEHICLE!$C$69,IF(H1058=2,VEHICLE!$C$70*I1058,IF(H1058=3,VEHICLE!$C$71*I1058,0)))</f>
        <v>0</v>
      </c>
      <c r="R1058" s="61">
        <f>(J1058+K1058+O1058+Q1058)</f>
        <v>118.84340247921001</v>
      </c>
      <c r="S1058" s="61">
        <f t="shared" si="320"/>
        <v>118.84340247921001</v>
      </c>
      <c r="T1058" s="61">
        <f>ABS((R1058)/((2*PI()*G1058)/60))</f>
        <v>2.2697417950111061</v>
      </c>
      <c r="U1058" s="61">
        <f t="shared" si="321"/>
        <v>3</v>
      </c>
      <c r="V1058" s="61">
        <f>INDEX(BSFC!$D$4:$AD$26,MATCH(U1058,BSFC!$B$4:$B$26,0),MATCH(G1058,BSFC!$D$2:$AD$2,0))</f>
        <v>943.43189170987625</v>
      </c>
      <c r="W1058" s="61">
        <f t="shared" si="325"/>
        <v>3.1144626671722027E-2</v>
      </c>
      <c r="X1058" s="61">
        <f t="shared" si="322"/>
        <v>3.1144626671722027E-2</v>
      </c>
      <c r="Y1058" s="61">
        <f t="shared" si="323"/>
        <v>9.6236896415621054E-2</v>
      </c>
      <c r="Z1058" s="79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</row>
    <row r="1059" spans="1:39" x14ac:dyDescent="0.3">
      <c r="A1059" s="55">
        <v>4</v>
      </c>
      <c r="B1059" s="61" t="s">
        <v>132</v>
      </c>
      <c r="C1059" s="61">
        <f t="shared" si="308"/>
        <v>1056</v>
      </c>
      <c r="D1059" s="61">
        <f t="shared" si="316"/>
        <v>6.5096700000000007</v>
      </c>
      <c r="E1059" s="61">
        <f t="shared" si="331"/>
        <v>2.91</v>
      </c>
      <c r="F1059" s="88">
        <f>($C$4/E1059)+F1058</f>
        <v>136.65071903823014</v>
      </c>
      <c r="G1059" s="61">
        <f t="shared" si="332"/>
        <v>500</v>
      </c>
      <c r="H1059" s="61">
        <v>1</v>
      </c>
      <c r="I1059" s="88">
        <f>E1059-E1058</f>
        <v>0</v>
      </c>
      <c r="J1059" s="61">
        <f>(0.5*VEHICLE!$C$71*VEHICLE!$C$28*VEHICLE!$C$27*'Drive Cycle'!E1059^2)</f>
        <v>7.5332564792100003</v>
      </c>
      <c r="K1059" s="61">
        <f>IF(A1059=1,VEHICLE!$S$5,IF(A1059=2,VEHICLE!$Q$5,IF(A1059=3,VEHICLE!$R$5,IF(A1059=4,VEHICLE!$P$5,1))))</f>
        <v>111.31014600000002</v>
      </c>
      <c r="L1059" s="61">
        <v>0</v>
      </c>
      <c r="M1059" s="61">
        <f t="shared" si="324"/>
        <v>0</v>
      </c>
      <c r="N1059" s="61">
        <f t="shared" si="317"/>
        <v>0</v>
      </c>
      <c r="O1059" s="61">
        <f t="shared" si="318"/>
        <v>0</v>
      </c>
      <c r="P1059" s="61">
        <f t="shared" si="319"/>
        <v>118.84340247921001</v>
      </c>
      <c r="Q1059" s="61">
        <f>IF(H1059=1,I1059*VEHICLE!$C$69,IF(H1059=2,VEHICLE!$C$70*I1059,IF(H1059=3,VEHICLE!$C$71*I1059,0)))</f>
        <v>0</v>
      </c>
      <c r="R1059" s="61">
        <f>(J1059+K1059+O1059+Q1059)</f>
        <v>118.84340247921001</v>
      </c>
      <c r="S1059" s="61">
        <f t="shared" si="320"/>
        <v>118.84340247921001</v>
      </c>
      <c r="T1059" s="61">
        <f>ABS((R1059)/((2*PI()*G1059)/60))</f>
        <v>2.2697417950111061</v>
      </c>
      <c r="U1059" s="61">
        <f t="shared" si="321"/>
        <v>3</v>
      </c>
      <c r="V1059" s="61">
        <f>INDEX(BSFC!$D$4:$AD$26,MATCH(U1059,BSFC!$B$4:$B$26,0),MATCH(G1059,BSFC!$D$2:$AD$2,0))</f>
        <v>943.43189170987625</v>
      </c>
      <c r="W1059" s="61">
        <f t="shared" si="325"/>
        <v>3.1144626671722027E-2</v>
      </c>
      <c r="X1059" s="61">
        <f t="shared" si="322"/>
        <v>3.1144626671722027E-2</v>
      </c>
      <c r="Y1059" s="61">
        <f t="shared" si="323"/>
        <v>9.6236896415621054E-2</v>
      </c>
      <c r="Z1059" s="79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</row>
    <row r="1060" spans="1:39" x14ac:dyDescent="0.3">
      <c r="A1060" s="55">
        <v>4</v>
      </c>
      <c r="B1060" s="61" t="s">
        <v>132</v>
      </c>
      <c r="C1060" s="61">
        <f t="shared" si="308"/>
        <v>1057</v>
      </c>
      <c r="D1060" s="61">
        <f t="shared" si="316"/>
        <v>6.5096700000000007</v>
      </c>
      <c r="E1060" s="61">
        <f t="shared" si="331"/>
        <v>2.91</v>
      </c>
      <c r="F1060" s="88">
        <f>($C$4/E1060)+F1059</f>
        <v>136.994361649914</v>
      </c>
      <c r="G1060" s="61">
        <f t="shared" si="332"/>
        <v>500</v>
      </c>
      <c r="H1060" s="61">
        <v>1</v>
      </c>
      <c r="I1060" s="88">
        <f>E1060-E1059</f>
        <v>0</v>
      </c>
      <c r="J1060" s="61">
        <f>(0.5*VEHICLE!$C$71*VEHICLE!$C$28*VEHICLE!$C$27*'Drive Cycle'!E1060^2)</f>
        <v>7.5332564792100003</v>
      </c>
      <c r="K1060" s="61">
        <f>IF(A1060=1,VEHICLE!$S$5,IF(A1060=2,VEHICLE!$Q$5,IF(A1060=3,VEHICLE!$R$5,IF(A1060=4,VEHICLE!$P$5,1))))</f>
        <v>111.31014600000002</v>
      </c>
      <c r="L1060" s="61">
        <v>0</v>
      </c>
      <c r="M1060" s="61">
        <f t="shared" si="324"/>
        <v>0</v>
      </c>
      <c r="N1060" s="61">
        <f t="shared" si="317"/>
        <v>0</v>
      </c>
      <c r="O1060" s="61">
        <f t="shared" si="318"/>
        <v>0</v>
      </c>
      <c r="P1060" s="61">
        <f t="shared" si="319"/>
        <v>118.84340247921001</v>
      </c>
      <c r="Q1060" s="61">
        <f>IF(H1060=1,I1060*VEHICLE!$C$69,IF(H1060=2,VEHICLE!$C$70*I1060,IF(H1060=3,VEHICLE!$C$71*I1060,0)))</f>
        <v>0</v>
      </c>
      <c r="R1060" s="61">
        <f>(J1060+K1060+O1060+Q1060)</f>
        <v>118.84340247921001</v>
      </c>
      <c r="S1060" s="61">
        <f t="shared" si="320"/>
        <v>118.84340247921001</v>
      </c>
      <c r="T1060" s="61">
        <f>ABS((R1060)/((2*PI()*G1060)/60))</f>
        <v>2.2697417950111061</v>
      </c>
      <c r="U1060" s="61">
        <f t="shared" si="321"/>
        <v>3</v>
      </c>
      <c r="V1060" s="61">
        <f>INDEX(BSFC!$D$4:$AD$26,MATCH(U1060,BSFC!$B$4:$B$26,0),MATCH(G1060,BSFC!$D$2:$AD$2,0))</f>
        <v>943.43189170987625</v>
      </c>
      <c r="W1060" s="61">
        <f t="shared" si="325"/>
        <v>3.1144626671722027E-2</v>
      </c>
      <c r="X1060" s="61">
        <f t="shared" si="322"/>
        <v>3.1144626671722027E-2</v>
      </c>
      <c r="Y1060" s="61">
        <f t="shared" si="323"/>
        <v>9.6236896415621054E-2</v>
      </c>
      <c r="Z1060" s="79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</row>
    <row r="1061" spans="1:39" x14ac:dyDescent="0.3">
      <c r="A1061" s="55">
        <v>4</v>
      </c>
      <c r="B1061" s="61" t="s">
        <v>132</v>
      </c>
      <c r="C1061" s="61">
        <f t="shared" si="308"/>
        <v>1058</v>
      </c>
      <c r="D1061" s="61">
        <f t="shared" si="316"/>
        <v>6.5096700000000007</v>
      </c>
      <c r="E1061" s="61">
        <f t="shared" si="331"/>
        <v>2.91</v>
      </c>
      <c r="F1061" s="88">
        <f>($C$4/E1061)+F1060</f>
        <v>137.33800426159786</v>
      </c>
      <c r="G1061" s="61">
        <f t="shared" si="332"/>
        <v>500</v>
      </c>
      <c r="H1061" s="61">
        <v>1</v>
      </c>
      <c r="I1061" s="88">
        <f>E1061-E1060</f>
        <v>0</v>
      </c>
      <c r="J1061" s="61">
        <f>(0.5*VEHICLE!$C$71*VEHICLE!$C$28*VEHICLE!$C$27*'Drive Cycle'!E1061^2)</f>
        <v>7.5332564792100003</v>
      </c>
      <c r="K1061" s="61">
        <f>IF(A1061=1,VEHICLE!$S$5,IF(A1061=2,VEHICLE!$Q$5,IF(A1061=3,VEHICLE!$R$5,IF(A1061=4,VEHICLE!$P$5,1))))</f>
        <v>111.31014600000002</v>
      </c>
      <c r="L1061" s="61">
        <v>0</v>
      </c>
      <c r="M1061" s="61">
        <f t="shared" si="324"/>
        <v>0</v>
      </c>
      <c r="N1061" s="61">
        <f t="shared" si="317"/>
        <v>0</v>
      </c>
      <c r="O1061" s="61">
        <f t="shared" si="318"/>
        <v>0</v>
      </c>
      <c r="P1061" s="61">
        <f t="shared" si="319"/>
        <v>118.84340247921001</v>
      </c>
      <c r="Q1061" s="61">
        <f>IF(H1061=1,I1061*VEHICLE!$C$69,IF(H1061=2,VEHICLE!$C$70*I1061,IF(H1061=3,VEHICLE!$C$71*I1061,0)))</f>
        <v>0</v>
      </c>
      <c r="R1061" s="61">
        <f>(J1061+K1061+O1061+Q1061)</f>
        <v>118.84340247921001</v>
      </c>
      <c r="S1061" s="61">
        <f t="shared" si="320"/>
        <v>118.84340247921001</v>
      </c>
      <c r="T1061" s="61">
        <f>ABS((R1061)/((2*PI()*G1061)/60))</f>
        <v>2.2697417950111061</v>
      </c>
      <c r="U1061" s="61">
        <f t="shared" si="321"/>
        <v>3</v>
      </c>
      <c r="V1061" s="61">
        <f>INDEX(BSFC!$D$4:$AD$26,MATCH(U1061,BSFC!$B$4:$B$26,0),MATCH(G1061,BSFC!$D$2:$AD$2,0))</f>
        <v>943.43189170987625</v>
      </c>
      <c r="W1061" s="61">
        <f t="shared" si="325"/>
        <v>3.1144626671722027E-2</v>
      </c>
      <c r="X1061" s="61">
        <f t="shared" si="322"/>
        <v>3.1144626671722027E-2</v>
      </c>
      <c r="Y1061" s="61">
        <f t="shared" si="323"/>
        <v>9.6236896415621054E-2</v>
      </c>
      <c r="Z1061" s="79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</row>
    <row r="1062" spans="1:39" x14ac:dyDescent="0.3">
      <c r="A1062" s="55">
        <v>4</v>
      </c>
      <c r="B1062" s="61" t="s">
        <v>132</v>
      </c>
      <c r="C1062" s="61">
        <f t="shared" si="308"/>
        <v>1059</v>
      </c>
      <c r="D1062" s="61">
        <f t="shared" si="316"/>
        <v>8.2992699999999999</v>
      </c>
      <c r="E1062" s="61">
        <f>E1061+0.8</f>
        <v>3.71</v>
      </c>
      <c r="F1062" s="88">
        <f>($C$4/E1062)+F1061</f>
        <v>137.6075460405736</v>
      </c>
      <c r="G1062" s="61">
        <f>G1061+500</f>
        <v>1000</v>
      </c>
      <c r="H1062" s="61">
        <v>2</v>
      </c>
      <c r="I1062" s="88">
        <f>E1062-E1061</f>
        <v>0.79999999999999982</v>
      </c>
      <c r="J1062" s="61">
        <f>(0.5*VEHICLE!$C$71*VEHICLE!$C$28*VEHICLE!$C$27*'Drive Cycle'!E1062^2)</f>
        <v>12.244599792809998</v>
      </c>
      <c r="K1062" s="61">
        <f>IF(A1062=1,VEHICLE!$S$5,IF(A1062=2,VEHICLE!$Q$5,IF(A1062=3,VEHICLE!$R$5,IF(A1062=4,VEHICLE!$P$5,1))))</f>
        <v>111.31014600000002</v>
      </c>
      <c r="L1062" s="61">
        <v>0</v>
      </c>
      <c r="M1062" s="61">
        <f t="shared" si="324"/>
        <v>0</v>
      </c>
      <c r="N1062" s="61">
        <f t="shared" si="317"/>
        <v>0</v>
      </c>
      <c r="O1062" s="61">
        <f t="shared" si="318"/>
        <v>0</v>
      </c>
      <c r="P1062" s="61">
        <f t="shared" si="319"/>
        <v>123.55474579281001</v>
      </c>
      <c r="Q1062" s="61">
        <f>IF(H1062=1,I1062*VEHICLE!$C$69,IF(H1062=2,VEHICLE!$C$70*I1062,IF(H1062=3,VEHICLE!$C$71*I1062,0)))</f>
        <v>468.11878922409375</v>
      </c>
      <c r="R1062" s="61">
        <f>(J1062+K1062+O1062+Q1062)</f>
        <v>591.67353501690377</v>
      </c>
      <c r="S1062" s="61">
        <f t="shared" si="320"/>
        <v>591.67353501690377</v>
      </c>
      <c r="T1062" s="61">
        <f>ABS((R1062)/((2*PI()*G1062)/60))</f>
        <v>5.6500660676757519</v>
      </c>
      <c r="U1062" s="61">
        <f t="shared" si="321"/>
        <v>6</v>
      </c>
      <c r="V1062" s="61">
        <f>INDEX(BSFC!$D$4:$AD$26,MATCH(U1062,BSFC!$B$4:$B$26,0),MATCH(G1062,BSFC!$D$2:$AD$2,0))</f>
        <v>665.59951679999995</v>
      </c>
      <c r="W1062" s="61">
        <f t="shared" si="325"/>
        <v>0.10939378305849973</v>
      </c>
      <c r="X1062" s="61">
        <f t="shared" si="322"/>
        <v>0.10939378305849973</v>
      </c>
      <c r="Y1062" s="61">
        <f t="shared" si="323"/>
        <v>0.33802678965076416</v>
      </c>
      <c r="Z1062" s="79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</row>
    <row r="1063" spans="1:39" x14ac:dyDescent="0.3">
      <c r="A1063" s="55">
        <v>4</v>
      </c>
      <c r="B1063" s="61" t="s">
        <v>132</v>
      </c>
      <c r="C1063" s="61">
        <f t="shared" si="308"/>
        <v>1060</v>
      </c>
      <c r="D1063" s="61">
        <f t="shared" si="316"/>
        <v>10.08887</v>
      </c>
      <c r="E1063" s="61">
        <f t="shared" ref="E1063:E1074" si="333">E1062+0.8</f>
        <v>4.51</v>
      </c>
      <c r="F1063" s="88">
        <f>($C$4/E1063)+F1062</f>
        <v>137.82927553059577</v>
      </c>
      <c r="G1063" s="61">
        <f t="shared" ref="G1063:G1073" si="334">G1062+500</f>
        <v>1500</v>
      </c>
      <c r="H1063" s="61">
        <v>2</v>
      </c>
      <c r="I1063" s="88">
        <f>E1063-E1062</f>
        <v>0.79999999999999982</v>
      </c>
      <c r="J1063" s="61">
        <f>(0.5*VEHICLE!$C$71*VEHICLE!$C$28*VEHICLE!$C$27*'Drive Cycle'!E1063^2)</f>
        <v>18.094636354409996</v>
      </c>
      <c r="K1063" s="61">
        <f>IF(A1063=1,VEHICLE!$S$5,IF(A1063=2,VEHICLE!$Q$5,IF(A1063=3,VEHICLE!$R$5,IF(A1063=4,VEHICLE!$P$5,1))))</f>
        <v>111.31014600000002</v>
      </c>
      <c r="L1063" s="61">
        <v>0</v>
      </c>
      <c r="M1063" s="61">
        <f t="shared" si="324"/>
        <v>0</v>
      </c>
      <c r="N1063" s="61">
        <f t="shared" si="317"/>
        <v>0</v>
      </c>
      <c r="O1063" s="61">
        <f t="shared" si="318"/>
        <v>0</v>
      </c>
      <c r="P1063" s="61">
        <f t="shared" si="319"/>
        <v>129.40478235441</v>
      </c>
      <c r="Q1063" s="61">
        <f>IF(H1063=1,I1063*VEHICLE!$C$69,IF(H1063=2,VEHICLE!$C$70*I1063,IF(H1063=3,VEHICLE!$C$71*I1063,0)))</f>
        <v>468.11878922409375</v>
      </c>
      <c r="R1063" s="61">
        <f>(J1063+K1063+O1063+Q1063)</f>
        <v>597.52357157850372</v>
      </c>
      <c r="S1063" s="61">
        <f t="shared" si="320"/>
        <v>597.52357157850372</v>
      </c>
      <c r="T1063" s="61">
        <f>ABS((R1063)/((2*PI()*G1063)/60))</f>
        <v>3.8039532012257125</v>
      </c>
      <c r="U1063" s="61">
        <f t="shared" si="321"/>
        <v>4</v>
      </c>
      <c r="V1063" s="61">
        <f>INDEX(BSFC!$D$4:$AD$26,MATCH(U1063,BSFC!$B$4:$B$26,0),MATCH(G1063,BSFC!$D$2:$AD$2,0))</f>
        <v>771.54360288000009</v>
      </c>
      <c r="W1063" s="61">
        <f t="shared" si="325"/>
        <v>0.12805985811705675</v>
      </c>
      <c r="X1063" s="61">
        <f t="shared" si="322"/>
        <v>0.12805985811705675</v>
      </c>
      <c r="Y1063" s="61">
        <f t="shared" si="323"/>
        <v>0.39570496158170537</v>
      </c>
      <c r="Z1063" s="79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</row>
    <row r="1064" spans="1:39" x14ac:dyDescent="0.3">
      <c r="A1064" s="55">
        <v>4</v>
      </c>
      <c r="B1064" s="61" t="s">
        <v>132</v>
      </c>
      <c r="C1064" s="61">
        <f t="shared" ref="C1064:C1111" si="335">C1063+1</f>
        <v>1061</v>
      </c>
      <c r="D1064" s="61">
        <f t="shared" si="316"/>
        <v>11.87847</v>
      </c>
      <c r="E1064" s="61">
        <f t="shared" si="333"/>
        <v>5.31</v>
      </c>
      <c r="F1064" s="88">
        <f>($C$4/E1064)+F1063</f>
        <v>138.01759944773323</v>
      </c>
      <c r="G1064" s="61">
        <f t="shared" si="334"/>
        <v>2000</v>
      </c>
      <c r="H1064" s="61">
        <v>2</v>
      </c>
      <c r="I1064" s="88">
        <f>E1064-E1063</f>
        <v>0.79999999999999982</v>
      </c>
      <c r="J1064" s="61">
        <f>(0.5*VEHICLE!$C$71*VEHICLE!$C$28*VEHICLE!$C$27*'Drive Cycle'!E1064^2)</f>
        <v>25.083366164009991</v>
      </c>
      <c r="K1064" s="61">
        <f>IF(A1064=1,VEHICLE!$S$5,IF(A1064=2,VEHICLE!$Q$5,IF(A1064=3,VEHICLE!$R$5,IF(A1064=4,VEHICLE!$P$5,1))))</f>
        <v>111.31014600000002</v>
      </c>
      <c r="L1064" s="61">
        <v>0</v>
      </c>
      <c r="M1064" s="61">
        <f t="shared" si="324"/>
        <v>0</v>
      </c>
      <c r="N1064" s="61">
        <f t="shared" si="317"/>
        <v>0</v>
      </c>
      <c r="O1064" s="61">
        <f t="shared" si="318"/>
        <v>0</v>
      </c>
      <c r="P1064" s="61">
        <f t="shared" si="319"/>
        <v>136.39351216401002</v>
      </c>
      <c r="Q1064" s="61">
        <f>IF(H1064=1,I1064*VEHICLE!$C$69,IF(H1064=2,VEHICLE!$C$70*I1064,IF(H1064=3,VEHICLE!$C$71*I1064,0)))</f>
        <v>468.11878922409375</v>
      </c>
      <c r="R1064" s="61">
        <f>(J1064+K1064+O1064+Q1064)</f>
        <v>604.51230138810377</v>
      </c>
      <c r="S1064" s="61">
        <f t="shared" si="320"/>
        <v>604.51230138810377</v>
      </c>
      <c r="T1064" s="61">
        <f>ABS((R1064)/((2*PI()*G1064)/60))</f>
        <v>2.8863336277732303</v>
      </c>
      <c r="U1064" s="61">
        <f t="shared" si="321"/>
        <v>3</v>
      </c>
      <c r="V1064" s="61">
        <f>INDEX(BSFC!$D$4:$AD$26,MATCH(U1064,BSFC!$B$4:$B$26,0),MATCH(G1064,BSFC!$D$2:$AD$2,0))</f>
        <v>871.70053920000043</v>
      </c>
      <c r="W1064" s="61">
        <f t="shared" si="325"/>
        <v>0.14637602752028978</v>
      </c>
      <c r="X1064" s="61">
        <f t="shared" si="322"/>
        <v>0.14637602752028978</v>
      </c>
      <c r="Y1064" s="61">
        <f t="shared" si="323"/>
        <v>0.4523019250376954</v>
      </c>
      <c r="Z1064" s="79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</row>
    <row r="1065" spans="1:39" x14ac:dyDescent="0.3">
      <c r="A1065" s="55">
        <v>4</v>
      </c>
      <c r="B1065" s="62" t="s">
        <v>135</v>
      </c>
      <c r="C1065" s="62">
        <f t="shared" si="335"/>
        <v>1062</v>
      </c>
      <c r="D1065" s="62">
        <f t="shared" si="316"/>
        <v>13.66807</v>
      </c>
      <c r="E1065" s="62">
        <f t="shared" si="333"/>
        <v>6.1099999999999994</v>
      </c>
      <c r="F1065" s="87">
        <f>($C$4/E1065)+F1064</f>
        <v>138.18126556884616</v>
      </c>
      <c r="G1065" s="62">
        <f t="shared" si="334"/>
        <v>2500</v>
      </c>
      <c r="H1065" s="62">
        <v>2</v>
      </c>
      <c r="I1065" s="87">
        <f>E1065-E1064</f>
        <v>0.79999999999999982</v>
      </c>
      <c r="J1065" s="62">
        <f>(0.5*VEHICLE!$C$71*VEHICLE!$C$28*VEHICLE!$C$27*'Drive Cycle'!E1065^2)</f>
        <v>33.210789221609986</v>
      </c>
      <c r="K1065" s="62">
        <f>IF(A1065=1,VEHICLE!$S$5,IF(A1065=2,VEHICLE!$Q$5,IF(A1065=3,VEHICLE!$R$5,IF(A1065=4,VEHICLE!$P$5,1))))</f>
        <v>111.31014600000002</v>
      </c>
      <c r="L1065" s="62">
        <v>0</v>
      </c>
      <c r="M1065" s="62">
        <f t="shared" si="324"/>
        <v>0</v>
      </c>
      <c r="N1065" s="62">
        <f t="shared" si="317"/>
        <v>0</v>
      </c>
      <c r="O1065" s="62">
        <f t="shared" si="318"/>
        <v>0</v>
      </c>
      <c r="P1065" s="62">
        <f t="shared" si="319"/>
        <v>144.52093522160999</v>
      </c>
      <c r="Q1065" s="62">
        <f>IF(H1065=1,I1065*VEHICLE!$C$69,IF(H1065=2,VEHICLE!$C$70*I1065,IF(H1065=3,VEHICLE!$C$71*I1065,0)))</f>
        <v>468.11878922409375</v>
      </c>
      <c r="R1065" s="62">
        <f>(J1065+K1065+O1065+Q1065)</f>
        <v>612.63972444570368</v>
      </c>
      <c r="S1065" s="62">
        <f t="shared" si="320"/>
        <v>612.63972444570368</v>
      </c>
      <c r="T1065" s="62">
        <f>ABS((R1065)/((2*PI()*G1065)/60))</f>
        <v>2.3401113715197699</v>
      </c>
      <c r="U1065" s="62">
        <f t="shared" si="321"/>
        <v>3</v>
      </c>
      <c r="V1065" s="62">
        <f>INDEX(BSFC!$D$4:$AD$26,MATCH(U1065,BSFC!$B$4:$B$26,0),MATCH(G1065,BSFC!$D$2:$AD$2,0))</f>
        <v>898.36185024000031</v>
      </c>
      <c r="W1065" s="62">
        <f t="shared" si="325"/>
        <v>0.15288115455099066</v>
      </c>
      <c r="X1065" s="62">
        <f t="shared" si="322"/>
        <v>0.15288115455099066</v>
      </c>
      <c r="Y1065" s="62">
        <f t="shared" si="323"/>
        <v>0.47240276756256111</v>
      </c>
      <c r="Z1065" s="79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</row>
    <row r="1066" spans="1:39" x14ac:dyDescent="0.3">
      <c r="A1066" s="55">
        <v>4</v>
      </c>
      <c r="B1066" s="62" t="s">
        <v>135</v>
      </c>
      <c r="C1066" s="62">
        <f t="shared" si="335"/>
        <v>1063</v>
      </c>
      <c r="D1066" s="62">
        <f t="shared" si="316"/>
        <v>15.457669999999998</v>
      </c>
      <c r="E1066" s="62">
        <f t="shared" si="333"/>
        <v>6.9099999999999993</v>
      </c>
      <c r="F1066" s="87">
        <f>($C$4/E1066)+F1065</f>
        <v>138.3259833691356</v>
      </c>
      <c r="G1066" s="62">
        <f t="shared" si="334"/>
        <v>3000</v>
      </c>
      <c r="H1066" s="62">
        <v>2</v>
      </c>
      <c r="I1066" s="87">
        <f>E1066-E1065</f>
        <v>0.79999999999999982</v>
      </c>
      <c r="J1066" s="62">
        <f>(0.5*VEHICLE!$C$71*VEHICLE!$C$28*VEHICLE!$C$27*'Drive Cycle'!E1066^2)</f>
        <v>42.476905527209986</v>
      </c>
      <c r="K1066" s="62">
        <f>IF(A1066=1,VEHICLE!$S$5,IF(A1066=2,VEHICLE!$Q$5,IF(A1066=3,VEHICLE!$R$5,IF(A1066=4,VEHICLE!$P$5,1))))</f>
        <v>111.31014600000002</v>
      </c>
      <c r="L1066" s="62">
        <v>0</v>
      </c>
      <c r="M1066" s="62">
        <f t="shared" si="324"/>
        <v>0</v>
      </c>
      <c r="N1066" s="62">
        <f t="shared" si="317"/>
        <v>0</v>
      </c>
      <c r="O1066" s="62">
        <f t="shared" si="318"/>
        <v>0</v>
      </c>
      <c r="P1066" s="62">
        <f t="shared" si="319"/>
        <v>153.78705152721</v>
      </c>
      <c r="Q1066" s="62">
        <f>IF(H1066=1,I1066*VEHICLE!$C$69,IF(H1066=2,VEHICLE!$C$70*I1066,IF(H1066=3,VEHICLE!$C$71*I1066,0)))</f>
        <v>468.11878922409375</v>
      </c>
      <c r="R1066" s="62">
        <f>(J1066+K1066+O1066+Q1066)</f>
        <v>621.90584075130369</v>
      </c>
      <c r="S1066" s="62">
        <f t="shared" si="320"/>
        <v>621.90584075130369</v>
      </c>
      <c r="T1066" s="62">
        <f>ABS((R1066)/((2*PI()*G1066)/60))</f>
        <v>1.9795877738658212</v>
      </c>
      <c r="U1066" s="62">
        <f t="shared" si="321"/>
        <v>2</v>
      </c>
      <c r="V1066" s="62">
        <f>INDEX(BSFC!$D$4:$AD$26,MATCH(U1066,BSFC!$B$4:$B$26,0),MATCH(G1066,BSFC!$D$2:$AD$2,0))</f>
        <v>929.28963552000016</v>
      </c>
      <c r="W1066" s="62">
        <f t="shared" si="325"/>
        <v>0.16053629224431618</v>
      </c>
      <c r="X1066" s="62">
        <f t="shared" si="322"/>
        <v>0.16053629224431618</v>
      </c>
      <c r="Y1066" s="62">
        <f t="shared" si="323"/>
        <v>0.49605714303493698</v>
      </c>
      <c r="Z1066" s="79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</row>
    <row r="1067" spans="1:39" x14ac:dyDescent="0.3">
      <c r="A1067" s="55">
        <v>4</v>
      </c>
      <c r="B1067" s="62" t="s">
        <v>135</v>
      </c>
      <c r="C1067" s="62">
        <f t="shared" si="335"/>
        <v>1064</v>
      </c>
      <c r="D1067" s="62">
        <f t="shared" si="316"/>
        <v>17.24727</v>
      </c>
      <c r="E1067" s="62">
        <f t="shared" si="333"/>
        <v>7.7099999999999991</v>
      </c>
      <c r="F1067" s="87">
        <f>($C$4/E1067)+F1066</f>
        <v>138.45568505525753</v>
      </c>
      <c r="G1067" s="62">
        <f t="shared" si="334"/>
        <v>3500</v>
      </c>
      <c r="H1067" s="62">
        <v>2</v>
      </c>
      <c r="I1067" s="87">
        <f>E1067-E1066</f>
        <v>0.79999999999999982</v>
      </c>
      <c r="J1067" s="62">
        <f>(0.5*VEHICLE!$C$71*VEHICLE!$C$28*VEHICLE!$C$27*'Drive Cycle'!E1067^2)</f>
        <v>52.881715080809983</v>
      </c>
      <c r="K1067" s="62">
        <f>IF(A1067=1,VEHICLE!$S$5,IF(A1067=2,VEHICLE!$Q$5,IF(A1067=3,VEHICLE!$R$5,IF(A1067=4,VEHICLE!$P$5,1))))</f>
        <v>111.31014600000002</v>
      </c>
      <c r="L1067" s="62">
        <v>0</v>
      </c>
      <c r="M1067" s="62">
        <f t="shared" si="324"/>
        <v>0</v>
      </c>
      <c r="N1067" s="62">
        <f t="shared" si="317"/>
        <v>0</v>
      </c>
      <c r="O1067" s="62">
        <f t="shared" si="318"/>
        <v>0</v>
      </c>
      <c r="P1067" s="62">
        <f t="shared" si="319"/>
        <v>164.19186108080999</v>
      </c>
      <c r="Q1067" s="62">
        <f>IF(H1067=1,I1067*VEHICLE!$C$69,IF(H1067=2,VEHICLE!$C$70*I1067,IF(H1067=3,VEHICLE!$C$71*I1067,0)))</f>
        <v>468.11878922409375</v>
      </c>
      <c r="R1067" s="62">
        <f>(J1067+K1067+O1067+Q1067)</f>
        <v>632.31065030490367</v>
      </c>
      <c r="S1067" s="62">
        <f t="shared" si="320"/>
        <v>632.31065030490367</v>
      </c>
      <c r="T1067" s="62">
        <f>ABS((R1067)/((2*PI()*G1067)/60))</f>
        <v>1.7251776954115936</v>
      </c>
      <c r="U1067" s="62">
        <f t="shared" si="321"/>
        <v>2</v>
      </c>
      <c r="V1067" s="62">
        <f>INDEX(BSFC!$D$4:$AD$26,MATCH(U1067,BSFC!$B$4:$B$26,0),MATCH(G1067,BSFC!$D$2:$AD$2,0))</f>
        <v>905.74442879999992</v>
      </c>
      <c r="W1067" s="62">
        <f t="shared" si="325"/>
        <v>0.15908662466238099</v>
      </c>
      <c r="X1067" s="62">
        <f t="shared" si="322"/>
        <v>0.15908662466238099</v>
      </c>
      <c r="Y1067" s="62">
        <f t="shared" si="323"/>
        <v>0.49157767020675724</v>
      </c>
      <c r="Z1067" s="79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</row>
    <row r="1068" spans="1:39" x14ac:dyDescent="0.3">
      <c r="A1068" s="55">
        <v>4</v>
      </c>
      <c r="B1068" s="62" t="s">
        <v>135</v>
      </c>
      <c r="C1068" s="62">
        <f t="shared" si="335"/>
        <v>1065</v>
      </c>
      <c r="D1068" s="62">
        <f t="shared" si="316"/>
        <v>19.03687</v>
      </c>
      <c r="E1068" s="62">
        <f t="shared" si="333"/>
        <v>8.51</v>
      </c>
      <c r="F1068" s="87">
        <f>($C$4/E1068)+F1067</f>
        <v>138.57319386841851</v>
      </c>
      <c r="G1068" s="62">
        <f t="shared" si="334"/>
        <v>4000</v>
      </c>
      <c r="H1068" s="62">
        <v>3</v>
      </c>
      <c r="I1068" s="87">
        <f>E1068-E1067</f>
        <v>0.80000000000000071</v>
      </c>
      <c r="J1068" s="62">
        <f>(0.5*VEHICLE!$C$71*VEHICLE!$C$28*VEHICLE!$C$27*'Drive Cycle'!E1068^2)</f>
        <v>64.425217882409981</v>
      </c>
      <c r="K1068" s="62">
        <f>IF(A1068=1,VEHICLE!$S$5,IF(A1068=2,VEHICLE!$Q$5,IF(A1068=3,VEHICLE!$R$5,IF(A1068=4,VEHICLE!$P$5,1))))</f>
        <v>111.31014600000002</v>
      </c>
      <c r="L1068" s="62">
        <v>0</v>
      </c>
      <c r="M1068" s="62">
        <f t="shared" si="324"/>
        <v>0</v>
      </c>
      <c r="N1068" s="62">
        <f t="shared" si="317"/>
        <v>0</v>
      </c>
      <c r="O1068" s="62">
        <f t="shared" si="318"/>
        <v>0</v>
      </c>
      <c r="P1068" s="62">
        <f t="shared" si="319"/>
        <v>175.73536388241001</v>
      </c>
      <c r="Q1068" s="62">
        <f>IF(H1068=1,I1068*VEHICLE!$C$69,IF(H1068=2,VEHICLE!$C$70*I1068,IF(H1068=3,VEHICLE!$C$71*I1068,0)))</f>
        <v>0.93360000000000087</v>
      </c>
      <c r="R1068" s="62">
        <f>(J1068+K1068+O1068+Q1068)</f>
        <v>176.66896388241003</v>
      </c>
      <c r="S1068" s="62">
        <f t="shared" si="320"/>
        <v>176.66896388241003</v>
      </c>
      <c r="T1068" s="62">
        <f>ABS((R1068)/((2*PI()*G1068)/60))</f>
        <v>0.42176608339213623</v>
      </c>
      <c r="U1068" s="62">
        <f t="shared" si="321"/>
        <v>1</v>
      </c>
      <c r="V1068" s="62">
        <f>INDEX(BSFC!$D$4:$AD$26,MATCH(U1068,BSFC!$B$4:$B$26,0),MATCH(G1068,BSFC!$D$2:$AD$2,0))</f>
        <v>1026.1408156799998</v>
      </c>
      <c r="W1068" s="62">
        <f t="shared" si="325"/>
        <v>5.0357565195454625E-2</v>
      </c>
      <c r="X1068" s="62">
        <f t="shared" si="322"/>
        <v>5.0357565195454625E-2</v>
      </c>
      <c r="Y1068" s="62">
        <f t="shared" si="323"/>
        <v>0.15560487645395479</v>
      </c>
      <c r="Z1068" s="79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</row>
    <row r="1069" spans="1:39" x14ac:dyDescent="0.3">
      <c r="A1069" s="55">
        <v>4</v>
      </c>
      <c r="B1069" s="62" t="s">
        <v>135</v>
      </c>
      <c r="C1069" s="62">
        <f t="shared" si="335"/>
        <v>1066</v>
      </c>
      <c r="D1069" s="62">
        <f t="shared" si="316"/>
        <v>20.82647</v>
      </c>
      <c r="E1069" s="62">
        <f t="shared" si="333"/>
        <v>9.31</v>
      </c>
      <c r="F1069" s="87">
        <f>($C$4/E1069)+F1068</f>
        <v>138.68060525402538</v>
      </c>
      <c r="G1069" s="62">
        <f t="shared" si="334"/>
        <v>4500</v>
      </c>
      <c r="H1069" s="62">
        <v>3</v>
      </c>
      <c r="I1069" s="87">
        <f>E1069-E1068</f>
        <v>0.80000000000000071</v>
      </c>
      <c r="J1069" s="62">
        <f>(0.5*VEHICLE!$C$71*VEHICLE!$C$28*VEHICLE!$C$27*'Drive Cycle'!E1069^2)</f>
        <v>77.10741393200999</v>
      </c>
      <c r="K1069" s="62">
        <f>IF(A1069=1,VEHICLE!$S$5,IF(A1069=2,VEHICLE!$Q$5,IF(A1069=3,VEHICLE!$R$5,IF(A1069=4,VEHICLE!$P$5,1))))</f>
        <v>111.31014600000002</v>
      </c>
      <c r="L1069" s="62">
        <v>0</v>
      </c>
      <c r="M1069" s="62">
        <f t="shared" si="324"/>
        <v>0</v>
      </c>
      <c r="N1069" s="62">
        <f t="shared" si="317"/>
        <v>0</v>
      </c>
      <c r="O1069" s="62">
        <f t="shared" si="318"/>
        <v>0</v>
      </c>
      <c r="P1069" s="62">
        <f t="shared" si="319"/>
        <v>188.41755993201002</v>
      </c>
      <c r="Q1069" s="62">
        <f>IF(H1069=1,I1069*VEHICLE!$C$69,IF(H1069=2,VEHICLE!$C$70*I1069,IF(H1069=3,VEHICLE!$C$71*I1069,0)))</f>
        <v>0.93360000000000087</v>
      </c>
      <c r="R1069" s="62">
        <f>(J1069+K1069+O1069+Q1069)</f>
        <v>189.35115993201003</v>
      </c>
      <c r="S1069" s="62">
        <f t="shared" si="320"/>
        <v>189.35115993201003</v>
      </c>
      <c r="T1069" s="62">
        <f>ABS((R1069)/((2*PI()*G1069)/60))</f>
        <v>0.40181564111151236</v>
      </c>
      <c r="U1069" s="62">
        <f t="shared" si="321"/>
        <v>1</v>
      </c>
      <c r="V1069" s="62">
        <f>INDEX(BSFC!$D$4:$AD$26,MATCH(U1069,BSFC!$B$4:$B$26,0),MATCH(G1069,BSFC!$D$2:$AD$2,0))</f>
        <v>996.72332351999967</v>
      </c>
      <c r="W1069" s="62">
        <f t="shared" si="325"/>
        <v>5.2425199288833338E-2</v>
      </c>
      <c r="X1069" s="62">
        <f t="shared" si="322"/>
        <v>5.2425199288833338E-2</v>
      </c>
      <c r="Y1069" s="62">
        <f t="shared" si="323"/>
        <v>0.161993865802495</v>
      </c>
      <c r="Z1069" s="79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</row>
    <row r="1070" spans="1:39" x14ac:dyDescent="0.3">
      <c r="A1070" s="55">
        <v>4</v>
      </c>
      <c r="B1070" s="62" t="s">
        <v>135</v>
      </c>
      <c r="C1070" s="62">
        <f t="shared" si="335"/>
        <v>1067</v>
      </c>
      <c r="D1070" s="62">
        <f t="shared" si="316"/>
        <v>22.616070000000004</v>
      </c>
      <c r="E1070" s="62">
        <f t="shared" si="333"/>
        <v>10.110000000000001</v>
      </c>
      <c r="F1070" s="87">
        <f>($C$4/E1070)+F1069</f>
        <v>138.77951722237356</v>
      </c>
      <c r="G1070" s="62">
        <f t="shared" si="334"/>
        <v>5000</v>
      </c>
      <c r="H1070" s="62">
        <v>3</v>
      </c>
      <c r="I1070" s="87">
        <f>E1070-E1069</f>
        <v>0.80000000000000071</v>
      </c>
      <c r="J1070" s="62">
        <f>(0.5*VEHICLE!$C$71*VEHICLE!$C$28*VEHICLE!$C$27*'Drive Cycle'!E1070^2)</f>
        <v>90.928303229610009</v>
      </c>
      <c r="K1070" s="62">
        <f>IF(A1070=1,VEHICLE!$S$5,IF(A1070=2,VEHICLE!$Q$5,IF(A1070=3,VEHICLE!$R$5,IF(A1070=4,VEHICLE!$P$5,1))))</f>
        <v>111.31014600000002</v>
      </c>
      <c r="L1070" s="62">
        <v>0</v>
      </c>
      <c r="M1070" s="62">
        <f t="shared" si="324"/>
        <v>0</v>
      </c>
      <c r="N1070" s="62">
        <f t="shared" si="317"/>
        <v>0</v>
      </c>
      <c r="O1070" s="62">
        <f t="shared" si="318"/>
        <v>0</v>
      </c>
      <c r="P1070" s="62">
        <f t="shared" si="319"/>
        <v>202.23844922961001</v>
      </c>
      <c r="Q1070" s="62">
        <f>IF(H1070=1,I1070*VEHICLE!$C$69,IF(H1070=2,VEHICLE!$C$70*I1070,IF(H1070=3,VEHICLE!$C$71*I1070,0)))</f>
        <v>0.93360000000000087</v>
      </c>
      <c r="R1070" s="62">
        <f>(J1070+K1070+O1070+Q1070)</f>
        <v>203.17204922961002</v>
      </c>
      <c r="S1070" s="62">
        <f t="shared" si="320"/>
        <v>203.17204922961002</v>
      </c>
      <c r="T1070" s="62">
        <f>ABS((R1070)/((2*PI()*G1070)/60))</f>
        <v>0.38803003119602808</v>
      </c>
      <c r="U1070" s="62">
        <f t="shared" si="321"/>
        <v>1</v>
      </c>
      <c r="V1070" s="62">
        <f>INDEX(BSFC!$D$4:$AD$26,MATCH(U1070,BSFC!$B$4:$B$26,0),MATCH(G1070,BSFC!$D$2:$AD$2,0))</f>
        <v>967.30583135999973</v>
      </c>
      <c r="W1070" s="62">
        <f t="shared" si="325"/>
        <v>5.4591529996989643E-2</v>
      </c>
      <c r="X1070" s="62">
        <f t="shared" si="322"/>
        <v>5.4591529996989643E-2</v>
      </c>
      <c r="Y1070" s="62">
        <f t="shared" si="323"/>
        <v>0.16868782769069798</v>
      </c>
      <c r="Z1070" s="79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</row>
    <row r="1071" spans="1:39" x14ac:dyDescent="0.3">
      <c r="A1071" s="55">
        <v>4</v>
      </c>
      <c r="B1071" s="62" t="s">
        <v>135</v>
      </c>
      <c r="C1071" s="62">
        <f t="shared" si="335"/>
        <v>1068</v>
      </c>
      <c r="D1071" s="62">
        <f t="shared" si="316"/>
        <v>24.405670000000004</v>
      </c>
      <c r="E1071" s="62">
        <f t="shared" si="333"/>
        <v>10.910000000000002</v>
      </c>
      <c r="F1071" s="87">
        <f>($C$4/E1071)+F1070</f>
        <v>138.87117625078787</v>
      </c>
      <c r="G1071" s="62">
        <f t="shared" si="334"/>
        <v>5500</v>
      </c>
      <c r="H1071" s="62">
        <v>3</v>
      </c>
      <c r="I1071" s="87">
        <f>E1071-E1070</f>
        <v>0.80000000000000071</v>
      </c>
      <c r="J1071" s="62">
        <f>(0.5*VEHICLE!$C$71*VEHICLE!$C$28*VEHICLE!$C$27*'Drive Cycle'!E1071^2)</f>
        <v>105.88788577521002</v>
      </c>
      <c r="K1071" s="62">
        <f>IF(A1071=1,VEHICLE!$S$5,IF(A1071=2,VEHICLE!$Q$5,IF(A1071=3,VEHICLE!$R$5,IF(A1071=4,VEHICLE!$P$5,1))))</f>
        <v>111.31014600000002</v>
      </c>
      <c r="L1071" s="62">
        <v>0</v>
      </c>
      <c r="M1071" s="62">
        <f t="shared" si="324"/>
        <v>0</v>
      </c>
      <c r="N1071" s="62">
        <f t="shared" si="317"/>
        <v>0</v>
      </c>
      <c r="O1071" s="62">
        <f t="shared" si="318"/>
        <v>0</v>
      </c>
      <c r="P1071" s="62">
        <f t="shared" si="319"/>
        <v>217.19803177521004</v>
      </c>
      <c r="Q1071" s="62">
        <f>IF(H1071=1,I1071*VEHICLE!$C$69,IF(H1071=2,VEHICLE!$C$70*I1071,IF(H1071=3,VEHICLE!$C$71*I1071,0)))</f>
        <v>0.93360000000000087</v>
      </c>
      <c r="R1071" s="62">
        <f>(J1071+K1071+O1071+Q1071)</f>
        <v>218.13163177521005</v>
      </c>
      <c r="S1071" s="62">
        <f t="shared" si="320"/>
        <v>218.13163177521005</v>
      </c>
      <c r="T1071" s="62">
        <f>ABS((R1071)/((2*PI()*G1071)/60))</f>
        <v>0.37872793572791819</v>
      </c>
      <c r="U1071" s="62">
        <f t="shared" si="321"/>
        <v>1</v>
      </c>
      <c r="V1071" s="62">
        <f>INDEX(BSFC!$D$4:$AD$26,MATCH(U1071,BSFC!$B$4:$B$26,0),MATCH(G1071,BSFC!$D$2:$AD$2,0))</f>
        <v>937.88833920000002</v>
      </c>
      <c r="W1071" s="62">
        <f t="shared" si="325"/>
        <v>5.6828642736843807E-2</v>
      </c>
      <c r="X1071" s="62">
        <f t="shared" si="322"/>
        <v>5.6828642736843807E-2</v>
      </c>
      <c r="Y1071" s="62">
        <f t="shared" si="323"/>
        <v>0.17560050605684735</v>
      </c>
      <c r="Z1071" s="79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</row>
    <row r="1072" spans="1:39" x14ac:dyDescent="0.3">
      <c r="A1072" s="55">
        <v>4</v>
      </c>
      <c r="B1072" s="62" t="s">
        <v>135</v>
      </c>
      <c r="C1072" s="62">
        <f t="shared" si="335"/>
        <v>1069</v>
      </c>
      <c r="D1072" s="62">
        <f t="shared" si="316"/>
        <v>26.195270000000008</v>
      </c>
      <c r="E1072" s="62">
        <f>E1071+0.8</f>
        <v>11.710000000000003</v>
      </c>
      <c r="F1072" s="87">
        <f>($C$4/E1072)+F1071</f>
        <v>138.95657334728659</v>
      </c>
      <c r="G1072" s="62">
        <f>G1071+500</f>
        <v>6000</v>
      </c>
      <c r="H1072" s="62">
        <v>3</v>
      </c>
      <c r="I1072" s="87">
        <f>E1072-E1071</f>
        <v>0.80000000000000071</v>
      </c>
      <c r="J1072" s="62">
        <f>(0.5*VEHICLE!$C$71*VEHICLE!$C$28*VEHICLE!$C$27*'Drive Cycle'!E1072^2)</f>
        <v>121.98616156881003</v>
      </c>
      <c r="K1072" s="62">
        <f>IF(A1072=1,VEHICLE!$S$5,IF(A1072=2,VEHICLE!$Q$5,IF(A1072=3,VEHICLE!$R$5,IF(A1072=4,VEHICLE!$P$5,1))))</f>
        <v>111.31014600000002</v>
      </c>
      <c r="L1072" s="62">
        <v>0</v>
      </c>
      <c r="M1072" s="62">
        <f t="shared" si="324"/>
        <v>0</v>
      </c>
      <c r="N1072" s="62">
        <f t="shared" si="317"/>
        <v>0</v>
      </c>
      <c r="O1072" s="62">
        <f t="shared" si="318"/>
        <v>0</v>
      </c>
      <c r="P1072" s="62">
        <f t="shared" si="319"/>
        <v>233.29630756881005</v>
      </c>
      <c r="Q1072" s="62">
        <f>IF(H1072=1,I1072*VEHICLE!$C$69,IF(H1072=2,VEHICLE!$C$70*I1072,IF(H1072=3,VEHICLE!$C$71*I1072,0)))</f>
        <v>0.93360000000000087</v>
      </c>
      <c r="R1072" s="62">
        <f>(J1072+K1072+O1072+Q1072)</f>
        <v>234.22990756881006</v>
      </c>
      <c r="S1072" s="62">
        <f t="shared" si="320"/>
        <v>234.22990756881006</v>
      </c>
      <c r="T1072" s="62">
        <f>ABS((R1072)/((2*PI()*G1072)/60))</f>
        <v>0.37278847609533872</v>
      </c>
      <c r="U1072" s="62">
        <f t="shared" si="321"/>
        <v>1</v>
      </c>
      <c r="V1072" s="62">
        <f>INDEX(BSFC!$D$4:$AD$26,MATCH(U1072,BSFC!$B$4:$B$26,0),MATCH(G1072,BSFC!$D$2:$AD$2,0))</f>
        <v>933.91499472000044</v>
      </c>
      <c r="W1072" s="62">
        <f t="shared" si="325"/>
        <v>6.076411746955318E-2</v>
      </c>
      <c r="X1072" s="62">
        <f t="shared" si="322"/>
        <v>6.076411746955318E-2</v>
      </c>
      <c r="Y1072" s="62">
        <f t="shared" si="323"/>
        <v>0.18776112298091932</v>
      </c>
      <c r="Z1072" s="79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</row>
    <row r="1073" spans="1:39" x14ac:dyDescent="0.3">
      <c r="A1073" s="55">
        <v>4</v>
      </c>
      <c r="B1073" s="62" t="s">
        <v>135</v>
      </c>
      <c r="C1073" s="62">
        <f t="shared" si="335"/>
        <v>1070</v>
      </c>
      <c r="D1073" s="62">
        <f t="shared" si="316"/>
        <v>27.984870000000008</v>
      </c>
      <c r="E1073" s="62">
        <f t="shared" si="333"/>
        <v>12.510000000000003</v>
      </c>
      <c r="F1073" s="87">
        <f>($C$4/E1073)+F1072</f>
        <v>139.03650939844567</v>
      </c>
      <c r="G1073" s="62">
        <f t="shared" si="334"/>
        <v>6500</v>
      </c>
      <c r="H1073" s="62">
        <v>3</v>
      </c>
      <c r="I1073" s="87">
        <f>E1073-E1072</f>
        <v>0.80000000000000071</v>
      </c>
      <c r="J1073" s="62">
        <f>(0.5*VEHICLE!$C$71*VEHICLE!$C$28*VEHICLE!$C$27*'Drive Cycle'!E1073^2)</f>
        <v>139.22313061041007</v>
      </c>
      <c r="K1073" s="62">
        <f>IF(A1073=1,VEHICLE!$S$5,IF(A1073=2,VEHICLE!$Q$5,IF(A1073=3,VEHICLE!$R$5,IF(A1073=4,VEHICLE!$P$5,1))))</f>
        <v>111.31014600000002</v>
      </c>
      <c r="L1073" s="62">
        <v>0</v>
      </c>
      <c r="M1073" s="62">
        <f t="shared" si="324"/>
        <v>0</v>
      </c>
      <c r="N1073" s="62">
        <f t="shared" si="317"/>
        <v>0</v>
      </c>
      <c r="O1073" s="62">
        <f t="shared" si="318"/>
        <v>0</v>
      </c>
      <c r="P1073" s="62">
        <f t="shared" si="319"/>
        <v>250.5332766104101</v>
      </c>
      <c r="Q1073" s="62">
        <f>IF(H1073=1,I1073*VEHICLE!$C$69,IF(H1073=2,VEHICLE!$C$70*I1073,IF(H1073=3,VEHICLE!$C$71*I1073,0)))</f>
        <v>0.93360000000000087</v>
      </c>
      <c r="R1073" s="62">
        <f>(J1073+K1073+O1073+Q1073)</f>
        <v>251.46687661041011</v>
      </c>
      <c r="S1073" s="62">
        <f t="shared" si="320"/>
        <v>251.46687661041011</v>
      </c>
      <c r="T1073" s="62">
        <f>ABS((R1073)/((2*PI()*G1073)/60))</f>
        <v>0.36943565941316758</v>
      </c>
      <c r="U1073" s="62">
        <f t="shared" si="321"/>
        <v>1</v>
      </c>
      <c r="V1073" s="62">
        <f>INDEX(BSFC!$D$4:$AD$26,MATCH(U1073,BSFC!$B$4:$B$26,0),MATCH(G1073,BSFC!$D$2:$AD$2,0))</f>
        <v>925.65735288000019</v>
      </c>
      <c r="W1073" s="62">
        <f t="shared" si="325"/>
        <v>6.4658934261164952E-2</v>
      </c>
      <c r="X1073" s="62">
        <f t="shared" si="322"/>
        <v>6.4658934261164952E-2</v>
      </c>
      <c r="Y1073" s="62">
        <f t="shared" si="323"/>
        <v>0.1997961068669997</v>
      </c>
      <c r="Z1073" s="79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</row>
    <row r="1074" spans="1:39" x14ac:dyDescent="0.3">
      <c r="A1074" s="55">
        <v>4</v>
      </c>
      <c r="B1074" s="62" t="s">
        <v>135</v>
      </c>
      <c r="C1074" s="62">
        <f t="shared" si="335"/>
        <v>1071</v>
      </c>
      <c r="D1074" s="62">
        <f t="shared" si="316"/>
        <v>29.774470000000012</v>
      </c>
      <c r="E1074" s="62">
        <f t="shared" si="333"/>
        <v>13.310000000000004</v>
      </c>
      <c r="F1074" s="87">
        <f>($C$4/E1074)+F1073</f>
        <v>139.11164087853584</v>
      </c>
      <c r="G1074" s="62">
        <v>7000</v>
      </c>
      <c r="H1074" s="62">
        <v>3</v>
      </c>
      <c r="I1074" s="87">
        <f>E1074-E1073</f>
        <v>0.80000000000000071</v>
      </c>
      <c r="J1074" s="62">
        <f>(0.5*VEHICLE!$C$71*VEHICLE!$C$28*VEHICLE!$C$27*'Drive Cycle'!E1074^2)</f>
        <v>157.59879290001007</v>
      </c>
      <c r="K1074" s="62">
        <f>IF(A1074=1,VEHICLE!$S$5,IF(A1074=2,VEHICLE!$Q$5,IF(A1074=3,VEHICLE!$R$5,IF(A1074=4,VEHICLE!$P$5,1))))</f>
        <v>111.31014600000002</v>
      </c>
      <c r="L1074" s="62">
        <v>0</v>
      </c>
      <c r="M1074" s="62">
        <f t="shared" si="324"/>
        <v>0</v>
      </c>
      <c r="N1074" s="62">
        <f t="shared" si="317"/>
        <v>0</v>
      </c>
      <c r="O1074" s="62">
        <f t="shared" si="318"/>
        <v>0</v>
      </c>
      <c r="P1074" s="62">
        <f t="shared" si="319"/>
        <v>268.90893890001007</v>
      </c>
      <c r="Q1074" s="62">
        <f>IF(H1074=1,I1074*VEHICLE!$C$69,IF(H1074=2,VEHICLE!$C$70*I1074,IF(H1074=3,VEHICLE!$C$71*I1074,0)))</f>
        <v>0.93360000000000087</v>
      </c>
      <c r="R1074" s="62">
        <f>(J1074+K1074+O1074+Q1074)</f>
        <v>269.84253890001008</v>
      </c>
      <c r="S1074" s="62">
        <f t="shared" si="320"/>
        <v>269.84253890001008</v>
      </c>
      <c r="T1074" s="62">
        <f>ABS((R1074)/((2*PI()*G1074)/60))</f>
        <v>0.36811520504917428</v>
      </c>
      <c r="U1074" s="62">
        <f t="shared" si="321"/>
        <v>1</v>
      </c>
      <c r="V1074" s="62">
        <f>INDEX(BSFC!$D$4:$AD$26,MATCH(U1074,BSFC!$B$4:$B$26,0),MATCH(G1074,BSFC!$D$2:$AD$2,0))</f>
        <v>920.25590927999997</v>
      </c>
      <c r="W1074" s="62">
        <f t="shared" si="325"/>
        <v>6.8978941943847932E-2</v>
      </c>
      <c r="X1074" s="62">
        <f t="shared" si="322"/>
        <v>6.8978941943847932E-2</v>
      </c>
      <c r="Y1074" s="62">
        <f t="shared" si="323"/>
        <v>0.21314493060649009</v>
      </c>
      <c r="Z1074" s="79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</row>
    <row r="1075" spans="1:39" x14ac:dyDescent="0.3">
      <c r="A1075" s="55">
        <v>4</v>
      </c>
      <c r="B1075" s="62" t="s">
        <v>135</v>
      </c>
      <c r="C1075" s="62">
        <f t="shared" si="335"/>
        <v>1072</v>
      </c>
      <c r="D1075" s="62">
        <f t="shared" si="316"/>
        <v>29.998170000000002</v>
      </c>
      <c r="E1075" s="62">
        <v>13.41</v>
      </c>
      <c r="F1075" s="87">
        <f>($C$4/E1075)+F1074</f>
        <v>139.18621209404665</v>
      </c>
      <c r="G1075" s="62">
        <v>7000</v>
      </c>
      <c r="H1075" s="62">
        <v>3</v>
      </c>
      <c r="I1075" s="87">
        <f>E1075-E1074</f>
        <v>9.9999999999996092E-2</v>
      </c>
      <c r="J1075" s="62">
        <f>(0.5*VEHICLE!$C$71*VEHICLE!$C$28*VEHICLE!$C$27*'Drive Cycle'!E1075^2)</f>
        <v>159.97581505520998</v>
      </c>
      <c r="K1075" s="62">
        <f>IF(A1075=1,VEHICLE!$S$5,IF(A1075=2,VEHICLE!$Q$5,IF(A1075=3,VEHICLE!$R$5,IF(A1075=4,VEHICLE!$P$5,1))))</f>
        <v>111.31014600000002</v>
      </c>
      <c r="L1075" s="62">
        <v>0</v>
      </c>
      <c r="M1075" s="62">
        <f t="shared" si="324"/>
        <v>0</v>
      </c>
      <c r="N1075" s="62">
        <f t="shared" si="317"/>
        <v>0</v>
      </c>
      <c r="O1075" s="62">
        <f t="shared" si="318"/>
        <v>0</v>
      </c>
      <c r="P1075" s="62">
        <f t="shared" si="319"/>
        <v>271.28596105521001</v>
      </c>
      <c r="Q1075" s="62">
        <f>IF(H1075=1,I1075*VEHICLE!$C$69,IF(H1075=2,VEHICLE!$C$70*I1075,IF(H1075=3,VEHICLE!$C$71*I1075,0)))</f>
        <v>0.11669999999999545</v>
      </c>
      <c r="R1075" s="62">
        <f>(J1075+K1075+O1075+Q1075)</f>
        <v>271.40266105520999</v>
      </c>
      <c r="S1075" s="62">
        <f t="shared" si="320"/>
        <v>271.40266105520999</v>
      </c>
      <c r="T1075" s="62">
        <f>ABS((R1075)/((2*PI()*G1075)/60))</f>
        <v>0.37024350064483635</v>
      </c>
      <c r="U1075" s="62">
        <f t="shared" si="321"/>
        <v>1</v>
      </c>
      <c r="V1075" s="62">
        <f>INDEX(BSFC!$D$4:$AD$26,MATCH(U1075,BSFC!$B$4:$B$26,0),MATCH(G1075,BSFC!$D$2:$AD$2,0))</f>
        <v>920.25590927999997</v>
      </c>
      <c r="W1075" s="62">
        <f t="shared" si="325"/>
        <v>6.937775073065941E-2</v>
      </c>
      <c r="X1075" s="62">
        <f t="shared" si="322"/>
        <v>6.937775073065941E-2</v>
      </c>
      <c r="Y1075" s="62">
        <f t="shared" si="323"/>
        <v>0.21437724975773756</v>
      </c>
      <c r="Z1075" s="79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</row>
    <row r="1076" spans="1:39" x14ac:dyDescent="0.3">
      <c r="A1076" s="55">
        <v>4</v>
      </c>
      <c r="B1076" s="62" t="s">
        <v>135</v>
      </c>
      <c r="C1076" s="62">
        <f t="shared" si="335"/>
        <v>1073</v>
      </c>
      <c r="D1076" s="62">
        <f t="shared" si="316"/>
        <v>29.998170000000002</v>
      </c>
      <c r="E1076" s="62">
        <v>13.41</v>
      </c>
      <c r="F1076" s="87">
        <f>($C$4/E1076)+F1075</f>
        <v>139.26078330955747</v>
      </c>
      <c r="G1076" s="62">
        <v>7000</v>
      </c>
      <c r="H1076" s="62">
        <v>3</v>
      </c>
      <c r="I1076" s="87">
        <f>E1076-E1075</f>
        <v>0</v>
      </c>
      <c r="J1076" s="62">
        <f>(0.5*VEHICLE!$C$71*VEHICLE!$C$28*VEHICLE!$C$27*'Drive Cycle'!E1076^2)</f>
        <v>159.97581505520998</v>
      </c>
      <c r="K1076" s="62">
        <f>IF(A1076=1,VEHICLE!$S$5,IF(A1076=2,VEHICLE!$Q$5,IF(A1076=3,VEHICLE!$R$5,IF(A1076=4,VEHICLE!$P$5,1))))</f>
        <v>111.31014600000002</v>
      </c>
      <c r="L1076" s="62">
        <v>0</v>
      </c>
      <c r="M1076" s="62">
        <f t="shared" si="324"/>
        <v>0</v>
      </c>
      <c r="N1076" s="62">
        <f t="shared" si="317"/>
        <v>0</v>
      </c>
      <c r="O1076" s="62">
        <f t="shared" si="318"/>
        <v>0</v>
      </c>
      <c r="P1076" s="62">
        <f t="shared" si="319"/>
        <v>271.28596105521001</v>
      </c>
      <c r="Q1076" s="62">
        <f>IF(H1076=1,I1076*VEHICLE!$C$69,IF(H1076=2,VEHICLE!$C$70*I1076,IF(H1076=3,VEHICLE!$C$71*I1076,0)))</f>
        <v>0</v>
      </c>
      <c r="R1076" s="62">
        <f>(J1076+K1076+O1076+Q1076)</f>
        <v>271.28596105521001</v>
      </c>
      <c r="S1076" s="62">
        <f t="shared" si="320"/>
        <v>271.28596105521001</v>
      </c>
      <c r="T1076" s="62">
        <f>ABS((R1076)/((2*PI()*G1076)/60))</f>
        <v>0.3700843002289036</v>
      </c>
      <c r="U1076" s="62">
        <f t="shared" si="321"/>
        <v>1</v>
      </c>
      <c r="V1076" s="62">
        <f>INDEX(BSFC!$D$4:$AD$26,MATCH(U1076,BSFC!$B$4:$B$26,0),MATCH(G1076,BSFC!$D$2:$AD$2,0))</f>
        <v>920.25590927999997</v>
      </c>
      <c r="W1076" s="62">
        <f t="shared" si="325"/>
        <v>6.9347919101600264E-2</v>
      </c>
      <c r="X1076" s="62">
        <f t="shared" si="322"/>
        <v>6.9347919101600264E-2</v>
      </c>
      <c r="Y1076" s="62">
        <f t="shared" si="323"/>
        <v>0.21428507002394481</v>
      </c>
      <c r="Z1076" s="79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</row>
    <row r="1077" spans="1:39" x14ac:dyDescent="0.3">
      <c r="A1077" s="55">
        <v>4</v>
      </c>
      <c r="B1077" s="62" t="s">
        <v>135</v>
      </c>
      <c r="C1077" s="62">
        <f t="shared" si="335"/>
        <v>1074</v>
      </c>
      <c r="D1077" s="62">
        <f t="shared" si="316"/>
        <v>29.998170000000002</v>
      </c>
      <c r="E1077" s="62">
        <v>13.41</v>
      </c>
      <c r="F1077" s="87">
        <f>($C$4/E1077)+F1076</f>
        <v>139.33535452506828</v>
      </c>
      <c r="G1077" s="62">
        <v>7000</v>
      </c>
      <c r="H1077" s="62">
        <v>3</v>
      </c>
      <c r="I1077" s="87">
        <f>E1077-E1076</f>
        <v>0</v>
      </c>
      <c r="J1077" s="62">
        <f>(0.5*VEHICLE!$C$71*VEHICLE!$C$28*VEHICLE!$C$27*'Drive Cycle'!E1077^2)</f>
        <v>159.97581505520998</v>
      </c>
      <c r="K1077" s="62">
        <f>IF(A1077=1,VEHICLE!$S$5,IF(A1077=2,VEHICLE!$Q$5,IF(A1077=3,VEHICLE!$R$5,IF(A1077=4,VEHICLE!$P$5,1))))</f>
        <v>111.31014600000002</v>
      </c>
      <c r="L1077" s="62">
        <v>0</v>
      </c>
      <c r="M1077" s="62">
        <f t="shared" si="324"/>
        <v>0</v>
      </c>
      <c r="N1077" s="62">
        <f t="shared" si="317"/>
        <v>0</v>
      </c>
      <c r="O1077" s="62">
        <f t="shared" si="318"/>
        <v>0</v>
      </c>
      <c r="P1077" s="62">
        <f t="shared" si="319"/>
        <v>271.28596105521001</v>
      </c>
      <c r="Q1077" s="62">
        <f>IF(H1077=1,I1077*VEHICLE!$C$69,IF(H1077=2,VEHICLE!$C$70*I1077,IF(H1077=3,VEHICLE!$C$71*I1077,0)))</f>
        <v>0</v>
      </c>
      <c r="R1077" s="62">
        <f>(J1077+K1077+O1077+Q1077)</f>
        <v>271.28596105521001</v>
      </c>
      <c r="S1077" s="62">
        <f t="shared" si="320"/>
        <v>271.28596105521001</v>
      </c>
      <c r="T1077" s="62">
        <f>ABS((R1077)/((2*PI()*G1077)/60))</f>
        <v>0.3700843002289036</v>
      </c>
      <c r="U1077" s="62">
        <f t="shared" si="321"/>
        <v>1</v>
      </c>
      <c r="V1077" s="62">
        <f>INDEX(BSFC!$D$4:$AD$26,MATCH(U1077,BSFC!$B$4:$B$26,0),MATCH(G1077,BSFC!$D$2:$AD$2,0))</f>
        <v>920.25590927999997</v>
      </c>
      <c r="W1077" s="62">
        <f t="shared" si="325"/>
        <v>6.9347919101600264E-2</v>
      </c>
      <c r="X1077" s="62">
        <f t="shared" si="322"/>
        <v>6.9347919101600264E-2</v>
      </c>
      <c r="Y1077" s="62">
        <f t="shared" si="323"/>
        <v>0.21428507002394481</v>
      </c>
      <c r="Z1077" s="79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</row>
    <row r="1078" spans="1:39" x14ac:dyDescent="0.3">
      <c r="A1078" s="55">
        <v>4</v>
      </c>
      <c r="B1078" s="62" t="s">
        <v>135</v>
      </c>
      <c r="C1078" s="62">
        <f t="shared" si="335"/>
        <v>1075</v>
      </c>
      <c r="D1078" s="62">
        <f t="shared" si="316"/>
        <v>29.998170000000002</v>
      </c>
      <c r="E1078" s="62">
        <v>13.41</v>
      </c>
      <c r="F1078" s="87">
        <f>($C$4/E1078)+F1077</f>
        <v>139.4099257405791</v>
      </c>
      <c r="G1078" s="62">
        <v>7000</v>
      </c>
      <c r="H1078" s="62">
        <v>3</v>
      </c>
      <c r="I1078" s="87">
        <f>E1078-E1077</f>
        <v>0</v>
      </c>
      <c r="J1078" s="62">
        <f>(0.5*VEHICLE!$C$71*VEHICLE!$C$28*VEHICLE!$C$27*'Drive Cycle'!E1078^2)</f>
        <v>159.97581505520998</v>
      </c>
      <c r="K1078" s="62">
        <f>IF(A1078=1,VEHICLE!$S$5,IF(A1078=2,VEHICLE!$Q$5,IF(A1078=3,VEHICLE!$R$5,IF(A1078=4,VEHICLE!$P$5,1))))</f>
        <v>111.31014600000002</v>
      </c>
      <c r="L1078" s="62">
        <v>0</v>
      </c>
      <c r="M1078" s="62">
        <f t="shared" si="324"/>
        <v>0</v>
      </c>
      <c r="N1078" s="62">
        <f t="shared" si="317"/>
        <v>0</v>
      </c>
      <c r="O1078" s="62">
        <f t="shared" si="318"/>
        <v>0</v>
      </c>
      <c r="P1078" s="62">
        <f t="shared" si="319"/>
        <v>271.28596105521001</v>
      </c>
      <c r="Q1078" s="62">
        <f>IF(H1078=1,I1078*VEHICLE!$C$69,IF(H1078=2,VEHICLE!$C$70*I1078,IF(H1078=3,VEHICLE!$C$71*I1078,0)))</f>
        <v>0</v>
      </c>
      <c r="R1078" s="62">
        <f>(J1078+K1078+O1078+Q1078)</f>
        <v>271.28596105521001</v>
      </c>
      <c r="S1078" s="62">
        <f t="shared" si="320"/>
        <v>271.28596105521001</v>
      </c>
      <c r="T1078" s="62">
        <f>ABS((R1078)/((2*PI()*G1078)/60))</f>
        <v>0.3700843002289036</v>
      </c>
      <c r="U1078" s="62">
        <f t="shared" si="321"/>
        <v>1</v>
      </c>
      <c r="V1078" s="62">
        <f>INDEX(BSFC!$D$4:$AD$26,MATCH(U1078,BSFC!$B$4:$B$26,0),MATCH(G1078,BSFC!$D$2:$AD$2,0))</f>
        <v>920.25590927999997</v>
      </c>
      <c r="W1078" s="62">
        <f t="shared" si="325"/>
        <v>6.9347919101600264E-2</v>
      </c>
      <c r="X1078" s="62">
        <f t="shared" si="322"/>
        <v>6.9347919101600264E-2</v>
      </c>
      <c r="Y1078" s="62">
        <f t="shared" si="323"/>
        <v>0.21428507002394481</v>
      </c>
      <c r="Z1078" s="79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</row>
    <row r="1079" spans="1:39" x14ac:dyDescent="0.3">
      <c r="A1079" s="55">
        <v>4</v>
      </c>
      <c r="B1079" s="62" t="s">
        <v>135</v>
      </c>
      <c r="C1079" s="62">
        <f t="shared" si="335"/>
        <v>1076</v>
      </c>
      <c r="D1079" s="62">
        <f t="shared" si="316"/>
        <v>29.998170000000002</v>
      </c>
      <c r="E1079" s="62">
        <v>13.41</v>
      </c>
      <c r="F1079" s="87">
        <f>($C$4/E1079)+F1078</f>
        <v>139.48449695608991</v>
      </c>
      <c r="G1079" s="62">
        <v>7000</v>
      </c>
      <c r="H1079" s="62">
        <v>3</v>
      </c>
      <c r="I1079" s="87">
        <f>E1079-E1078</f>
        <v>0</v>
      </c>
      <c r="J1079" s="62">
        <f>(0.5*VEHICLE!$C$71*VEHICLE!$C$28*VEHICLE!$C$27*'Drive Cycle'!E1079^2)</f>
        <v>159.97581505520998</v>
      </c>
      <c r="K1079" s="62">
        <f>IF(A1079=1,VEHICLE!$S$5,IF(A1079=2,VEHICLE!$Q$5,IF(A1079=3,VEHICLE!$R$5,IF(A1079=4,VEHICLE!$P$5,1))))</f>
        <v>111.31014600000002</v>
      </c>
      <c r="L1079" s="62">
        <v>0</v>
      </c>
      <c r="M1079" s="62">
        <f t="shared" si="324"/>
        <v>0</v>
      </c>
      <c r="N1079" s="62">
        <f t="shared" si="317"/>
        <v>0</v>
      </c>
      <c r="O1079" s="62">
        <f t="shared" si="318"/>
        <v>0</v>
      </c>
      <c r="P1079" s="62">
        <f t="shared" si="319"/>
        <v>271.28596105521001</v>
      </c>
      <c r="Q1079" s="62">
        <f>IF(H1079=1,I1079*VEHICLE!$C$69,IF(H1079=2,VEHICLE!$C$70*I1079,IF(H1079=3,VEHICLE!$C$71*I1079,0)))</f>
        <v>0</v>
      </c>
      <c r="R1079" s="62">
        <f>(J1079+K1079+O1079+Q1079)</f>
        <v>271.28596105521001</v>
      </c>
      <c r="S1079" s="62">
        <f t="shared" si="320"/>
        <v>271.28596105521001</v>
      </c>
      <c r="T1079" s="62">
        <f>ABS((R1079)/((2*PI()*G1079)/60))</f>
        <v>0.3700843002289036</v>
      </c>
      <c r="U1079" s="62">
        <f t="shared" si="321"/>
        <v>1</v>
      </c>
      <c r="V1079" s="62">
        <f>INDEX(BSFC!$D$4:$AD$26,MATCH(U1079,BSFC!$B$4:$B$26,0),MATCH(G1079,BSFC!$D$2:$AD$2,0))</f>
        <v>920.25590927999997</v>
      </c>
      <c r="W1079" s="62">
        <f t="shared" si="325"/>
        <v>6.9347919101600264E-2</v>
      </c>
      <c r="X1079" s="62">
        <f t="shared" si="322"/>
        <v>6.9347919101600264E-2</v>
      </c>
      <c r="Y1079" s="62">
        <f t="shared" si="323"/>
        <v>0.21428507002394481</v>
      </c>
      <c r="Z1079" s="79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</row>
    <row r="1080" spans="1:39" x14ac:dyDescent="0.3">
      <c r="A1080" s="55">
        <v>4</v>
      </c>
      <c r="B1080" s="62" t="s">
        <v>135</v>
      </c>
      <c r="C1080" s="62">
        <f t="shared" si="335"/>
        <v>1077</v>
      </c>
      <c r="D1080" s="62">
        <f t="shared" si="316"/>
        <v>29.998170000000002</v>
      </c>
      <c r="E1080" s="62">
        <v>13.41</v>
      </c>
      <c r="F1080" s="87">
        <f>($C$4/E1080)+F1079</f>
        <v>139.55906817160073</v>
      </c>
      <c r="G1080" s="62">
        <v>7000</v>
      </c>
      <c r="H1080" s="62">
        <v>3</v>
      </c>
      <c r="I1080" s="87">
        <f>E1080-E1079</f>
        <v>0</v>
      </c>
      <c r="J1080" s="62">
        <f>(0.5*VEHICLE!$C$71*VEHICLE!$C$28*VEHICLE!$C$27*'Drive Cycle'!E1080^2)</f>
        <v>159.97581505520998</v>
      </c>
      <c r="K1080" s="62">
        <f>IF(A1080=1,VEHICLE!$S$5,IF(A1080=2,VEHICLE!$Q$5,IF(A1080=3,VEHICLE!$R$5,IF(A1080=4,VEHICLE!$P$5,1))))</f>
        <v>111.31014600000002</v>
      </c>
      <c r="L1080" s="62">
        <v>0</v>
      </c>
      <c r="M1080" s="62">
        <f t="shared" si="324"/>
        <v>0</v>
      </c>
      <c r="N1080" s="62">
        <f t="shared" si="317"/>
        <v>0</v>
      </c>
      <c r="O1080" s="62">
        <f t="shared" si="318"/>
        <v>0</v>
      </c>
      <c r="P1080" s="62">
        <f t="shared" si="319"/>
        <v>271.28596105521001</v>
      </c>
      <c r="Q1080" s="62">
        <f>IF(H1080=1,I1080*VEHICLE!$C$69,IF(H1080=2,VEHICLE!$C$70*I1080,IF(H1080=3,VEHICLE!$C$71*I1080,0)))</f>
        <v>0</v>
      </c>
      <c r="R1080" s="62">
        <f>(J1080+K1080+O1080+Q1080)</f>
        <v>271.28596105521001</v>
      </c>
      <c r="S1080" s="62">
        <f t="shared" si="320"/>
        <v>271.28596105521001</v>
      </c>
      <c r="T1080" s="62">
        <f>ABS((R1080)/((2*PI()*G1080)/60))</f>
        <v>0.3700843002289036</v>
      </c>
      <c r="U1080" s="62">
        <f t="shared" si="321"/>
        <v>1</v>
      </c>
      <c r="V1080" s="62">
        <f>INDEX(BSFC!$D$4:$AD$26,MATCH(U1080,BSFC!$B$4:$B$26,0),MATCH(G1080,BSFC!$D$2:$AD$2,0))</f>
        <v>920.25590927999997</v>
      </c>
      <c r="W1080" s="62">
        <f t="shared" si="325"/>
        <v>6.9347919101600264E-2</v>
      </c>
      <c r="X1080" s="62">
        <f t="shared" si="322"/>
        <v>6.9347919101600264E-2</v>
      </c>
      <c r="Y1080" s="62">
        <f t="shared" si="323"/>
        <v>0.21428507002394481</v>
      </c>
      <c r="Z1080" s="79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</row>
    <row r="1081" spans="1:39" x14ac:dyDescent="0.3">
      <c r="A1081" s="55">
        <v>4</v>
      </c>
      <c r="B1081" s="62" t="s">
        <v>135</v>
      </c>
      <c r="C1081" s="62">
        <f t="shared" si="335"/>
        <v>1078</v>
      </c>
      <c r="D1081" s="62">
        <f t="shared" si="316"/>
        <v>29.998170000000002</v>
      </c>
      <c r="E1081" s="62">
        <v>13.41</v>
      </c>
      <c r="F1081" s="87">
        <f>($C$4/E1081)+F1080</f>
        <v>139.63363938711154</v>
      </c>
      <c r="G1081" s="62">
        <v>7000</v>
      </c>
      <c r="H1081" s="62">
        <v>3</v>
      </c>
      <c r="I1081" s="87">
        <f>E1081-E1080</f>
        <v>0</v>
      </c>
      <c r="J1081" s="62">
        <f>(0.5*VEHICLE!$C$71*VEHICLE!$C$28*VEHICLE!$C$27*'Drive Cycle'!E1081^2)</f>
        <v>159.97581505520998</v>
      </c>
      <c r="K1081" s="62">
        <f>IF(A1081=1,VEHICLE!$S$5,IF(A1081=2,VEHICLE!$Q$5,IF(A1081=3,VEHICLE!$R$5,IF(A1081=4,VEHICLE!$P$5,1))))</f>
        <v>111.31014600000002</v>
      </c>
      <c r="L1081" s="62">
        <v>0</v>
      </c>
      <c r="M1081" s="62">
        <f t="shared" si="324"/>
        <v>0</v>
      </c>
      <c r="N1081" s="62">
        <f t="shared" si="317"/>
        <v>0</v>
      </c>
      <c r="O1081" s="62">
        <f t="shared" si="318"/>
        <v>0</v>
      </c>
      <c r="P1081" s="62">
        <f t="shared" si="319"/>
        <v>271.28596105521001</v>
      </c>
      <c r="Q1081" s="62">
        <f>IF(H1081=1,I1081*VEHICLE!$C$69,IF(H1081=2,VEHICLE!$C$70*I1081,IF(H1081=3,VEHICLE!$C$71*I1081,0)))</f>
        <v>0</v>
      </c>
      <c r="R1081" s="62">
        <f>(J1081+K1081+O1081+Q1081)</f>
        <v>271.28596105521001</v>
      </c>
      <c r="S1081" s="62">
        <f t="shared" si="320"/>
        <v>271.28596105521001</v>
      </c>
      <c r="T1081" s="62">
        <f>ABS((R1081)/((2*PI()*G1081)/60))</f>
        <v>0.3700843002289036</v>
      </c>
      <c r="U1081" s="62">
        <f t="shared" si="321"/>
        <v>1</v>
      </c>
      <c r="V1081" s="62">
        <f>INDEX(BSFC!$D$4:$AD$26,MATCH(U1081,BSFC!$B$4:$B$26,0),MATCH(G1081,BSFC!$D$2:$AD$2,0))</f>
        <v>920.25590927999997</v>
      </c>
      <c r="W1081" s="62">
        <f t="shared" si="325"/>
        <v>6.9347919101600264E-2</v>
      </c>
      <c r="X1081" s="62">
        <f t="shared" si="322"/>
        <v>6.9347919101600264E-2</v>
      </c>
      <c r="Y1081" s="62">
        <f t="shared" si="323"/>
        <v>0.21428507002394481</v>
      </c>
      <c r="Z1081" s="79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</row>
    <row r="1082" spans="1:39" x14ac:dyDescent="0.3">
      <c r="A1082" s="55">
        <v>4</v>
      </c>
      <c r="B1082" s="62" t="s">
        <v>135</v>
      </c>
      <c r="C1082" s="62">
        <f t="shared" si="335"/>
        <v>1079</v>
      </c>
      <c r="D1082" s="62">
        <f t="shared" si="316"/>
        <v>29.998170000000002</v>
      </c>
      <c r="E1082" s="62">
        <v>13.41</v>
      </c>
      <c r="F1082" s="87">
        <f>($C$4/E1082)+F1081</f>
        <v>139.70821060262236</v>
      </c>
      <c r="G1082" s="62">
        <v>7000</v>
      </c>
      <c r="H1082" s="62">
        <v>3</v>
      </c>
      <c r="I1082" s="87">
        <f>E1082-E1081</f>
        <v>0</v>
      </c>
      <c r="J1082" s="62">
        <f>(0.5*VEHICLE!$C$71*VEHICLE!$C$28*VEHICLE!$C$27*'Drive Cycle'!E1082^2)</f>
        <v>159.97581505520998</v>
      </c>
      <c r="K1082" s="62">
        <f>IF(A1082=1,VEHICLE!$S$5,IF(A1082=2,VEHICLE!$Q$5,IF(A1082=3,VEHICLE!$R$5,IF(A1082=4,VEHICLE!$P$5,1))))</f>
        <v>111.31014600000002</v>
      </c>
      <c r="L1082" s="62">
        <v>0</v>
      </c>
      <c r="M1082" s="62">
        <f t="shared" si="324"/>
        <v>0</v>
      </c>
      <c r="N1082" s="62">
        <f t="shared" si="317"/>
        <v>0</v>
      </c>
      <c r="O1082" s="62">
        <f t="shared" si="318"/>
        <v>0</v>
      </c>
      <c r="P1082" s="62">
        <f t="shared" si="319"/>
        <v>271.28596105521001</v>
      </c>
      <c r="Q1082" s="62">
        <f>IF(H1082=1,I1082*VEHICLE!$C$69,IF(H1082=2,VEHICLE!$C$70*I1082,IF(H1082=3,VEHICLE!$C$71*I1082,0)))</f>
        <v>0</v>
      </c>
      <c r="R1082" s="62">
        <f>(J1082+K1082+O1082+Q1082)</f>
        <v>271.28596105521001</v>
      </c>
      <c r="S1082" s="62">
        <f t="shared" si="320"/>
        <v>271.28596105521001</v>
      </c>
      <c r="T1082" s="62">
        <f>ABS((R1082)/((2*PI()*G1082)/60))</f>
        <v>0.3700843002289036</v>
      </c>
      <c r="U1082" s="62">
        <f t="shared" si="321"/>
        <v>1</v>
      </c>
      <c r="V1082" s="62">
        <f>INDEX(BSFC!$D$4:$AD$26,MATCH(U1082,BSFC!$B$4:$B$26,0),MATCH(G1082,BSFC!$D$2:$AD$2,0))</f>
        <v>920.25590927999997</v>
      </c>
      <c r="W1082" s="62">
        <f t="shared" si="325"/>
        <v>6.9347919101600264E-2</v>
      </c>
      <c r="X1082" s="62">
        <f t="shared" si="322"/>
        <v>6.9347919101600264E-2</v>
      </c>
      <c r="Y1082" s="62">
        <f t="shared" si="323"/>
        <v>0.21428507002394481</v>
      </c>
      <c r="Z1082" s="79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</row>
    <row r="1083" spans="1:39" x14ac:dyDescent="0.3">
      <c r="A1083" s="55">
        <v>4</v>
      </c>
      <c r="B1083" s="62" t="s">
        <v>135</v>
      </c>
      <c r="C1083" s="62">
        <f t="shared" si="335"/>
        <v>1080</v>
      </c>
      <c r="D1083" s="62">
        <f t="shared" si="316"/>
        <v>29.998170000000002</v>
      </c>
      <c r="E1083" s="62">
        <v>13.41</v>
      </c>
      <c r="F1083" s="87">
        <f>($C$4/E1083)+F1082</f>
        <v>139.78278181813317</v>
      </c>
      <c r="G1083" s="62">
        <v>7000</v>
      </c>
      <c r="H1083" s="62">
        <v>3</v>
      </c>
      <c r="I1083" s="87">
        <f>E1083-E1082</f>
        <v>0</v>
      </c>
      <c r="J1083" s="62">
        <f>(0.5*VEHICLE!$C$71*VEHICLE!$C$28*VEHICLE!$C$27*'Drive Cycle'!E1083^2)</f>
        <v>159.97581505520998</v>
      </c>
      <c r="K1083" s="62">
        <f>IF(A1083=1,VEHICLE!$S$5,IF(A1083=2,VEHICLE!$Q$5,IF(A1083=3,VEHICLE!$R$5,IF(A1083=4,VEHICLE!$P$5,1))))</f>
        <v>111.31014600000002</v>
      </c>
      <c r="L1083" s="62">
        <v>0</v>
      </c>
      <c r="M1083" s="62">
        <f t="shared" si="324"/>
        <v>0</v>
      </c>
      <c r="N1083" s="62">
        <f t="shared" si="317"/>
        <v>0</v>
      </c>
      <c r="O1083" s="62">
        <f t="shared" si="318"/>
        <v>0</v>
      </c>
      <c r="P1083" s="62">
        <f t="shared" si="319"/>
        <v>271.28596105521001</v>
      </c>
      <c r="Q1083" s="62">
        <f>IF(H1083=1,I1083*VEHICLE!$C$69,IF(H1083=2,VEHICLE!$C$70*I1083,IF(H1083=3,VEHICLE!$C$71*I1083,0)))</f>
        <v>0</v>
      </c>
      <c r="R1083" s="62">
        <f>(J1083+K1083+O1083+Q1083)</f>
        <v>271.28596105521001</v>
      </c>
      <c r="S1083" s="62">
        <f t="shared" si="320"/>
        <v>271.28596105521001</v>
      </c>
      <c r="T1083" s="62">
        <f>ABS((R1083)/((2*PI()*G1083)/60))</f>
        <v>0.3700843002289036</v>
      </c>
      <c r="U1083" s="62">
        <f t="shared" si="321"/>
        <v>1</v>
      </c>
      <c r="V1083" s="62">
        <f>INDEX(BSFC!$D$4:$AD$26,MATCH(U1083,BSFC!$B$4:$B$26,0),MATCH(G1083,BSFC!$D$2:$AD$2,0))</f>
        <v>920.25590927999997</v>
      </c>
      <c r="W1083" s="62">
        <f t="shared" si="325"/>
        <v>6.9347919101600264E-2</v>
      </c>
      <c r="X1083" s="62">
        <f t="shared" si="322"/>
        <v>6.9347919101600264E-2</v>
      </c>
      <c r="Y1083" s="62">
        <f t="shared" si="323"/>
        <v>0.21428507002394481</v>
      </c>
      <c r="Z1083" s="79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</row>
    <row r="1084" spans="1:39" x14ac:dyDescent="0.3">
      <c r="A1084" s="55">
        <v>4</v>
      </c>
      <c r="B1084" s="62" t="s">
        <v>135</v>
      </c>
      <c r="C1084" s="62">
        <f t="shared" si="335"/>
        <v>1081</v>
      </c>
      <c r="D1084" s="62">
        <f t="shared" si="316"/>
        <v>29.998170000000002</v>
      </c>
      <c r="E1084" s="62">
        <v>13.41</v>
      </c>
      <c r="F1084" s="87">
        <f>($C$4/E1084)+F1083</f>
        <v>139.85735303364399</v>
      </c>
      <c r="G1084" s="62">
        <v>7000</v>
      </c>
      <c r="H1084" s="62">
        <v>3</v>
      </c>
      <c r="I1084" s="87">
        <f>E1084-E1083</f>
        <v>0</v>
      </c>
      <c r="J1084" s="62">
        <f>(0.5*VEHICLE!$C$71*VEHICLE!$C$28*VEHICLE!$C$27*'Drive Cycle'!E1084^2)</f>
        <v>159.97581505520998</v>
      </c>
      <c r="K1084" s="62">
        <f>IF(A1084=1,VEHICLE!$S$5,IF(A1084=2,VEHICLE!$Q$5,IF(A1084=3,VEHICLE!$R$5,IF(A1084=4,VEHICLE!$P$5,1))))</f>
        <v>111.31014600000002</v>
      </c>
      <c r="L1084" s="62">
        <v>0</v>
      </c>
      <c r="M1084" s="62">
        <f t="shared" si="324"/>
        <v>0</v>
      </c>
      <c r="N1084" s="62">
        <f t="shared" si="317"/>
        <v>0</v>
      </c>
      <c r="O1084" s="62">
        <f t="shared" si="318"/>
        <v>0</v>
      </c>
      <c r="P1084" s="62">
        <f t="shared" si="319"/>
        <v>271.28596105521001</v>
      </c>
      <c r="Q1084" s="62">
        <f>IF(H1084=1,I1084*VEHICLE!$C$69,IF(H1084=2,VEHICLE!$C$70*I1084,IF(H1084=3,VEHICLE!$C$71*I1084,0)))</f>
        <v>0</v>
      </c>
      <c r="R1084" s="62">
        <f>(J1084+K1084+O1084+Q1084)</f>
        <v>271.28596105521001</v>
      </c>
      <c r="S1084" s="62">
        <f t="shared" si="320"/>
        <v>271.28596105521001</v>
      </c>
      <c r="T1084" s="62">
        <f>ABS((R1084)/((2*PI()*G1084)/60))</f>
        <v>0.3700843002289036</v>
      </c>
      <c r="U1084" s="62">
        <f t="shared" si="321"/>
        <v>1</v>
      </c>
      <c r="V1084" s="62">
        <f>INDEX(BSFC!$D$4:$AD$26,MATCH(U1084,BSFC!$B$4:$B$26,0),MATCH(G1084,BSFC!$D$2:$AD$2,0))</f>
        <v>920.25590927999997</v>
      </c>
      <c r="W1084" s="62">
        <f t="shared" si="325"/>
        <v>6.9347919101600264E-2</v>
      </c>
      <c r="X1084" s="62">
        <f t="shared" si="322"/>
        <v>6.9347919101600264E-2</v>
      </c>
      <c r="Y1084" s="62">
        <f t="shared" si="323"/>
        <v>0.21428507002394481</v>
      </c>
      <c r="Z1084" s="79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</row>
    <row r="1085" spans="1:39" x14ac:dyDescent="0.3">
      <c r="A1085" s="55">
        <v>4</v>
      </c>
      <c r="B1085" s="62" t="s">
        <v>135</v>
      </c>
      <c r="C1085" s="62">
        <f t="shared" si="335"/>
        <v>1082</v>
      </c>
      <c r="D1085" s="62">
        <f t="shared" si="316"/>
        <v>29.998170000000002</v>
      </c>
      <c r="E1085" s="62">
        <v>13.41</v>
      </c>
      <c r="F1085" s="87">
        <f>($C$4/E1085)+F1084</f>
        <v>139.9319242491548</v>
      </c>
      <c r="G1085" s="62">
        <v>7000</v>
      </c>
      <c r="H1085" s="62">
        <v>3</v>
      </c>
      <c r="I1085" s="87">
        <f>E1085-E1084</f>
        <v>0</v>
      </c>
      <c r="J1085" s="62">
        <f>(0.5*VEHICLE!$C$71*VEHICLE!$C$28*VEHICLE!$C$27*'Drive Cycle'!E1085^2)</f>
        <v>159.97581505520998</v>
      </c>
      <c r="K1085" s="62">
        <f>IF(A1085=1,VEHICLE!$S$5,IF(A1085=2,VEHICLE!$Q$5,IF(A1085=3,VEHICLE!$R$5,IF(A1085=4,VEHICLE!$P$5,1))))</f>
        <v>111.31014600000002</v>
      </c>
      <c r="L1085" s="62">
        <v>0</v>
      </c>
      <c r="M1085" s="62">
        <f t="shared" si="324"/>
        <v>0</v>
      </c>
      <c r="N1085" s="62">
        <f t="shared" si="317"/>
        <v>0</v>
      </c>
      <c r="O1085" s="62">
        <f t="shared" si="318"/>
        <v>0</v>
      </c>
      <c r="P1085" s="62">
        <f t="shared" si="319"/>
        <v>271.28596105521001</v>
      </c>
      <c r="Q1085" s="62">
        <f>IF(H1085=1,I1085*VEHICLE!$C$69,IF(H1085=2,VEHICLE!$C$70*I1085,IF(H1085=3,VEHICLE!$C$71*I1085,0)))</f>
        <v>0</v>
      </c>
      <c r="R1085" s="62">
        <f>(J1085+K1085+O1085+Q1085)</f>
        <v>271.28596105521001</v>
      </c>
      <c r="S1085" s="62">
        <f t="shared" si="320"/>
        <v>271.28596105521001</v>
      </c>
      <c r="T1085" s="62">
        <f>ABS((R1085)/((2*PI()*G1085)/60))</f>
        <v>0.3700843002289036</v>
      </c>
      <c r="U1085" s="62">
        <f t="shared" si="321"/>
        <v>1</v>
      </c>
      <c r="V1085" s="62">
        <f>INDEX(BSFC!$D$4:$AD$26,MATCH(U1085,BSFC!$B$4:$B$26,0),MATCH(G1085,BSFC!$D$2:$AD$2,0))</f>
        <v>920.25590927999997</v>
      </c>
      <c r="W1085" s="62">
        <f t="shared" si="325"/>
        <v>6.9347919101600264E-2</v>
      </c>
      <c r="X1085" s="62">
        <f t="shared" si="322"/>
        <v>6.9347919101600264E-2</v>
      </c>
      <c r="Y1085" s="62">
        <f t="shared" si="323"/>
        <v>0.21428507002394481</v>
      </c>
      <c r="Z1085" s="79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</row>
    <row r="1086" spans="1:39" x14ac:dyDescent="0.3">
      <c r="A1086" s="55">
        <v>4</v>
      </c>
      <c r="B1086" s="62" t="s">
        <v>135</v>
      </c>
      <c r="C1086" s="62">
        <f t="shared" si="335"/>
        <v>1083</v>
      </c>
      <c r="D1086" s="62">
        <f t="shared" si="316"/>
        <v>28.320420000000002</v>
      </c>
      <c r="E1086" s="62">
        <f t="shared" ref="E1086:E1087" si="336">E1085-0.75</f>
        <v>12.66</v>
      </c>
      <c r="F1086" s="87">
        <f>($C$4/E1086)+F1085</f>
        <v>140.01091319070298</v>
      </c>
      <c r="G1086" s="62">
        <f>G1085-500</f>
        <v>6500</v>
      </c>
      <c r="H1086" s="62">
        <v>2</v>
      </c>
      <c r="I1086" s="87">
        <f>E1086-E1085</f>
        <v>-0.75</v>
      </c>
      <c r="J1086" s="62">
        <f>(0.5*VEHICLE!$C$71*VEHICLE!$C$28*VEHICLE!$C$27*'Drive Cycle'!E1086^2)</f>
        <v>142.58183088995997</v>
      </c>
      <c r="K1086" s="62">
        <f>IF(A1086=1,VEHICLE!$S$5,IF(A1086=2,VEHICLE!$Q$5,IF(A1086=3,VEHICLE!$R$5,IF(A1086=4,VEHICLE!$P$5,1))))</f>
        <v>111.31014600000002</v>
      </c>
      <c r="L1086" s="62">
        <v>0</v>
      </c>
      <c r="M1086" s="62">
        <f t="shared" si="324"/>
        <v>0</v>
      </c>
      <c r="N1086" s="62">
        <f t="shared" si="317"/>
        <v>0</v>
      </c>
      <c r="O1086" s="62">
        <f t="shared" si="318"/>
        <v>0</v>
      </c>
      <c r="P1086" s="62">
        <f t="shared" si="319"/>
        <v>253.89197688996001</v>
      </c>
      <c r="Q1086" s="62">
        <f>IF(H1086=1,I1086*VEHICLE!$C$69,IF(H1086=2,VEHICLE!$C$70*I1086,IF(H1086=3,VEHICLE!$C$71*I1086,0)))</f>
        <v>-438.86136489758803</v>
      </c>
      <c r="R1086" s="62">
        <f>(J1086+K1086+O1086+Q1086)</f>
        <v>-184.96938800762803</v>
      </c>
      <c r="S1086" s="62">
        <f t="shared" si="320"/>
        <v>184.96938800762803</v>
      </c>
      <c r="T1086" s="62">
        <f>ABS((R1086)/((2*PI()*G1086)/60))</f>
        <v>0.27174269928089306</v>
      </c>
      <c r="U1086" s="62">
        <f t="shared" si="321"/>
        <v>1</v>
      </c>
      <c r="V1086" s="62">
        <f>INDEX(BSFC!$D$4:$AD$26,MATCH(U1086,BSFC!$B$4:$B$26,0),MATCH(G1086,BSFC!$D$2:$AD$2,0))</f>
        <v>925.65735288000019</v>
      </c>
      <c r="W1086" s="62">
        <f t="shared" si="325"/>
        <v>-4.7560631685270728E-2</v>
      </c>
      <c r="X1086" s="62">
        <f t="shared" si="322"/>
        <v>4.7560631685270728E-2</v>
      </c>
      <c r="Y1086" s="62">
        <f t="shared" si="323"/>
        <v>-0.14696235190748655</v>
      </c>
      <c r="Z1086" s="79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</row>
    <row r="1087" spans="1:39" x14ac:dyDescent="0.3">
      <c r="A1087" s="55">
        <v>4</v>
      </c>
      <c r="B1087" s="62" t="s">
        <v>135</v>
      </c>
      <c r="C1087" s="62">
        <f t="shared" si="335"/>
        <v>1084</v>
      </c>
      <c r="D1087" s="62">
        <f t="shared" si="316"/>
        <v>26.642670000000003</v>
      </c>
      <c r="E1087" s="62">
        <f t="shared" si="336"/>
        <v>11.91</v>
      </c>
      <c r="F1087" s="87">
        <f>($C$4/E1087)+F1086</f>
        <v>140.09487624695822</v>
      </c>
      <c r="G1087" s="62">
        <f t="shared" ref="G1087:G1095" si="337">G1086-500</f>
        <v>6000</v>
      </c>
      <c r="H1087" s="62">
        <v>2</v>
      </c>
      <c r="I1087" s="87">
        <f>E1087-E1086</f>
        <v>-0.75</v>
      </c>
      <c r="J1087" s="62">
        <f>(0.5*VEHICLE!$C$71*VEHICLE!$C$28*VEHICLE!$C$27*'Drive Cycle'!E1087^2)</f>
        <v>126.18865133721</v>
      </c>
      <c r="K1087" s="62">
        <f>IF(A1087=1,VEHICLE!$S$5,IF(A1087=2,VEHICLE!$Q$5,IF(A1087=3,VEHICLE!$R$5,IF(A1087=4,VEHICLE!$P$5,1))))</f>
        <v>111.31014600000002</v>
      </c>
      <c r="L1087" s="62">
        <v>0</v>
      </c>
      <c r="M1087" s="62">
        <f t="shared" si="324"/>
        <v>0</v>
      </c>
      <c r="N1087" s="62">
        <f t="shared" si="317"/>
        <v>0</v>
      </c>
      <c r="O1087" s="62">
        <f t="shared" si="318"/>
        <v>0</v>
      </c>
      <c r="P1087" s="62">
        <f t="shared" si="319"/>
        <v>237.49879733721002</v>
      </c>
      <c r="Q1087" s="62">
        <f>IF(H1087=1,I1087*VEHICLE!$C$69,IF(H1087=2,VEHICLE!$C$70*I1087,IF(H1087=3,VEHICLE!$C$71*I1087,0)))</f>
        <v>-438.86136489758803</v>
      </c>
      <c r="R1087" s="62">
        <f>(J1087+K1087+O1087+Q1087)</f>
        <v>-201.36256756037801</v>
      </c>
      <c r="S1087" s="62">
        <f t="shared" si="320"/>
        <v>201.36256756037801</v>
      </c>
      <c r="T1087" s="62">
        <f>ABS((R1087)/((2*PI()*G1087)/60))</f>
        <v>0.32047847980909894</v>
      </c>
      <c r="U1087" s="62">
        <f t="shared" si="321"/>
        <v>1</v>
      </c>
      <c r="V1087" s="62">
        <f>INDEX(BSFC!$D$4:$AD$26,MATCH(U1087,BSFC!$B$4:$B$26,0),MATCH(G1087,BSFC!$D$2:$AD$2,0))</f>
        <v>933.91499472000044</v>
      </c>
      <c r="W1087" s="62">
        <f t="shared" si="325"/>
        <v>-5.2237644783321158E-2</v>
      </c>
      <c r="X1087" s="62">
        <f t="shared" si="322"/>
        <v>5.2237644783321158E-2</v>
      </c>
      <c r="Y1087" s="62">
        <f t="shared" si="323"/>
        <v>-0.16141432238046238</v>
      </c>
      <c r="Z1087" s="79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</row>
    <row r="1088" spans="1:39" x14ac:dyDescent="0.3">
      <c r="A1088" s="55">
        <v>4</v>
      </c>
      <c r="B1088" s="62" t="s">
        <v>135</v>
      </c>
      <c r="C1088" s="62">
        <f t="shared" si="335"/>
        <v>1085</v>
      </c>
      <c r="D1088" s="62">
        <f t="shared" si="316"/>
        <v>24.964920000000003</v>
      </c>
      <c r="E1088" s="62">
        <f>E1087-0.75</f>
        <v>11.16</v>
      </c>
      <c r="F1088" s="87">
        <f>($C$4/E1088)+F1087</f>
        <v>140.18448198172524</v>
      </c>
      <c r="G1088" s="62">
        <f t="shared" si="337"/>
        <v>5500</v>
      </c>
      <c r="H1088" s="62">
        <v>2</v>
      </c>
      <c r="I1088" s="87">
        <f>E1088-E1087</f>
        <v>-0.75</v>
      </c>
      <c r="J1088" s="62">
        <f>(0.5*VEHICLE!$C$71*VEHICLE!$C$28*VEHICLE!$C$27*'Drive Cycle'!E1088^2)</f>
        <v>110.79627639696</v>
      </c>
      <c r="K1088" s="62">
        <f>IF(A1088=1,VEHICLE!$S$5,IF(A1088=2,VEHICLE!$Q$5,IF(A1088=3,VEHICLE!$R$5,IF(A1088=4,VEHICLE!$P$5,1))))</f>
        <v>111.31014600000002</v>
      </c>
      <c r="L1088" s="62">
        <v>0</v>
      </c>
      <c r="M1088" s="62">
        <f t="shared" si="324"/>
        <v>0</v>
      </c>
      <c r="N1088" s="62">
        <f t="shared" si="317"/>
        <v>0</v>
      </c>
      <c r="O1088" s="62">
        <f t="shared" si="318"/>
        <v>0</v>
      </c>
      <c r="P1088" s="62">
        <f t="shared" si="319"/>
        <v>222.10642239696</v>
      </c>
      <c r="Q1088" s="62">
        <f>IF(H1088=1,I1088*VEHICLE!$C$69,IF(H1088=2,VEHICLE!$C$70*I1088,IF(H1088=3,VEHICLE!$C$71*I1088,0)))</f>
        <v>-438.86136489758803</v>
      </c>
      <c r="R1088" s="62">
        <f>(J1088+K1088+O1088+Q1088)</f>
        <v>-216.75494250062803</v>
      </c>
      <c r="S1088" s="62">
        <f t="shared" si="320"/>
        <v>216.75494250062803</v>
      </c>
      <c r="T1088" s="62">
        <f>ABS((R1088)/((2*PI()*G1088)/60))</f>
        <v>0.37633767860263101</v>
      </c>
      <c r="U1088" s="62">
        <f t="shared" si="321"/>
        <v>1</v>
      </c>
      <c r="V1088" s="62">
        <f>INDEX(BSFC!$D$4:$AD$26,MATCH(U1088,BSFC!$B$4:$B$26,0),MATCH(G1088,BSFC!$D$2:$AD$2,0))</f>
        <v>937.88833920000002</v>
      </c>
      <c r="W1088" s="62">
        <f t="shared" si="325"/>
        <v>-5.6469981398695981E-2</v>
      </c>
      <c r="X1088" s="62">
        <f t="shared" si="322"/>
        <v>5.6469981398695981E-2</v>
      </c>
      <c r="Y1088" s="62">
        <f t="shared" si="323"/>
        <v>-0.17449224252197057</v>
      </c>
      <c r="Z1088" s="79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</row>
    <row r="1089" spans="1:39" x14ac:dyDescent="0.3">
      <c r="A1089" s="55">
        <v>4</v>
      </c>
      <c r="B1089" s="62" t="s">
        <v>135</v>
      </c>
      <c r="C1089" s="62">
        <f t="shared" si="335"/>
        <v>1086</v>
      </c>
      <c r="D1089" s="62">
        <f t="shared" si="316"/>
        <v>23.28717</v>
      </c>
      <c r="E1089" s="62">
        <f t="shared" ref="E1089:E1095" si="338">E1088-0.75</f>
        <v>10.41</v>
      </c>
      <c r="F1089" s="87">
        <f>($C$4/E1089)+F1088</f>
        <v>140.28054346107203</v>
      </c>
      <c r="G1089" s="62">
        <f t="shared" si="337"/>
        <v>5000</v>
      </c>
      <c r="H1089" s="62">
        <v>2</v>
      </c>
      <c r="I1089" s="87">
        <f>E1089-E1088</f>
        <v>-0.75</v>
      </c>
      <c r="J1089" s="62">
        <f>(0.5*VEHICLE!$C$71*VEHICLE!$C$28*VEHICLE!$C$27*'Drive Cycle'!E1089^2)</f>
        <v>96.404706069209993</v>
      </c>
      <c r="K1089" s="62">
        <f>IF(A1089=1,VEHICLE!$S$5,IF(A1089=2,VEHICLE!$Q$5,IF(A1089=3,VEHICLE!$R$5,IF(A1089=4,VEHICLE!$P$5,1))))</f>
        <v>111.31014600000002</v>
      </c>
      <c r="L1089" s="62">
        <v>0</v>
      </c>
      <c r="M1089" s="62">
        <f t="shared" si="324"/>
        <v>0</v>
      </c>
      <c r="N1089" s="62">
        <f t="shared" si="317"/>
        <v>0</v>
      </c>
      <c r="O1089" s="62">
        <f t="shared" si="318"/>
        <v>0</v>
      </c>
      <c r="P1089" s="62">
        <f t="shared" si="319"/>
        <v>207.71485206921</v>
      </c>
      <c r="Q1089" s="62">
        <f>IF(H1089=1,I1089*VEHICLE!$C$69,IF(H1089=2,VEHICLE!$C$70*I1089,IF(H1089=3,VEHICLE!$C$71*I1089,0)))</f>
        <v>-438.86136489758803</v>
      </c>
      <c r="R1089" s="62">
        <f>(J1089+K1089+O1089+Q1089)</f>
        <v>-231.14651282837804</v>
      </c>
      <c r="S1089" s="62">
        <f t="shared" si="320"/>
        <v>231.14651282837804</v>
      </c>
      <c r="T1089" s="62">
        <f>ABS((R1089)/((2*PI()*G1089)/60))</f>
        <v>0.44145732114108677</v>
      </c>
      <c r="U1089" s="62">
        <f t="shared" si="321"/>
        <v>1</v>
      </c>
      <c r="V1089" s="62">
        <f>INDEX(BSFC!$D$4:$AD$26,MATCH(U1089,BSFC!$B$4:$B$26,0),MATCH(G1089,BSFC!$D$2:$AD$2,0))</f>
        <v>967.30583135999973</v>
      </c>
      <c r="W1089" s="62">
        <f t="shared" si="325"/>
        <v>-6.2108158265949731E-2</v>
      </c>
      <c r="X1089" s="62">
        <f t="shared" si="322"/>
        <v>6.2108158265949731E-2</v>
      </c>
      <c r="Y1089" s="62">
        <f t="shared" si="323"/>
        <v>-0.19191420904178466</v>
      </c>
      <c r="Z1089" s="79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</row>
    <row r="1090" spans="1:39" x14ac:dyDescent="0.3">
      <c r="A1090" s="55">
        <v>4</v>
      </c>
      <c r="B1090" s="62" t="s">
        <v>135</v>
      </c>
      <c r="C1090" s="62">
        <f t="shared" si="335"/>
        <v>1087</v>
      </c>
      <c r="D1090" s="62">
        <f t="shared" si="316"/>
        <v>21.60942</v>
      </c>
      <c r="E1090" s="62">
        <f t="shared" si="338"/>
        <v>9.66</v>
      </c>
      <c r="F1090" s="87">
        <f>($C$4/E1090)+F1089</f>
        <v>140.38406312980908</v>
      </c>
      <c r="G1090" s="62">
        <f t="shared" si="337"/>
        <v>4500</v>
      </c>
      <c r="H1090" s="62">
        <v>2</v>
      </c>
      <c r="I1090" s="87">
        <f>E1090-E1089</f>
        <v>-0.75</v>
      </c>
      <c r="J1090" s="62">
        <f>(0.5*VEHICLE!$C$71*VEHICLE!$C$28*VEHICLE!$C$27*'Drive Cycle'!E1090^2)</f>
        <v>83.013940353959995</v>
      </c>
      <c r="K1090" s="62">
        <f>IF(A1090=1,VEHICLE!$S$5,IF(A1090=2,VEHICLE!$Q$5,IF(A1090=3,VEHICLE!$R$5,IF(A1090=4,VEHICLE!$P$5,1))))</f>
        <v>111.31014600000002</v>
      </c>
      <c r="L1090" s="62">
        <v>0</v>
      </c>
      <c r="M1090" s="62">
        <f t="shared" si="324"/>
        <v>0</v>
      </c>
      <c r="N1090" s="62">
        <f t="shared" si="317"/>
        <v>0</v>
      </c>
      <c r="O1090" s="62">
        <f t="shared" si="318"/>
        <v>0</v>
      </c>
      <c r="P1090" s="62">
        <f t="shared" si="319"/>
        <v>194.32408635396001</v>
      </c>
      <c r="Q1090" s="62">
        <f>IF(H1090=1,I1090*VEHICLE!$C$69,IF(H1090=2,VEHICLE!$C$70*I1090,IF(H1090=3,VEHICLE!$C$71*I1090,0)))</f>
        <v>-438.86136489758803</v>
      </c>
      <c r="R1090" s="62">
        <f>(J1090+K1090+O1090+Q1090)</f>
        <v>-244.53727854362802</v>
      </c>
      <c r="S1090" s="62">
        <f t="shared" si="320"/>
        <v>244.53727854362802</v>
      </c>
      <c r="T1090" s="62">
        <f>ABS((R1090)/((2*PI()*G1090)/60))</f>
        <v>0.51892422200610766</v>
      </c>
      <c r="U1090" s="62">
        <f t="shared" si="321"/>
        <v>1</v>
      </c>
      <c r="V1090" s="62">
        <f>INDEX(BSFC!$D$4:$AD$26,MATCH(U1090,BSFC!$B$4:$B$26,0),MATCH(G1090,BSFC!$D$2:$AD$2,0))</f>
        <v>996.72332351999967</v>
      </c>
      <c r="W1090" s="62">
        <f t="shared" si="325"/>
        <v>-6.7704446942928001E-2</v>
      </c>
      <c r="X1090" s="62">
        <f t="shared" si="322"/>
        <v>6.7704446942928001E-2</v>
      </c>
      <c r="Y1090" s="62">
        <f t="shared" si="323"/>
        <v>-0.2092067410536475</v>
      </c>
      <c r="Z1090" s="79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</row>
    <row r="1091" spans="1:39" x14ac:dyDescent="0.3">
      <c r="A1091" s="55">
        <v>4</v>
      </c>
      <c r="B1091" s="62" t="s">
        <v>135</v>
      </c>
      <c r="C1091" s="62">
        <f t="shared" si="335"/>
        <v>1088</v>
      </c>
      <c r="D1091" s="62">
        <f t="shared" si="316"/>
        <v>19.93167</v>
      </c>
      <c r="E1091" s="62">
        <f t="shared" si="338"/>
        <v>8.91</v>
      </c>
      <c r="F1091" s="87">
        <f>($C$4/E1091)+F1090</f>
        <v>140.49629657537585</v>
      </c>
      <c r="G1091" s="62">
        <f t="shared" si="337"/>
        <v>4000</v>
      </c>
      <c r="H1091" s="62">
        <v>2</v>
      </c>
      <c r="I1091" s="87">
        <f>E1091-E1090</f>
        <v>-0.75</v>
      </c>
      <c r="J1091" s="62">
        <f>(0.5*VEHICLE!$C$71*VEHICLE!$C$28*VEHICLE!$C$27*'Drive Cycle'!E1091^2)</f>
        <v>70.623979251210002</v>
      </c>
      <c r="K1091" s="62">
        <f>IF(A1091=1,VEHICLE!$S$5,IF(A1091=2,VEHICLE!$Q$5,IF(A1091=3,VEHICLE!$R$5,IF(A1091=4,VEHICLE!$P$5,1))))</f>
        <v>111.31014600000002</v>
      </c>
      <c r="L1091" s="62">
        <v>0</v>
      </c>
      <c r="M1091" s="62">
        <f t="shared" si="324"/>
        <v>0</v>
      </c>
      <c r="N1091" s="62">
        <f t="shared" si="317"/>
        <v>0</v>
      </c>
      <c r="O1091" s="62">
        <f t="shared" si="318"/>
        <v>0</v>
      </c>
      <c r="P1091" s="62">
        <f t="shared" si="319"/>
        <v>181.93412525121002</v>
      </c>
      <c r="Q1091" s="62">
        <f>IF(H1091=1,I1091*VEHICLE!$C$69,IF(H1091=2,VEHICLE!$C$70*I1091,IF(H1091=3,VEHICLE!$C$71*I1091,0)))</f>
        <v>-438.86136489758803</v>
      </c>
      <c r="R1091" s="62">
        <f>(J1091+K1091+O1091+Q1091)</f>
        <v>-256.92723964637798</v>
      </c>
      <c r="S1091" s="62">
        <f t="shared" si="320"/>
        <v>256.92723964637798</v>
      </c>
      <c r="T1091" s="62">
        <f>ABS((R1091)/((2*PI()*G1091)/60))</f>
        <v>0.61336860307015573</v>
      </c>
      <c r="U1091" s="62">
        <f t="shared" si="321"/>
        <v>1</v>
      </c>
      <c r="V1091" s="62">
        <f>INDEX(BSFC!$D$4:$AD$26,MATCH(U1091,BSFC!$B$4:$B$26,0),MATCH(G1091,BSFC!$D$2:$AD$2,0))</f>
        <v>1026.1408156799998</v>
      </c>
      <c r="W1091" s="62">
        <f t="shared" si="325"/>
        <v>-7.3234313128095863E-2</v>
      </c>
      <c r="X1091" s="62">
        <f t="shared" si="322"/>
        <v>7.3234313128095863E-2</v>
      </c>
      <c r="Y1091" s="62">
        <f t="shared" si="323"/>
        <v>-0.22629402756581621</v>
      </c>
      <c r="Z1091" s="79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</row>
    <row r="1092" spans="1:39" x14ac:dyDescent="0.3">
      <c r="A1092" s="55">
        <v>4</v>
      </c>
      <c r="B1092" s="62" t="s">
        <v>135</v>
      </c>
      <c r="C1092" s="62">
        <f t="shared" si="335"/>
        <v>1089</v>
      </c>
      <c r="D1092" s="62">
        <f t="shared" ref="D1092:D1111" si="339">E1092*2.237</f>
        <v>18.253920000000001</v>
      </c>
      <c r="E1092" s="62">
        <f t="shared" si="338"/>
        <v>8.16</v>
      </c>
      <c r="F1092" s="87">
        <f>($C$4/E1092)+F1091</f>
        <v>140.6188455949837</v>
      </c>
      <c r="G1092" s="62">
        <f t="shared" si="337"/>
        <v>3500</v>
      </c>
      <c r="H1092" s="62">
        <v>1</v>
      </c>
      <c r="I1092" s="87">
        <f>E1092-E1091</f>
        <v>-0.75</v>
      </c>
      <c r="J1092" s="62">
        <f>(0.5*VEHICLE!$C$71*VEHICLE!$C$28*VEHICLE!$C$27*'Drive Cycle'!E1092^2)</f>
        <v>59.234822760959993</v>
      </c>
      <c r="K1092" s="62">
        <f>IF(A1092=1,VEHICLE!$S$5,IF(A1092=2,VEHICLE!$Q$5,IF(A1092=3,VEHICLE!$R$5,IF(A1092=4,VEHICLE!$P$5,1))))</f>
        <v>111.31014600000002</v>
      </c>
      <c r="L1092" s="62">
        <v>0</v>
      </c>
      <c r="M1092" s="62">
        <f t="shared" si="324"/>
        <v>0</v>
      </c>
      <c r="N1092" s="62">
        <f t="shared" ref="N1092:N1111" si="340">DEGREES(ATAN(M1092/$C$4))</f>
        <v>0</v>
      </c>
      <c r="O1092" s="62">
        <f t="shared" ref="O1092:O1111" si="341">9.81*SIN(RADIANS(N1092))*($C$47)</f>
        <v>0</v>
      </c>
      <c r="P1092" s="62">
        <f t="shared" ref="P1092:P1111" si="342">J1092+K1092+O1092</f>
        <v>170.54496876096002</v>
      </c>
      <c r="Q1092" s="62">
        <f>IF(H1092=1,I1092*VEHICLE!$C$69,IF(H1092=2,VEHICLE!$C$70*I1092,IF(H1092=3,VEHICLE!$C$71*I1092,0)))</f>
        <v>-440.49017657114598</v>
      </c>
      <c r="R1092" s="62">
        <f>(J1092+K1092+O1092+Q1092)</f>
        <v>-269.94520781018593</v>
      </c>
      <c r="S1092" s="62">
        <f t="shared" ref="S1092:S1111" si="343">ABS(R1092)</f>
        <v>269.94520781018593</v>
      </c>
      <c r="T1092" s="62">
        <f>ABS((R1092)/((2*PI()*G1092)/60))</f>
        <v>0.73651052891931446</v>
      </c>
      <c r="U1092" s="62">
        <f t="shared" ref="U1092:U1111" si="344">ROUNDUP(T1092,0)</f>
        <v>1</v>
      </c>
      <c r="V1092" s="62">
        <f>INDEX(BSFC!$D$4:$AD$26,MATCH(U1092,BSFC!$B$4:$B$26,0),MATCH(G1092,BSFC!$D$2:$AD$2,0))</f>
        <v>1034.2259366399996</v>
      </c>
      <c r="W1092" s="62">
        <f t="shared" si="325"/>
        <v>-7.755120427471357E-2</v>
      </c>
      <c r="X1092" s="62">
        <f t="shared" ref="X1092:X1111" si="345">ABS(W1092)</f>
        <v>7.755120427471357E-2</v>
      </c>
      <c r="Y1092" s="62">
        <f t="shared" ref="Y1092:Y1111" si="346">W1092*3.09</f>
        <v>-0.23963322120886493</v>
      </c>
      <c r="Z1092" s="79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</row>
    <row r="1093" spans="1:39" x14ac:dyDescent="0.3">
      <c r="A1093" s="55">
        <v>4</v>
      </c>
      <c r="B1093" s="62" t="s">
        <v>135</v>
      </c>
      <c r="C1093" s="62">
        <f t="shared" si="335"/>
        <v>1090</v>
      </c>
      <c r="D1093" s="62">
        <f t="shared" si="339"/>
        <v>16.576170000000001</v>
      </c>
      <c r="E1093" s="62">
        <f t="shared" si="338"/>
        <v>7.41</v>
      </c>
      <c r="F1093" s="87">
        <f>($C$4/E1093)+F1092</f>
        <v>140.75379836151541</v>
      </c>
      <c r="G1093" s="62">
        <f t="shared" si="337"/>
        <v>3000</v>
      </c>
      <c r="H1093" s="62">
        <v>1</v>
      </c>
      <c r="I1093" s="87">
        <f>E1093-E1092</f>
        <v>-0.75</v>
      </c>
      <c r="J1093" s="62">
        <f>(0.5*VEHICLE!$C$71*VEHICLE!$C$28*VEHICLE!$C$27*'Drive Cycle'!E1093^2)</f>
        <v>48.846470883209996</v>
      </c>
      <c r="K1093" s="62">
        <f>IF(A1093=1,VEHICLE!$S$5,IF(A1093=2,VEHICLE!$Q$5,IF(A1093=3,VEHICLE!$R$5,IF(A1093=4,VEHICLE!$P$5,1))))</f>
        <v>111.31014600000002</v>
      </c>
      <c r="L1093" s="62">
        <v>0</v>
      </c>
      <c r="M1093" s="62">
        <f t="shared" ref="M1093:M1111" si="347">L1093-L1092</f>
        <v>0</v>
      </c>
      <c r="N1093" s="62">
        <f t="shared" si="340"/>
        <v>0</v>
      </c>
      <c r="O1093" s="62">
        <f t="shared" si="341"/>
        <v>0</v>
      </c>
      <c r="P1093" s="62">
        <f t="shared" si="342"/>
        <v>160.15661688321001</v>
      </c>
      <c r="Q1093" s="62">
        <f>IF(H1093=1,I1093*VEHICLE!$C$69,IF(H1093=2,VEHICLE!$C$70*I1093,IF(H1093=3,VEHICLE!$C$71*I1093,0)))</f>
        <v>-440.49017657114598</v>
      </c>
      <c r="R1093" s="62">
        <f>(J1093+K1093+O1093+Q1093)</f>
        <v>-280.33355968793597</v>
      </c>
      <c r="S1093" s="62">
        <f t="shared" si="343"/>
        <v>280.33355968793597</v>
      </c>
      <c r="T1093" s="62">
        <f>ABS((R1093)/((2*PI()*G1093)/60))</f>
        <v>0.89232943477763793</v>
      </c>
      <c r="U1093" s="62">
        <f t="shared" si="344"/>
        <v>1</v>
      </c>
      <c r="V1093" s="62">
        <f>INDEX(BSFC!$D$4:$AD$26,MATCH(U1093,BSFC!$B$4:$B$26,0),MATCH(G1093,BSFC!$D$2:$AD$2,0))</f>
        <v>1049.8371440000003</v>
      </c>
      <c r="W1093" s="62">
        <f t="shared" ref="W1093:W1111" si="348">(R1093*V1093/3600)/1000</f>
        <v>-8.1751273241704545E-2</v>
      </c>
      <c r="X1093" s="62">
        <f t="shared" si="345"/>
        <v>8.1751273241704545E-2</v>
      </c>
      <c r="Y1093" s="62">
        <f t="shared" si="346"/>
        <v>-0.25261143431686706</v>
      </c>
      <c r="Z1093" s="79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</row>
    <row r="1094" spans="1:39" x14ac:dyDescent="0.3">
      <c r="A1094" s="55">
        <v>4</v>
      </c>
      <c r="B1094" s="62" t="s">
        <v>135</v>
      </c>
      <c r="C1094" s="62">
        <f t="shared" si="335"/>
        <v>1091</v>
      </c>
      <c r="D1094" s="62">
        <f t="shared" si="339"/>
        <v>14.898420000000002</v>
      </c>
      <c r="E1094" s="62">
        <f t="shared" si="338"/>
        <v>6.66</v>
      </c>
      <c r="F1094" s="87">
        <f>($C$4/E1094)+F1093</f>
        <v>140.90394851166556</v>
      </c>
      <c r="G1094" s="62">
        <f t="shared" si="337"/>
        <v>2500</v>
      </c>
      <c r="H1094" s="62">
        <v>1</v>
      </c>
      <c r="I1094" s="87">
        <f>E1094-E1093</f>
        <v>-0.75</v>
      </c>
      <c r="J1094" s="62">
        <f>(0.5*VEHICLE!$C$71*VEHICLE!$C$28*VEHICLE!$C$27*'Drive Cycle'!E1094^2)</f>
        <v>39.458923617959996</v>
      </c>
      <c r="K1094" s="62">
        <f>IF(A1094=1,VEHICLE!$S$5,IF(A1094=2,VEHICLE!$Q$5,IF(A1094=3,VEHICLE!$R$5,IF(A1094=4,VEHICLE!$P$5,1))))</f>
        <v>111.31014600000002</v>
      </c>
      <c r="L1094" s="62">
        <v>0</v>
      </c>
      <c r="M1094" s="62">
        <f t="shared" si="347"/>
        <v>0</v>
      </c>
      <c r="N1094" s="62">
        <f t="shared" si="340"/>
        <v>0</v>
      </c>
      <c r="O1094" s="62">
        <f t="shared" si="341"/>
        <v>0</v>
      </c>
      <c r="P1094" s="62">
        <f t="shared" si="342"/>
        <v>150.76906961796001</v>
      </c>
      <c r="Q1094" s="62">
        <f>IF(H1094=1,I1094*VEHICLE!$C$69,IF(H1094=2,VEHICLE!$C$70*I1094,IF(H1094=3,VEHICLE!$C$71*I1094,0)))</f>
        <v>-440.49017657114598</v>
      </c>
      <c r="R1094" s="62">
        <f>(J1094+K1094+O1094+Q1094)</f>
        <v>-289.72110695318599</v>
      </c>
      <c r="S1094" s="62">
        <f t="shared" si="343"/>
        <v>289.72110695318599</v>
      </c>
      <c r="T1094" s="62">
        <f>ABS((R1094)/((2*PI()*G1094)/60))</f>
        <v>1.1066531109517257</v>
      </c>
      <c r="U1094" s="62">
        <f t="shared" si="344"/>
        <v>2</v>
      </c>
      <c r="V1094" s="62">
        <f>INDEX(BSFC!$D$4:$AD$26,MATCH(U1094,BSFC!$B$4:$B$26,0),MATCH(G1094,BSFC!$D$2:$AD$2,0))</f>
        <v>952.83484224000051</v>
      </c>
      <c r="W1094" s="62">
        <f t="shared" si="348"/>
        <v>-7.6682323677038144E-2</v>
      </c>
      <c r="X1094" s="62">
        <f t="shared" si="345"/>
        <v>7.6682323677038144E-2</v>
      </c>
      <c r="Y1094" s="62">
        <f t="shared" si="346"/>
        <v>-0.23694838016204786</v>
      </c>
      <c r="Z1094" s="79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</row>
    <row r="1095" spans="1:39" x14ac:dyDescent="0.3">
      <c r="A1095" s="55">
        <v>4</v>
      </c>
      <c r="B1095" s="62" t="s">
        <v>135</v>
      </c>
      <c r="C1095" s="62">
        <f t="shared" si="335"/>
        <v>1092</v>
      </c>
      <c r="D1095" s="62">
        <f t="shared" si="339"/>
        <v>13.22067</v>
      </c>
      <c r="E1095" s="62">
        <f t="shared" si="338"/>
        <v>5.91</v>
      </c>
      <c r="F1095" s="87">
        <f>($C$4/E1095)+F1094</f>
        <v>141.07315324939822</v>
      </c>
      <c r="G1095" s="62">
        <f t="shared" si="337"/>
        <v>2000</v>
      </c>
      <c r="H1095" s="62">
        <v>1</v>
      </c>
      <c r="I1095" s="87">
        <f>E1095-E1094</f>
        <v>-0.75</v>
      </c>
      <c r="J1095" s="62">
        <f>(0.5*VEHICLE!$C$71*VEHICLE!$C$28*VEHICLE!$C$27*'Drive Cycle'!E1095^2)</f>
        <v>31.072180965209999</v>
      </c>
      <c r="K1095" s="62">
        <f>IF(A1095=1,VEHICLE!$S$5,IF(A1095=2,VEHICLE!$Q$5,IF(A1095=3,VEHICLE!$R$5,IF(A1095=4,VEHICLE!$P$5,1))))</f>
        <v>111.31014600000002</v>
      </c>
      <c r="L1095" s="62">
        <v>0</v>
      </c>
      <c r="M1095" s="62">
        <f t="shared" si="347"/>
        <v>0</v>
      </c>
      <c r="N1095" s="62">
        <f t="shared" si="340"/>
        <v>0</v>
      </c>
      <c r="O1095" s="62">
        <f t="shared" si="341"/>
        <v>0</v>
      </c>
      <c r="P1095" s="62">
        <f t="shared" si="342"/>
        <v>142.38232696521001</v>
      </c>
      <c r="Q1095" s="62">
        <f>IF(H1095=1,I1095*VEHICLE!$C$69,IF(H1095=2,VEHICLE!$C$70*I1095,IF(H1095=3,VEHICLE!$C$71*I1095,0)))</f>
        <v>-440.49017657114598</v>
      </c>
      <c r="R1095" s="62">
        <f>(J1095+K1095+O1095+Q1095)</f>
        <v>-298.10784960593594</v>
      </c>
      <c r="S1095" s="62">
        <f t="shared" si="343"/>
        <v>298.10784960593594</v>
      </c>
      <c r="T1095" s="62">
        <f>ABS((R1095)/((2*PI()*G1095)/60))</f>
        <v>1.4233601351784009</v>
      </c>
      <c r="U1095" s="62">
        <f t="shared" si="344"/>
        <v>2</v>
      </c>
      <c r="V1095" s="62">
        <f>INDEX(BSFC!$D$4:$AD$26,MATCH(U1095,BSFC!$B$4:$B$26,0),MATCH(G1095,BSFC!$D$2:$AD$2,0))</f>
        <v>976.38004896000075</v>
      </c>
      <c r="W1095" s="62">
        <f t="shared" si="348"/>
        <v>-8.0851821331556745E-2</v>
      </c>
      <c r="X1095" s="62">
        <f t="shared" si="345"/>
        <v>8.0851821331556745E-2</v>
      </c>
      <c r="Y1095" s="62">
        <f t="shared" si="346"/>
        <v>-0.24983212791451032</v>
      </c>
      <c r="Z1095" s="79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</row>
    <row r="1096" spans="1:39" x14ac:dyDescent="0.3">
      <c r="A1096" s="55">
        <v>1</v>
      </c>
      <c r="B1096" s="57" t="s">
        <v>136</v>
      </c>
      <c r="C1096" s="57">
        <f t="shared" si="335"/>
        <v>1093</v>
      </c>
      <c r="D1096" s="57">
        <f t="shared" si="339"/>
        <v>13.22067</v>
      </c>
      <c r="E1096" s="57">
        <f>E1095</f>
        <v>5.91</v>
      </c>
      <c r="F1096" s="86">
        <f>($C$4/E1096)+F1095</f>
        <v>141.24235798713087</v>
      </c>
      <c r="G1096" s="57">
        <f>G1095</f>
        <v>2000</v>
      </c>
      <c r="H1096" s="57">
        <v>1</v>
      </c>
      <c r="I1096" s="86">
        <f>E1096-E1095</f>
        <v>0</v>
      </c>
      <c r="J1096" s="57">
        <f>(0.5*VEHICLE!$C$71*VEHICLE!$C$28*VEHICLE!$C$27*'Drive Cycle'!E1096^2)</f>
        <v>31.072180965209999</v>
      </c>
      <c r="K1096" s="57">
        <f>IF(A1096=1,VEHICLE!$S$5,IF(A1096=2,VEHICLE!$Q$5,IF(A1096=3,VEHICLE!$R$5,IF(A1096=4,VEHICLE!$P$5,1))))</f>
        <v>72.351594900000009</v>
      </c>
      <c r="L1096" s="57">
        <v>0</v>
      </c>
      <c r="M1096" s="57">
        <f t="shared" si="347"/>
        <v>0</v>
      </c>
      <c r="N1096" s="57">
        <f t="shared" si="340"/>
        <v>0</v>
      </c>
      <c r="O1096" s="57">
        <f t="shared" si="341"/>
        <v>0</v>
      </c>
      <c r="P1096" s="57">
        <f t="shared" si="342"/>
        <v>103.42377586521</v>
      </c>
      <c r="Q1096" s="57">
        <f>IF(H1096=1,I1096*VEHICLE!$C$69,IF(H1096=2,VEHICLE!$C$70*I1096,IF(H1096=3,VEHICLE!$C$71*I1096,0)))</f>
        <v>0</v>
      </c>
      <c r="R1096" s="57">
        <f>(J1096+K1096+O1096+Q1096)</f>
        <v>103.42377586521</v>
      </c>
      <c r="S1096" s="57">
        <f t="shared" si="343"/>
        <v>103.42377586521</v>
      </c>
      <c r="T1096" s="57">
        <f>ABS((R1096)/((2*PI()*G1096)/60))</f>
        <v>0.49381215486529312</v>
      </c>
      <c r="U1096" s="57">
        <f t="shared" si="344"/>
        <v>1</v>
      </c>
      <c r="V1096" s="57">
        <f>INDEX(BSFC!$D$4:$AD$26,MATCH(U1096,BSFC!$B$4:$B$26,0),MATCH(G1096,BSFC!$D$2:$AD$2,0))</f>
        <v>1081.059558720001</v>
      </c>
      <c r="W1096" s="57">
        <f t="shared" si="348"/>
        <v>3.1057572638333395E-2</v>
      </c>
      <c r="X1096" s="57">
        <f t="shared" si="345"/>
        <v>3.1057572638333395E-2</v>
      </c>
      <c r="Y1096" s="57">
        <f t="shared" si="346"/>
        <v>9.5967899452450184E-2</v>
      </c>
      <c r="Z1096" s="79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</row>
    <row r="1097" spans="1:39" x14ac:dyDescent="0.3">
      <c r="A1097" s="55">
        <v>1</v>
      </c>
      <c r="B1097" s="57" t="s">
        <v>136</v>
      </c>
      <c r="C1097" s="57">
        <f t="shared" si="335"/>
        <v>1094</v>
      </c>
      <c r="D1097" s="57">
        <f t="shared" si="339"/>
        <v>13.22067</v>
      </c>
      <c r="E1097" s="57">
        <f t="shared" ref="E1097:E1106" si="349">E1096</f>
        <v>5.91</v>
      </c>
      <c r="F1097" s="86">
        <f>($C$4/E1097)+F1096</f>
        <v>141.41156272486353</v>
      </c>
      <c r="G1097" s="57">
        <f t="shared" ref="G1097:G1106" si="350">G1096</f>
        <v>2000</v>
      </c>
      <c r="H1097" s="57">
        <v>1</v>
      </c>
      <c r="I1097" s="86">
        <f>E1097-E1096</f>
        <v>0</v>
      </c>
      <c r="J1097" s="57">
        <f>(0.5*VEHICLE!$C$71*VEHICLE!$C$28*VEHICLE!$C$27*'Drive Cycle'!E1097^2)</f>
        <v>31.072180965209999</v>
      </c>
      <c r="K1097" s="57">
        <f>IF(A1097=1,VEHICLE!$S$5,IF(A1097=2,VEHICLE!$Q$5,IF(A1097=3,VEHICLE!$R$5,IF(A1097=4,VEHICLE!$P$5,1))))</f>
        <v>72.351594900000009</v>
      </c>
      <c r="L1097" s="57">
        <v>0</v>
      </c>
      <c r="M1097" s="57">
        <f t="shared" si="347"/>
        <v>0</v>
      </c>
      <c r="N1097" s="57">
        <f t="shared" si="340"/>
        <v>0</v>
      </c>
      <c r="O1097" s="57">
        <f t="shared" si="341"/>
        <v>0</v>
      </c>
      <c r="P1097" s="57">
        <f t="shared" si="342"/>
        <v>103.42377586521</v>
      </c>
      <c r="Q1097" s="57">
        <f>IF(H1097=1,I1097*VEHICLE!$C$69,IF(H1097=2,VEHICLE!$C$70*I1097,IF(H1097=3,VEHICLE!$C$71*I1097,0)))</f>
        <v>0</v>
      </c>
      <c r="R1097" s="57">
        <f>(J1097+K1097+O1097+Q1097)</f>
        <v>103.42377586521</v>
      </c>
      <c r="S1097" s="57">
        <f t="shared" si="343"/>
        <v>103.42377586521</v>
      </c>
      <c r="T1097" s="57">
        <f>ABS((R1097)/((2*PI()*G1097)/60))</f>
        <v>0.49381215486529312</v>
      </c>
      <c r="U1097" s="57">
        <f t="shared" si="344"/>
        <v>1</v>
      </c>
      <c r="V1097" s="57">
        <f>INDEX(BSFC!$D$4:$AD$26,MATCH(U1097,BSFC!$B$4:$B$26,0),MATCH(G1097,BSFC!$D$2:$AD$2,0))</f>
        <v>1081.059558720001</v>
      </c>
      <c r="W1097" s="57">
        <f t="shared" si="348"/>
        <v>3.1057572638333395E-2</v>
      </c>
      <c r="X1097" s="57">
        <f t="shared" si="345"/>
        <v>3.1057572638333395E-2</v>
      </c>
      <c r="Y1097" s="57">
        <f t="shared" si="346"/>
        <v>9.5967899452450184E-2</v>
      </c>
      <c r="Z1097" s="79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</row>
    <row r="1098" spans="1:39" x14ac:dyDescent="0.3">
      <c r="A1098" s="55">
        <v>1</v>
      </c>
      <c r="B1098" s="57" t="s">
        <v>136</v>
      </c>
      <c r="C1098" s="57">
        <f t="shared" si="335"/>
        <v>1095</v>
      </c>
      <c r="D1098" s="57">
        <f t="shared" si="339"/>
        <v>13.22067</v>
      </c>
      <c r="E1098" s="57">
        <f t="shared" si="349"/>
        <v>5.91</v>
      </c>
      <c r="F1098" s="86">
        <f>($C$4/E1098)+F1097</f>
        <v>141.58076746259619</v>
      </c>
      <c r="G1098" s="57">
        <f t="shared" si="350"/>
        <v>2000</v>
      </c>
      <c r="H1098" s="57">
        <v>1</v>
      </c>
      <c r="I1098" s="86">
        <f>E1098-E1097</f>
        <v>0</v>
      </c>
      <c r="J1098" s="57">
        <f>(0.5*VEHICLE!$C$71*VEHICLE!$C$28*VEHICLE!$C$27*'Drive Cycle'!E1098^2)</f>
        <v>31.072180965209999</v>
      </c>
      <c r="K1098" s="57">
        <f>IF(A1098=1,VEHICLE!$S$5,IF(A1098=2,VEHICLE!$Q$5,IF(A1098=3,VEHICLE!$R$5,IF(A1098=4,VEHICLE!$P$5,1))))</f>
        <v>72.351594900000009</v>
      </c>
      <c r="L1098" s="57">
        <v>0</v>
      </c>
      <c r="M1098" s="57">
        <f t="shared" si="347"/>
        <v>0</v>
      </c>
      <c r="N1098" s="57">
        <f t="shared" si="340"/>
        <v>0</v>
      </c>
      <c r="O1098" s="57">
        <f t="shared" si="341"/>
        <v>0</v>
      </c>
      <c r="P1098" s="57">
        <f t="shared" si="342"/>
        <v>103.42377586521</v>
      </c>
      <c r="Q1098" s="57">
        <f>IF(H1098=1,I1098*VEHICLE!$C$69,IF(H1098=2,VEHICLE!$C$70*I1098,IF(H1098=3,VEHICLE!$C$71*I1098,0)))</f>
        <v>0</v>
      </c>
      <c r="R1098" s="57">
        <f>(J1098+K1098+O1098+Q1098)</f>
        <v>103.42377586521</v>
      </c>
      <c r="S1098" s="57">
        <f t="shared" si="343"/>
        <v>103.42377586521</v>
      </c>
      <c r="T1098" s="57">
        <f>ABS((R1098)/((2*PI()*G1098)/60))</f>
        <v>0.49381215486529312</v>
      </c>
      <c r="U1098" s="57">
        <f t="shared" si="344"/>
        <v>1</v>
      </c>
      <c r="V1098" s="57">
        <f>INDEX(BSFC!$D$4:$AD$26,MATCH(U1098,BSFC!$B$4:$B$26,0),MATCH(G1098,BSFC!$D$2:$AD$2,0))</f>
        <v>1081.059558720001</v>
      </c>
      <c r="W1098" s="57">
        <f t="shared" si="348"/>
        <v>3.1057572638333395E-2</v>
      </c>
      <c r="X1098" s="57">
        <f t="shared" si="345"/>
        <v>3.1057572638333395E-2</v>
      </c>
      <c r="Y1098" s="57">
        <f t="shared" si="346"/>
        <v>9.5967899452450184E-2</v>
      </c>
      <c r="Z1098" s="79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</row>
    <row r="1099" spans="1:39" x14ac:dyDescent="0.3">
      <c r="A1099" s="55">
        <v>1</v>
      </c>
      <c r="B1099" s="57" t="s">
        <v>136</v>
      </c>
      <c r="C1099" s="57">
        <f t="shared" si="335"/>
        <v>1096</v>
      </c>
      <c r="D1099" s="57">
        <f t="shared" si="339"/>
        <v>13.22067</v>
      </c>
      <c r="E1099" s="57">
        <f t="shared" si="349"/>
        <v>5.91</v>
      </c>
      <c r="F1099" s="86">
        <f>($C$4/E1099)+F1098</f>
        <v>141.74997220032884</v>
      </c>
      <c r="G1099" s="57">
        <f t="shared" si="350"/>
        <v>2000</v>
      </c>
      <c r="H1099" s="57">
        <v>1</v>
      </c>
      <c r="I1099" s="86">
        <f>E1099-E1098</f>
        <v>0</v>
      </c>
      <c r="J1099" s="57">
        <f>(0.5*VEHICLE!$C$71*VEHICLE!$C$28*VEHICLE!$C$27*'Drive Cycle'!E1099^2)</f>
        <v>31.072180965209999</v>
      </c>
      <c r="K1099" s="57">
        <f>IF(A1099=1,VEHICLE!$S$5,IF(A1099=2,VEHICLE!$Q$5,IF(A1099=3,VEHICLE!$R$5,IF(A1099=4,VEHICLE!$P$5,1))))</f>
        <v>72.351594900000009</v>
      </c>
      <c r="L1099" s="57">
        <v>0</v>
      </c>
      <c r="M1099" s="57">
        <f t="shared" si="347"/>
        <v>0</v>
      </c>
      <c r="N1099" s="57">
        <f t="shared" si="340"/>
        <v>0</v>
      </c>
      <c r="O1099" s="57">
        <f t="shared" si="341"/>
        <v>0</v>
      </c>
      <c r="P1099" s="57">
        <f t="shared" si="342"/>
        <v>103.42377586521</v>
      </c>
      <c r="Q1099" s="57">
        <f>IF(H1099=1,I1099*VEHICLE!$C$69,IF(H1099=2,VEHICLE!$C$70*I1099,IF(H1099=3,VEHICLE!$C$71*I1099,0)))</f>
        <v>0</v>
      </c>
      <c r="R1099" s="57">
        <f>(J1099+K1099+O1099+Q1099)</f>
        <v>103.42377586521</v>
      </c>
      <c r="S1099" s="57">
        <f t="shared" si="343"/>
        <v>103.42377586521</v>
      </c>
      <c r="T1099" s="57">
        <f>ABS((R1099)/((2*PI()*G1099)/60))</f>
        <v>0.49381215486529312</v>
      </c>
      <c r="U1099" s="57">
        <f t="shared" si="344"/>
        <v>1</v>
      </c>
      <c r="V1099" s="57">
        <f>INDEX(BSFC!$D$4:$AD$26,MATCH(U1099,BSFC!$B$4:$B$26,0),MATCH(G1099,BSFC!$D$2:$AD$2,0))</f>
        <v>1081.059558720001</v>
      </c>
      <c r="W1099" s="57">
        <f t="shared" si="348"/>
        <v>3.1057572638333395E-2</v>
      </c>
      <c r="X1099" s="57">
        <f t="shared" si="345"/>
        <v>3.1057572638333395E-2</v>
      </c>
      <c r="Y1099" s="57">
        <f t="shared" si="346"/>
        <v>9.5967899452450184E-2</v>
      </c>
      <c r="Z1099" s="79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</row>
    <row r="1100" spans="1:39" x14ac:dyDescent="0.3">
      <c r="A1100" s="55">
        <v>1</v>
      </c>
      <c r="B1100" s="57" t="s">
        <v>136</v>
      </c>
      <c r="C1100" s="57">
        <f t="shared" si="335"/>
        <v>1097</v>
      </c>
      <c r="D1100" s="57">
        <f t="shared" si="339"/>
        <v>13.22067</v>
      </c>
      <c r="E1100" s="57">
        <f t="shared" si="349"/>
        <v>5.91</v>
      </c>
      <c r="F1100" s="86">
        <f>($C$4/E1100)+F1099</f>
        <v>141.9191769380615</v>
      </c>
      <c r="G1100" s="57">
        <f t="shared" si="350"/>
        <v>2000</v>
      </c>
      <c r="H1100" s="57">
        <v>1</v>
      </c>
      <c r="I1100" s="86">
        <f>E1100-E1099</f>
        <v>0</v>
      </c>
      <c r="J1100" s="57">
        <f>(0.5*VEHICLE!$C$71*VEHICLE!$C$28*VEHICLE!$C$27*'Drive Cycle'!E1100^2)</f>
        <v>31.072180965209999</v>
      </c>
      <c r="K1100" s="57">
        <f>IF(A1100=1,VEHICLE!$S$5,IF(A1100=2,VEHICLE!$Q$5,IF(A1100=3,VEHICLE!$R$5,IF(A1100=4,VEHICLE!$P$5,1))))</f>
        <v>72.351594900000009</v>
      </c>
      <c r="L1100" s="57">
        <v>0</v>
      </c>
      <c r="M1100" s="57">
        <f t="shared" si="347"/>
        <v>0</v>
      </c>
      <c r="N1100" s="57">
        <f t="shared" si="340"/>
        <v>0</v>
      </c>
      <c r="O1100" s="57">
        <f t="shared" si="341"/>
        <v>0</v>
      </c>
      <c r="P1100" s="57">
        <f t="shared" si="342"/>
        <v>103.42377586521</v>
      </c>
      <c r="Q1100" s="57">
        <f>IF(H1100=1,I1100*VEHICLE!$C$69,IF(H1100=2,VEHICLE!$C$70*I1100,IF(H1100=3,VEHICLE!$C$71*I1100,0)))</f>
        <v>0</v>
      </c>
      <c r="R1100" s="57">
        <f>(J1100+K1100+O1100+Q1100)</f>
        <v>103.42377586521</v>
      </c>
      <c r="S1100" s="57">
        <f t="shared" si="343"/>
        <v>103.42377586521</v>
      </c>
      <c r="T1100" s="57">
        <f>ABS((R1100)/((2*PI()*G1100)/60))</f>
        <v>0.49381215486529312</v>
      </c>
      <c r="U1100" s="57">
        <f t="shared" si="344"/>
        <v>1</v>
      </c>
      <c r="V1100" s="57">
        <f>INDEX(BSFC!$D$4:$AD$26,MATCH(U1100,BSFC!$B$4:$B$26,0),MATCH(G1100,BSFC!$D$2:$AD$2,0))</f>
        <v>1081.059558720001</v>
      </c>
      <c r="W1100" s="57">
        <f t="shared" si="348"/>
        <v>3.1057572638333395E-2</v>
      </c>
      <c r="X1100" s="57">
        <f t="shared" si="345"/>
        <v>3.1057572638333395E-2</v>
      </c>
      <c r="Y1100" s="57">
        <f t="shared" si="346"/>
        <v>9.5967899452450184E-2</v>
      </c>
      <c r="Z1100" s="79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</row>
    <row r="1101" spans="1:39" x14ac:dyDescent="0.3">
      <c r="A1101" s="55">
        <v>1</v>
      </c>
      <c r="B1101" s="57" t="s">
        <v>136</v>
      </c>
      <c r="C1101" s="57">
        <f t="shared" si="335"/>
        <v>1098</v>
      </c>
      <c r="D1101" s="57">
        <f t="shared" si="339"/>
        <v>13.22067</v>
      </c>
      <c r="E1101" s="57">
        <f t="shared" si="349"/>
        <v>5.91</v>
      </c>
      <c r="F1101" s="86">
        <f>($C$4/E1101)+F1100</f>
        <v>142.08838167579415</v>
      </c>
      <c r="G1101" s="57">
        <f t="shared" si="350"/>
        <v>2000</v>
      </c>
      <c r="H1101" s="57">
        <v>1</v>
      </c>
      <c r="I1101" s="86">
        <f>E1101-E1100</f>
        <v>0</v>
      </c>
      <c r="J1101" s="57">
        <f>(0.5*VEHICLE!$C$71*VEHICLE!$C$28*VEHICLE!$C$27*'Drive Cycle'!E1101^2)</f>
        <v>31.072180965209999</v>
      </c>
      <c r="K1101" s="57">
        <f>IF(A1101=1,VEHICLE!$S$5,IF(A1101=2,VEHICLE!$Q$5,IF(A1101=3,VEHICLE!$R$5,IF(A1101=4,VEHICLE!$P$5,1))))</f>
        <v>72.351594900000009</v>
      </c>
      <c r="L1101" s="57">
        <v>0</v>
      </c>
      <c r="M1101" s="57">
        <f t="shared" si="347"/>
        <v>0</v>
      </c>
      <c r="N1101" s="57">
        <f t="shared" si="340"/>
        <v>0</v>
      </c>
      <c r="O1101" s="57">
        <f t="shared" si="341"/>
        <v>0</v>
      </c>
      <c r="P1101" s="57">
        <f t="shared" si="342"/>
        <v>103.42377586521</v>
      </c>
      <c r="Q1101" s="57">
        <f>IF(H1101=1,I1101*VEHICLE!$C$69,IF(H1101=2,VEHICLE!$C$70*I1101,IF(H1101=3,VEHICLE!$C$71*I1101,0)))</f>
        <v>0</v>
      </c>
      <c r="R1101" s="57">
        <f>(J1101+K1101+O1101+Q1101)</f>
        <v>103.42377586521</v>
      </c>
      <c r="S1101" s="57">
        <f t="shared" si="343"/>
        <v>103.42377586521</v>
      </c>
      <c r="T1101" s="57">
        <f>ABS((R1101)/((2*PI()*G1101)/60))</f>
        <v>0.49381215486529312</v>
      </c>
      <c r="U1101" s="57">
        <f t="shared" si="344"/>
        <v>1</v>
      </c>
      <c r="V1101" s="57">
        <f>INDEX(BSFC!$D$4:$AD$26,MATCH(U1101,BSFC!$B$4:$B$26,0),MATCH(G1101,BSFC!$D$2:$AD$2,0))</f>
        <v>1081.059558720001</v>
      </c>
      <c r="W1101" s="57">
        <f t="shared" si="348"/>
        <v>3.1057572638333395E-2</v>
      </c>
      <c r="X1101" s="57">
        <f t="shared" si="345"/>
        <v>3.1057572638333395E-2</v>
      </c>
      <c r="Y1101" s="57">
        <f t="shared" si="346"/>
        <v>9.5967899452450184E-2</v>
      </c>
      <c r="Z1101" s="79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</row>
    <row r="1102" spans="1:39" x14ac:dyDescent="0.3">
      <c r="A1102" s="55">
        <v>1</v>
      </c>
      <c r="B1102" s="57" t="s">
        <v>136</v>
      </c>
      <c r="C1102" s="57">
        <f t="shared" si="335"/>
        <v>1099</v>
      </c>
      <c r="D1102" s="57">
        <f t="shared" si="339"/>
        <v>13.22067</v>
      </c>
      <c r="E1102" s="57">
        <f t="shared" si="349"/>
        <v>5.91</v>
      </c>
      <c r="F1102" s="86">
        <f>($C$4/E1102)+F1101</f>
        <v>142.25758641352681</v>
      </c>
      <c r="G1102" s="57">
        <f t="shared" si="350"/>
        <v>2000</v>
      </c>
      <c r="H1102" s="57">
        <v>1</v>
      </c>
      <c r="I1102" s="86">
        <f>E1102-E1101</f>
        <v>0</v>
      </c>
      <c r="J1102" s="57">
        <f>(0.5*VEHICLE!$C$71*VEHICLE!$C$28*VEHICLE!$C$27*'Drive Cycle'!E1102^2)</f>
        <v>31.072180965209999</v>
      </c>
      <c r="K1102" s="57">
        <f>IF(A1102=1,VEHICLE!$S$5,IF(A1102=2,VEHICLE!$Q$5,IF(A1102=3,VEHICLE!$R$5,IF(A1102=4,VEHICLE!$P$5,1))))</f>
        <v>72.351594900000009</v>
      </c>
      <c r="L1102" s="57">
        <v>0</v>
      </c>
      <c r="M1102" s="57">
        <f t="shared" si="347"/>
        <v>0</v>
      </c>
      <c r="N1102" s="57">
        <f t="shared" si="340"/>
        <v>0</v>
      </c>
      <c r="O1102" s="57">
        <f t="shared" si="341"/>
        <v>0</v>
      </c>
      <c r="P1102" s="57">
        <f t="shared" si="342"/>
        <v>103.42377586521</v>
      </c>
      <c r="Q1102" s="57">
        <f>IF(H1102=1,I1102*VEHICLE!$C$69,IF(H1102=2,VEHICLE!$C$70*I1102,IF(H1102=3,VEHICLE!$C$71*I1102,0)))</f>
        <v>0</v>
      </c>
      <c r="R1102" s="57">
        <f>(J1102+K1102+O1102+Q1102)</f>
        <v>103.42377586521</v>
      </c>
      <c r="S1102" s="57">
        <f t="shared" si="343"/>
        <v>103.42377586521</v>
      </c>
      <c r="T1102" s="57">
        <f>ABS((R1102)/((2*PI()*G1102)/60))</f>
        <v>0.49381215486529312</v>
      </c>
      <c r="U1102" s="57">
        <f t="shared" si="344"/>
        <v>1</v>
      </c>
      <c r="V1102" s="57">
        <f>INDEX(BSFC!$D$4:$AD$26,MATCH(U1102,BSFC!$B$4:$B$26,0),MATCH(G1102,BSFC!$D$2:$AD$2,0))</f>
        <v>1081.059558720001</v>
      </c>
      <c r="W1102" s="57">
        <f t="shared" si="348"/>
        <v>3.1057572638333395E-2</v>
      </c>
      <c r="X1102" s="57">
        <f t="shared" si="345"/>
        <v>3.1057572638333395E-2</v>
      </c>
      <c r="Y1102" s="57">
        <f t="shared" si="346"/>
        <v>9.5967899452450184E-2</v>
      </c>
      <c r="Z1102" s="79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</row>
    <row r="1103" spans="1:39" x14ac:dyDescent="0.3">
      <c r="A1103" s="55">
        <v>1</v>
      </c>
      <c r="B1103" s="57" t="s">
        <v>136</v>
      </c>
      <c r="C1103" s="57">
        <f t="shared" si="335"/>
        <v>1100</v>
      </c>
      <c r="D1103" s="57">
        <f t="shared" si="339"/>
        <v>13.22067</v>
      </c>
      <c r="E1103" s="57">
        <f t="shared" si="349"/>
        <v>5.91</v>
      </c>
      <c r="F1103" s="86">
        <f>($C$4/E1103)+F1102</f>
        <v>142.42679115125947</v>
      </c>
      <c r="G1103" s="57">
        <f t="shared" si="350"/>
        <v>2000</v>
      </c>
      <c r="H1103" s="57">
        <v>1</v>
      </c>
      <c r="I1103" s="86">
        <f>E1103-E1102</f>
        <v>0</v>
      </c>
      <c r="J1103" s="57">
        <f>(0.5*VEHICLE!$C$71*VEHICLE!$C$28*VEHICLE!$C$27*'Drive Cycle'!E1103^2)</f>
        <v>31.072180965209999</v>
      </c>
      <c r="K1103" s="57">
        <f>IF(A1103=1,VEHICLE!$S$5,IF(A1103=2,VEHICLE!$Q$5,IF(A1103=3,VEHICLE!$R$5,IF(A1103=4,VEHICLE!$P$5,1))))</f>
        <v>72.351594900000009</v>
      </c>
      <c r="L1103" s="57">
        <v>0</v>
      </c>
      <c r="M1103" s="57">
        <f t="shared" si="347"/>
        <v>0</v>
      </c>
      <c r="N1103" s="57">
        <f t="shared" si="340"/>
        <v>0</v>
      </c>
      <c r="O1103" s="57">
        <f t="shared" si="341"/>
        <v>0</v>
      </c>
      <c r="P1103" s="57">
        <f t="shared" si="342"/>
        <v>103.42377586521</v>
      </c>
      <c r="Q1103" s="57">
        <f>IF(H1103=1,I1103*VEHICLE!$C$69,IF(H1103=2,VEHICLE!$C$70*I1103,IF(H1103=3,VEHICLE!$C$71*I1103,0)))</f>
        <v>0</v>
      </c>
      <c r="R1103" s="57">
        <f>(J1103+K1103+O1103+Q1103)</f>
        <v>103.42377586521</v>
      </c>
      <c r="S1103" s="57">
        <f t="shared" si="343"/>
        <v>103.42377586521</v>
      </c>
      <c r="T1103" s="57">
        <f>ABS((R1103)/((2*PI()*G1103)/60))</f>
        <v>0.49381215486529312</v>
      </c>
      <c r="U1103" s="57">
        <f t="shared" si="344"/>
        <v>1</v>
      </c>
      <c r="V1103" s="57">
        <f>INDEX(BSFC!$D$4:$AD$26,MATCH(U1103,BSFC!$B$4:$B$26,0),MATCH(G1103,BSFC!$D$2:$AD$2,0))</f>
        <v>1081.059558720001</v>
      </c>
      <c r="W1103" s="57">
        <f t="shared" si="348"/>
        <v>3.1057572638333395E-2</v>
      </c>
      <c r="X1103" s="57">
        <f t="shared" si="345"/>
        <v>3.1057572638333395E-2</v>
      </c>
      <c r="Y1103" s="57">
        <f t="shared" si="346"/>
        <v>9.5967899452450184E-2</v>
      </c>
      <c r="Z1103" s="79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</row>
    <row r="1104" spans="1:39" x14ac:dyDescent="0.3">
      <c r="A1104" s="55">
        <v>1</v>
      </c>
      <c r="B1104" s="57" t="s">
        <v>136</v>
      </c>
      <c r="C1104" s="57">
        <f t="shared" si="335"/>
        <v>1101</v>
      </c>
      <c r="D1104" s="57">
        <f t="shared" si="339"/>
        <v>13.22067</v>
      </c>
      <c r="E1104" s="57">
        <f t="shared" si="349"/>
        <v>5.91</v>
      </c>
      <c r="F1104" s="86">
        <f>($C$4/E1104)+F1103</f>
        <v>142.59599588899212</v>
      </c>
      <c r="G1104" s="57">
        <f t="shared" si="350"/>
        <v>2000</v>
      </c>
      <c r="H1104" s="57">
        <v>1</v>
      </c>
      <c r="I1104" s="86">
        <f>E1104-E1103</f>
        <v>0</v>
      </c>
      <c r="J1104" s="57">
        <f>(0.5*VEHICLE!$C$71*VEHICLE!$C$28*VEHICLE!$C$27*'Drive Cycle'!E1104^2)</f>
        <v>31.072180965209999</v>
      </c>
      <c r="K1104" s="57">
        <f>IF(A1104=1,VEHICLE!$S$5,IF(A1104=2,VEHICLE!$Q$5,IF(A1104=3,VEHICLE!$R$5,IF(A1104=4,VEHICLE!$P$5,1))))</f>
        <v>72.351594900000009</v>
      </c>
      <c r="L1104" s="57">
        <v>0</v>
      </c>
      <c r="M1104" s="57">
        <f t="shared" si="347"/>
        <v>0</v>
      </c>
      <c r="N1104" s="57">
        <f t="shared" si="340"/>
        <v>0</v>
      </c>
      <c r="O1104" s="57">
        <f t="shared" si="341"/>
        <v>0</v>
      </c>
      <c r="P1104" s="57">
        <f t="shared" si="342"/>
        <v>103.42377586521</v>
      </c>
      <c r="Q1104" s="57">
        <f>IF(H1104=1,I1104*VEHICLE!$C$69,IF(H1104=2,VEHICLE!$C$70*I1104,IF(H1104=3,VEHICLE!$C$71*I1104,0)))</f>
        <v>0</v>
      </c>
      <c r="R1104" s="57">
        <f>(J1104+K1104+O1104+Q1104)</f>
        <v>103.42377586521</v>
      </c>
      <c r="S1104" s="57">
        <f t="shared" si="343"/>
        <v>103.42377586521</v>
      </c>
      <c r="T1104" s="57">
        <f>ABS((R1104)/((2*PI()*G1104)/60))</f>
        <v>0.49381215486529312</v>
      </c>
      <c r="U1104" s="57">
        <f t="shared" si="344"/>
        <v>1</v>
      </c>
      <c r="V1104" s="57">
        <f>INDEX(BSFC!$D$4:$AD$26,MATCH(U1104,BSFC!$B$4:$B$26,0),MATCH(G1104,BSFC!$D$2:$AD$2,0))</f>
        <v>1081.059558720001</v>
      </c>
      <c r="W1104" s="57">
        <f t="shared" si="348"/>
        <v>3.1057572638333395E-2</v>
      </c>
      <c r="X1104" s="57">
        <f t="shared" si="345"/>
        <v>3.1057572638333395E-2</v>
      </c>
      <c r="Y1104" s="57">
        <f t="shared" si="346"/>
        <v>9.5967899452450184E-2</v>
      </c>
      <c r="Z1104" s="79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</row>
    <row r="1105" spans="1:39" x14ac:dyDescent="0.3">
      <c r="A1105" s="55">
        <v>1</v>
      </c>
      <c r="B1105" s="57" t="s">
        <v>136</v>
      </c>
      <c r="C1105" s="57">
        <f t="shared" si="335"/>
        <v>1102</v>
      </c>
      <c r="D1105" s="57">
        <f t="shared" si="339"/>
        <v>13.22067</v>
      </c>
      <c r="E1105" s="57">
        <f t="shared" si="349"/>
        <v>5.91</v>
      </c>
      <c r="F1105" s="86">
        <f>($C$4/E1105)+F1104</f>
        <v>142.76520062672478</v>
      </c>
      <c r="G1105" s="57">
        <f t="shared" si="350"/>
        <v>2000</v>
      </c>
      <c r="H1105" s="57">
        <v>1</v>
      </c>
      <c r="I1105" s="86">
        <f>E1105-E1104</f>
        <v>0</v>
      </c>
      <c r="J1105" s="57">
        <f>(0.5*VEHICLE!$C$71*VEHICLE!$C$28*VEHICLE!$C$27*'Drive Cycle'!E1105^2)</f>
        <v>31.072180965209999</v>
      </c>
      <c r="K1105" s="57">
        <f>IF(A1105=1,VEHICLE!$S$5,IF(A1105=2,VEHICLE!$Q$5,IF(A1105=3,VEHICLE!$R$5,IF(A1105=4,VEHICLE!$P$5,1))))</f>
        <v>72.351594900000009</v>
      </c>
      <c r="L1105" s="57">
        <v>0</v>
      </c>
      <c r="M1105" s="57">
        <f t="shared" si="347"/>
        <v>0</v>
      </c>
      <c r="N1105" s="57">
        <f t="shared" si="340"/>
        <v>0</v>
      </c>
      <c r="O1105" s="57">
        <f t="shared" si="341"/>
        <v>0</v>
      </c>
      <c r="P1105" s="57">
        <f t="shared" si="342"/>
        <v>103.42377586521</v>
      </c>
      <c r="Q1105" s="57">
        <f>IF(H1105=1,I1105*VEHICLE!$C$69,IF(H1105=2,VEHICLE!$C$70*I1105,IF(H1105=3,VEHICLE!$C$71*I1105,0)))</f>
        <v>0</v>
      </c>
      <c r="R1105" s="57">
        <f>(J1105+K1105+O1105+Q1105)</f>
        <v>103.42377586521</v>
      </c>
      <c r="S1105" s="57">
        <f t="shared" si="343"/>
        <v>103.42377586521</v>
      </c>
      <c r="T1105" s="57">
        <f>ABS((R1105)/((2*PI()*G1105)/60))</f>
        <v>0.49381215486529312</v>
      </c>
      <c r="U1105" s="57">
        <f t="shared" si="344"/>
        <v>1</v>
      </c>
      <c r="V1105" s="57">
        <f>INDEX(BSFC!$D$4:$AD$26,MATCH(U1105,BSFC!$B$4:$B$26,0),MATCH(G1105,BSFC!$D$2:$AD$2,0))</f>
        <v>1081.059558720001</v>
      </c>
      <c r="W1105" s="57">
        <f t="shared" si="348"/>
        <v>3.1057572638333395E-2</v>
      </c>
      <c r="X1105" s="57">
        <f t="shared" si="345"/>
        <v>3.1057572638333395E-2</v>
      </c>
      <c r="Y1105" s="57">
        <f t="shared" si="346"/>
        <v>9.5967899452450184E-2</v>
      </c>
      <c r="Z1105" s="79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</row>
    <row r="1106" spans="1:39" x14ac:dyDescent="0.3">
      <c r="A1106" s="55">
        <v>1</v>
      </c>
      <c r="B1106" s="57" t="s">
        <v>136</v>
      </c>
      <c r="C1106" s="57">
        <f t="shared" si="335"/>
        <v>1103</v>
      </c>
      <c r="D1106" s="57">
        <f t="shared" si="339"/>
        <v>13.22067</v>
      </c>
      <c r="E1106" s="57">
        <f t="shared" si="349"/>
        <v>5.91</v>
      </c>
      <c r="F1106" s="86">
        <f>($C$4/E1106)+F1105</f>
        <v>142.93440536445743</v>
      </c>
      <c r="G1106" s="57">
        <f t="shared" si="350"/>
        <v>2000</v>
      </c>
      <c r="H1106" s="57">
        <v>1</v>
      </c>
      <c r="I1106" s="86">
        <f>E1106-E1105</f>
        <v>0</v>
      </c>
      <c r="J1106" s="57">
        <f>(0.5*VEHICLE!$C$71*VEHICLE!$C$28*VEHICLE!$C$27*'Drive Cycle'!E1106^2)</f>
        <v>31.072180965209999</v>
      </c>
      <c r="K1106" s="57">
        <f>IF(A1106=1,VEHICLE!$S$5,IF(A1106=2,VEHICLE!$Q$5,IF(A1106=3,VEHICLE!$R$5,IF(A1106=4,VEHICLE!$P$5,1))))</f>
        <v>72.351594900000009</v>
      </c>
      <c r="L1106" s="57">
        <v>0</v>
      </c>
      <c r="M1106" s="57">
        <f t="shared" si="347"/>
        <v>0</v>
      </c>
      <c r="N1106" s="57">
        <f t="shared" si="340"/>
        <v>0</v>
      </c>
      <c r="O1106" s="57">
        <f t="shared" si="341"/>
        <v>0</v>
      </c>
      <c r="P1106" s="57">
        <f t="shared" si="342"/>
        <v>103.42377586521</v>
      </c>
      <c r="Q1106" s="57">
        <f>IF(H1106=1,I1106*VEHICLE!$C$69,IF(H1106=2,VEHICLE!$C$70*I1106,IF(H1106=3,VEHICLE!$C$71*I1106,0)))</f>
        <v>0</v>
      </c>
      <c r="R1106" s="57">
        <f>(J1106+K1106+O1106+Q1106)</f>
        <v>103.42377586521</v>
      </c>
      <c r="S1106" s="57">
        <f t="shared" si="343"/>
        <v>103.42377586521</v>
      </c>
      <c r="T1106" s="57">
        <f>ABS((R1106)/((2*PI()*G1106)/60))</f>
        <v>0.49381215486529312</v>
      </c>
      <c r="U1106" s="57">
        <f t="shared" si="344"/>
        <v>1</v>
      </c>
      <c r="V1106" s="57">
        <f>INDEX(BSFC!$D$4:$AD$26,MATCH(U1106,BSFC!$B$4:$B$26,0),MATCH(G1106,BSFC!$D$2:$AD$2,0))</f>
        <v>1081.059558720001</v>
      </c>
      <c r="W1106" s="57">
        <f t="shared" si="348"/>
        <v>3.1057572638333395E-2</v>
      </c>
      <c r="X1106" s="57">
        <f t="shared" si="345"/>
        <v>3.1057572638333395E-2</v>
      </c>
      <c r="Y1106" s="57">
        <f t="shared" si="346"/>
        <v>9.5967899452450184E-2</v>
      </c>
      <c r="Z1106" s="79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</row>
    <row r="1107" spans="1:39" x14ac:dyDescent="0.3">
      <c r="A1107" s="55">
        <v>1</v>
      </c>
      <c r="B1107" s="57" t="s">
        <v>136</v>
      </c>
      <c r="C1107" s="57">
        <f t="shared" si="335"/>
        <v>1104</v>
      </c>
      <c r="D1107" s="57">
        <f t="shared" si="339"/>
        <v>15.45767</v>
      </c>
      <c r="E1107" s="57">
        <f t="shared" ref="E1107:E1111" si="351">E1106+1</f>
        <v>6.91</v>
      </c>
      <c r="F1107" s="86">
        <f>($C$4/E1107)+F1106</f>
        <v>143.07912316474687</v>
      </c>
      <c r="G1107" s="57">
        <f>G1106+1000</f>
        <v>3000</v>
      </c>
      <c r="H1107" s="57">
        <v>1</v>
      </c>
      <c r="I1107" s="86">
        <f>E1107-E1106</f>
        <v>1</v>
      </c>
      <c r="J1107" s="57">
        <f>(0.5*VEHICLE!$C$71*VEHICLE!$C$28*VEHICLE!$C$27*'Drive Cycle'!E1107^2)</f>
        <v>42.476905527209993</v>
      </c>
      <c r="K1107" s="57">
        <f>IF(A1107=1,VEHICLE!$S$5,IF(A1107=2,VEHICLE!$Q$5,IF(A1107=3,VEHICLE!$R$5,IF(A1107=4,VEHICLE!$P$5,1))))</f>
        <v>72.351594900000009</v>
      </c>
      <c r="L1107" s="57">
        <v>0</v>
      </c>
      <c r="M1107" s="57">
        <f t="shared" si="347"/>
        <v>0</v>
      </c>
      <c r="N1107" s="57">
        <f t="shared" si="340"/>
        <v>0</v>
      </c>
      <c r="O1107" s="57">
        <f t="shared" si="341"/>
        <v>0</v>
      </c>
      <c r="P1107" s="57">
        <f t="shared" si="342"/>
        <v>114.82850042721</v>
      </c>
      <c r="Q1107" s="57">
        <f>IF(H1107=1,I1107*VEHICLE!$C$69,IF(H1107=2,VEHICLE!$C$70*I1107,IF(H1107=3,VEHICLE!$C$71*I1107,0)))</f>
        <v>587.32023542819468</v>
      </c>
      <c r="R1107" s="57">
        <f>(J1107+K1107+O1107+Q1107)</f>
        <v>702.14873585540465</v>
      </c>
      <c r="S1107" s="57">
        <f t="shared" si="343"/>
        <v>702.14873585540465</v>
      </c>
      <c r="T1107" s="57">
        <f>ABS((R1107)/((2*PI()*G1107)/60))</f>
        <v>2.2350088419422636</v>
      </c>
      <c r="U1107" s="57">
        <f t="shared" si="344"/>
        <v>3</v>
      </c>
      <c r="V1107" s="57">
        <f>INDEX(BSFC!$D$4:$AD$26,MATCH(U1107,BSFC!$B$4:$B$26,0),MATCH(G1107,BSFC!$D$2:$AD$2,0))</f>
        <v>875.83654128000001</v>
      </c>
      <c r="W1107" s="57">
        <f t="shared" si="348"/>
        <v>0.17082431118770053</v>
      </c>
      <c r="X1107" s="57">
        <f t="shared" si="345"/>
        <v>0.17082431118770053</v>
      </c>
      <c r="Y1107" s="57">
        <f t="shared" si="346"/>
        <v>0.52784712156999458</v>
      </c>
      <c r="Z1107" s="79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</row>
    <row r="1108" spans="1:39" x14ac:dyDescent="0.3">
      <c r="A1108" s="55">
        <v>1</v>
      </c>
      <c r="B1108" s="57" t="s">
        <v>136</v>
      </c>
      <c r="C1108" s="57">
        <f t="shared" si="335"/>
        <v>1105</v>
      </c>
      <c r="D1108" s="57">
        <f t="shared" si="339"/>
        <v>17.694670000000002</v>
      </c>
      <c r="E1108" s="57">
        <f t="shared" si="351"/>
        <v>7.91</v>
      </c>
      <c r="F1108" s="86">
        <f>($C$4/E1108)+F1107</f>
        <v>143.20554541506294</v>
      </c>
      <c r="G1108" s="57">
        <f t="shared" ref="G1108:G1110" si="352">G1107+1000</f>
        <v>4000</v>
      </c>
      <c r="H1108" s="57">
        <v>2</v>
      </c>
      <c r="I1108" s="86">
        <f>E1108-E1107</f>
        <v>1</v>
      </c>
      <c r="J1108" s="57">
        <f>(0.5*VEHICLE!$C$71*VEHICLE!$C$28*VEHICLE!$C$27*'Drive Cycle'!E1108^2)</f>
        <v>55.660838289209991</v>
      </c>
      <c r="K1108" s="57">
        <f>IF(A1108=1,VEHICLE!$S$5,IF(A1108=2,VEHICLE!$Q$5,IF(A1108=3,VEHICLE!$R$5,IF(A1108=4,VEHICLE!$P$5,1))))</f>
        <v>72.351594900000009</v>
      </c>
      <c r="L1108" s="57">
        <v>0</v>
      </c>
      <c r="M1108" s="57">
        <f t="shared" si="347"/>
        <v>0</v>
      </c>
      <c r="N1108" s="57">
        <f t="shared" si="340"/>
        <v>0</v>
      </c>
      <c r="O1108" s="57">
        <f t="shared" si="341"/>
        <v>0</v>
      </c>
      <c r="P1108" s="57">
        <f t="shared" si="342"/>
        <v>128.01243318921001</v>
      </c>
      <c r="Q1108" s="57">
        <f>IF(H1108=1,I1108*VEHICLE!$C$69,IF(H1108=2,VEHICLE!$C$70*I1108,IF(H1108=3,VEHICLE!$C$71*I1108,0)))</f>
        <v>585.14848653011734</v>
      </c>
      <c r="R1108" s="57">
        <f>(J1108+K1108+O1108+Q1108)</f>
        <v>713.16091971932735</v>
      </c>
      <c r="S1108" s="57">
        <f t="shared" si="343"/>
        <v>713.16091971932735</v>
      </c>
      <c r="T1108" s="57">
        <f>ABS((R1108)/((2*PI()*G1108)/60))</f>
        <v>1.7025462838993994</v>
      </c>
      <c r="U1108" s="57">
        <f t="shared" si="344"/>
        <v>2</v>
      </c>
      <c r="V1108" s="57">
        <f>INDEX(BSFC!$D$4:$AD$26,MATCH(U1108,BSFC!$B$4:$B$26,0),MATCH(G1108,BSFC!$D$2:$AD$2,0))</f>
        <v>918.89477663999969</v>
      </c>
      <c r="W1108" s="57">
        <f t="shared" si="348"/>
        <v>0.18203329000940777</v>
      </c>
      <c r="X1108" s="57">
        <f t="shared" si="345"/>
        <v>0.18203329000940777</v>
      </c>
      <c r="Y1108" s="57">
        <f t="shared" si="346"/>
        <v>0.56248286612906995</v>
      </c>
      <c r="Z1108" s="79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</row>
    <row r="1109" spans="1:39" x14ac:dyDescent="0.3">
      <c r="A1109" s="55">
        <v>1</v>
      </c>
      <c r="B1109" s="57" t="s">
        <v>136</v>
      </c>
      <c r="C1109" s="57">
        <f t="shared" si="335"/>
        <v>1106</v>
      </c>
      <c r="D1109" s="57">
        <f t="shared" si="339"/>
        <v>19.93167</v>
      </c>
      <c r="E1109" s="57">
        <f t="shared" si="351"/>
        <v>8.91</v>
      </c>
      <c r="F1109" s="86">
        <f>($C$4/E1109)+F1108</f>
        <v>143.31777886062972</v>
      </c>
      <c r="G1109" s="57">
        <f t="shared" si="352"/>
        <v>5000</v>
      </c>
      <c r="H1109" s="57">
        <v>2</v>
      </c>
      <c r="I1109" s="86">
        <f>E1109-E1108</f>
        <v>1</v>
      </c>
      <c r="J1109" s="57">
        <f>(0.5*VEHICLE!$C$71*VEHICLE!$C$28*VEHICLE!$C$27*'Drive Cycle'!E1109^2)</f>
        <v>70.623979251210002</v>
      </c>
      <c r="K1109" s="57">
        <f>IF(A1109=1,VEHICLE!$S$5,IF(A1109=2,VEHICLE!$Q$5,IF(A1109=3,VEHICLE!$R$5,IF(A1109=4,VEHICLE!$P$5,1))))</f>
        <v>72.351594900000009</v>
      </c>
      <c r="L1109" s="57">
        <v>0</v>
      </c>
      <c r="M1109" s="57">
        <f t="shared" si="347"/>
        <v>0</v>
      </c>
      <c r="N1109" s="57">
        <f t="shared" si="340"/>
        <v>0</v>
      </c>
      <c r="O1109" s="57">
        <f t="shared" si="341"/>
        <v>0</v>
      </c>
      <c r="P1109" s="57">
        <f t="shared" si="342"/>
        <v>142.97557415121003</v>
      </c>
      <c r="Q1109" s="57">
        <f>IF(H1109=1,I1109*VEHICLE!$C$69,IF(H1109=2,VEHICLE!$C$70*I1109,IF(H1109=3,VEHICLE!$C$71*I1109,0)))</f>
        <v>585.14848653011734</v>
      </c>
      <c r="R1109" s="57">
        <f>(J1109+K1109+O1109+Q1109)</f>
        <v>728.12406068132736</v>
      </c>
      <c r="S1109" s="57">
        <f t="shared" si="343"/>
        <v>728.12406068132736</v>
      </c>
      <c r="T1109" s="57">
        <f>ABS((R1109)/((2*PI()*G1109)/60))</f>
        <v>1.3906145212989169</v>
      </c>
      <c r="U1109" s="57">
        <f t="shared" si="344"/>
        <v>2</v>
      </c>
      <c r="V1109" s="57">
        <f>INDEX(BSFC!$D$4:$AD$26,MATCH(U1109,BSFC!$B$4:$B$26,0),MATCH(G1109,BSFC!$D$2:$AD$2,0))</f>
        <v>881.19835871999999</v>
      </c>
      <c r="W1109" s="57">
        <f t="shared" si="348"/>
        <v>0.17822825756025759</v>
      </c>
      <c r="X1109" s="57">
        <f t="shared" si="345"/>
        <v>0.17822825756025759</v>
      </c>
      <c r="Y1109" s="57">
        <f t="shared" si="346"/>
        <v>0.55072531586119589</v>
      </c>
      <c r="Z1109" s="79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</row>
    <row r="1110" spans="1:39" x14ac:dyDescent="0.3">
      <c r="A1110" s="55">
        <v>1</v>
      </c>
      <c r="B1110" s="57" t="s">
        <v>136</v>
      </c>
      <c r="C1110" s="57">
        <f t="shared" si="335"/>
        <v>1107</v>
      </c>
      <c r="D1110" s="57">
        <f t="shared" si="339"/>
        <v>22.168670000000002</v>
      </c>
      <c r="E1110" s="57">
        <f t="shared" si="351"/>
        <v>9.91</v>
      </c>
      <c r="F1110" s="86">
        <f>($C$4/E1110)+F1109</f>
        <v>143.41868703419178</v>
      </c>
      <c r="G1110" s="57">
        <f t="shared" si="352"/>
        <v>6000</v>
      </c>
      <c r="H1110" s="57">
        <v>3</v>
      </c>
      <c r="I1110" s="86">
        <f>E1110-E1109</f>
        <v>1</v>
      </c>
      <c r="J1110" s="57">
        <f>(0.5*VEHICLE!$C$71*VEHICLE!$C$28*VEHICLE!$C$27*'Drive Cycle'!E1110^2)</f>
        <v>87.366328413209985</v>
      </c>
      <c r="K1110" s="57">
        <f>IF(A1110=1,VEHICLE!$S$5,IF(A1110=2,VEHICLE!$Q$5,IF(A1110=3,VEHICLE!$R$5,IF(A1110=4,VEHICLE!$P$5,1))))</f>
        <v>72.351594900000009</v>
      </c>
      <c r="L1110" s="57">
        <v>0</v>
      </c>
      <c r="M1110" s="57">
        <f t="shared" si="347"/>
        <v>0</v>
      </c>
      <c r="N1110" s="57">
        <f t="shared" si="340"/>
        <v>0</v>
      </c>
      <c r="O1110" s="57">
        <f t="shared" si="341"/>
        <v>0</v>
      </c>
      <c r="P1110" s="57">
        <f t="shared" si="342"/>
        <v>159.71792331321001</v>
      </c>
      <c r="Q1110" s="57">
        <f>IF(H1110=1,I1110*VEHICLE!$C$69,IF(H1110=2,VEHICLE!$C$70*I1110,IF(H1110=3,VEHICLE!$C$71*I1110,0)))</f>
        <v>1.167</v>
      </c>
      <c r="R1110" s="57">
        <f>(J1110+K1110+O1110+Q1110)</f>
        <v>160.88492331321001</v>
      </c>
      <c r="S1110" s="57">
        <f t="shared" si="343"/>
        <v>160.88492331321001</v>
      </c>
      <c r="T1110" s="57">
        <f>ABS((R1110)/((2*PI()*G1110)/60))</f>
        <v>0.25605630814257885</v>
      </c>
      <c r="U1110" s="57">
        <f t="shared" si="344"/>
        <v>1</v>
      </c>
      <c r="V1110" s="57">
        <f>INDEX(BSFC!$D$4:$AD$26,MATCH(U1110,BSFC!$B$4:$B$26,0),MATCH(G1110,BSFC!$D$2:$AD$2,0))</f>
        <v>933.91499472000044</v>
      </c>
      <c r="W1110" s="57">
        <f t="shared" si="348"/>
        <v>4.1736900640717833E-2</v>
      </c>
      <c r="X1110" s="57">
        <f t="shared" si="345"/>
        <v>4.1736900640717833E-2</v>
      </c>
      <c r="Y1110" s="57">
        <f t="shared" si="346"/>
        <v>0.1289670229798181</v>
      </c>
      <c r="Z1110" s="79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</row>
    <row r="1111" spans="1:39" x14ac:dyDescent="0.3">
      <c r="A1111" s="55">
        <v>1</v>
      </c>
      <c r="B1111" s="57" t="s">
        <v>136</v>
      </c>
      <c r="C1111" s="57">
        <f t="shared" si="335"/>
        <v>1108</v>
      </c>
      <c r="D1111" s="57">
        <f t="shared" si="339"/>
        <v>24.405670000000001</v>
      </c>
      <c r="E1111" s="57">
        <f t="shared" si="351"/>
        <v>10.91</v>
      </c>
      <c r="F1111" s="86">
        <f>($C$4/E1111)+F1110</f>
        <v>143.51034606260609</v>
      </c>
      <c r="G1111" s="57">
        <f>G1110+1000</f>
        <v>7000</v>
      </c>
      <c r="H1111" s="57">
        <v>3</v>
      </c>
      <c r="I1111" s="86">
        <f>E1111-E1110</f>
        <v>1</v>
      </c>
      <c r="J1111" s="57">
        <f>(0.5*VEHICLE!$C$71*VEHICLE!$C$28*VEHICLE!$C$27*'Drive Cycle'!E1111^2)</f>
        <v>105.88788577520999</v>
      </c>
      <c r="K1111" s="57">
        <f>IF(A1111=1,VEHICLE!$S$5,IF(A1111=2,VEHICLE!$Q$5,IF(A1111=3,VEHICLE!$R$5,IF(A1111=4,VEHICLE!$P$5,1))))</f>
        <v>72.351594900000009</v>
      </c>
      <c r="L1111" s="57">
        <v>0</v>
      </c>
      <c r="M1111" s="57">
        <f t="shared" si="347"/>
        <v>0</v>
      </c>
      <c r="N1111" s="57">
        <f t="shared" si="340"/>
        <v>0</v>
      </c>
      <c r="O1111" s="57">
        <f t="shared" si="341"/>
        <v>0</v>
      </c>
      <c r="P1111" s="57">
        <f t="shared" si="342"/>
        <v>178.23948067521002</v>
      </c>
      <c r="Q1111" s="57">
        <f>IF(H1111=1,I1111*VEHICLE!$C$69,IF(H1111=2,VEHICLE!$C$70*I1111,IF(H1111=3,VEHICLE!$C$71*I1111,0)))</f>
        <v>1.167</v>
      </c>
      <c r="R1111" s="57">
        <f>(J1111+K1111+O1111+Q1111)</f>
        <v>179.40648067521002</v>
      </c>
      <c r="S1111" s="57">
        <f t="shared" si="343"/>
        <v>179.40648067521002</v>
      </c>
      <c r="T1111" s="57">
        <f>ABS((R1111)/((2*PI()*G1111)/60))</f>
        <v>0.24474367047583093</v>
      </c>
      <c r="U1111" s="57">
        <f t="shared" si="344"/>
        <v>1</v>
      </c>
      <c r="V1111" s="57">
        <f>INDEX(BSFC!$D$4:$AD$26,MATCH(U1111,BSFC!$B$4:$B$26,0),MATCH(G1111,BSFC!$D$2:$AD$2,0))</f>
        <v>920.25590927999997</v>
      </c>
      <c r="W1111" s="57">
        <f t="shared" si="348"/>
        <v>4.5861076112358373E-2</v>
      </c>
      <c r="X1111" s="57">
        <f t="shared" si="345"/>
        <v>4.5861076112358373E-2</v>
      </c>
      <c r="Y1111" s="57">
        <f t="shared" si="346"/>
        <v>0.14171072518718736</v>
      </c>
      <c r="Z1111" s="79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</row>
    <row r="1112" spans="1:39" x14ac:dyDescent="0.3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</row>
    <row r="1113" spans="1:39" x14ac:dyDescent="0.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</row>
    <row r="1114" spans="1:39" x14ac:dyDescent="0.3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</row>
    <row r="1115" spans="1:39" x14ac:dyDescent="0.3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</row>
    <row r="1116" spans="1:39" x14ac:dyDescent="0.3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</row>
    <row r="1117" spans="1:39" x14ac:dyDescent="0.3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</row>
    <row r="1118" spans="1:39" x14ac:dyDescent="0.3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</row>
    <row r="1119" spans="1:39" x14ac:dyDescent="0.3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</row>
    <row r="1120" spans="1:39" x14ac:dyDescent="0.3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</row>
    <row r="1121" spans="1:39" x14ac:dyDescent="0.3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</row>
    <row r="1122" spans="1:39" x14ac:dyDescent="0.3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</row>
    <row r="1123" spans="1:39" x14ac:dyDescent="0.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</row>
    <row r="1124" spans="1:39" x14ac:dyDescent="0.3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</row>
    <row r="1125" spans="1:39" x14ac:dyDescent="0.3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</row>
    <row r="1126" spans="1:39" x14ac:dyDescent="0.3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</row>
    <row r="1127" spans="1:39" x14ac:dyDescent="0.3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</row>
    <row r="1128" spans="1:39" x14ac:dyDescent="0.3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</row>
    <row r="1129" spans="1:39" x14ac:dyDescent="0.3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</row>
    <row r="1130" spans="1:39" x14ac:dyDescent="0.3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</row>
    <row r="1131" spans="1:39" x14ac:dyDescent="0.3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</row>
    <row r="1132" spans="1:39" x14ac:dyDescent="0.3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944E-BB68-4B2A-BFC6-AE3784760696}">
  <dimension ref="A1"/>
  <sheetViews>
    <sheetView zoomScale="60" zoomScaleNormal="60" workbookViewId="0">
      <selection activeCell="I63" sqref="I63"/>
    </sheetView>
  </sheetViews>
  <sheetFormatPr defaultRowHeight="15.6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9BCFA-5EC8-4689-A0CA-A0CA4E46DE8E}">
  <dimension ref="A1:U30"/>
  <sheetViews>
    <sheetView workbookViewId="0">
      <selection activeCell="L21" sqref="L21"/>
    </sheetView>
  </sheetViews>
  <sheetFormatPr defaultRowHeight="15.6" x14ac:dyDescent="0.3"/>
  <cols>
    <col min="2" max="2" width="11.796875" bestFit="1" customWidth="1"/>
    <col min="3" max="3" width="12" bestFit="1" customWidth="1"/>
    <col min="4" max="4" width="14.5" bestFit="1" customWidth="1"/>
    <col min="5" max="5" width="20.59765625" bestFit="1" customWidth="1"/>
    <col min="6" max="6" width="15.5" bestFit="1" customWidth="1"/>
  </cols>
  <sheetData>
    <row r="1" spans="1:2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</row>
    <row r="2" spans="1:21" x14ac:dyDescent="0.3">
      <c r="A2" s="63"/>
      <c r="B2" s="82" t="s">
        <v>170</v>
      </c>
      <c r="C2" s="82" t="s">
        <v>171</v>
      </c>
      <c r="D2" s="82" t="s">
        <v>179</v>
      </c>
      <c r="E2" s="82" t="s">
        <v>180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1" x14ac:dyDescent="0.3">
      <c r="A3" s="63"/>
      <c r="B3" s="82" t="s">
        <v>139</v>
      </c>
      <c r="C3" s="83">
        <v>0.55000000000000004</v>
      </c>
      <c r="D3" s="84">
        <f>2*(C3*((VEHICLE!$C$47*9.81)/4))</f>
        <v>1530.5145075000005</v>
      </c>
      <c r="E3" s="84">
        <f>D3/VEHICLE!$C$47</f>
        <v>2.6977500000000005</v>
      </c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</row>
    <row r="4" spans="1:21" x14ac:dyDescent="0.3">
      <c r="A4" s="63"/>
      <c r="B4" s="82" t="s">
        <v>140</v>
      </c>
      <c r="C4" s="83">
        <v>0.6</v>
      </c>
      <c r="D4" s="84">
        <f>2*(C4*((VEHICLE!$C$47*9.81)/4))</f>
        <v>1669.6521900000002</v>
      </c>
      <c r="E4" s="84">
        <f>D4/VEHICLE!$C$47</f>
        <v>2.9430000000000001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</row>
    <row r="5" spans="1:21" x14ac:dyDescent="0.3">
      <c r="A5" s="63"/>
      <c r="B5" s="82" t="s">
        <v>138</v>
      </c>
      <c r="C5" s="83">
        <v>0.68</v>
      </c>
      <c r="D5" s="84">
        <f>2*(C5*((VEHICLE!$C$47*9.81)/4))</f>
        <v>1892.2724820000005</v>
      </c>
      <c r="E5" s="84">
        <f>D5/VEHICLE!$C$47</f>
        <v>3.3354000000000008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</row>
    <row r="6" spans="1:21" x14ac:dyDescent="0.3">
      <c r="A6" s="63"/>
      <c r="B6" s="82" t="s">
        <v>137</v>
      </c>
      <c r="C6" s="83">
        <v>0.85</v>
      </c>
      <c r="D6" s="84">
        <f>2*(C6*((VEHICLE!$C$47*9.81)/4))</f>
        <v>2365.3406025000004</v>
      </c>
      <c r="E6" s="84">
        <f>D6/VEHICLE!$C$47</f>
        <v>4.1692500000000008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</row>
    <row r="7" spans="1:21" x14ac:dyDescent="0.3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</row>
    <row r="8" spans="1:21" x14ac:dyDescent="0.3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</row>
    <row r="9" spans="1:21" x14ac:dyDescent="0.3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</row>
    <row r="10" spans="1:2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</row>
    <row r="11" spans="1:21" x14ac:dyDescent="0.3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</row>
    <row r="12" spans="1:21" x14ac:dyDescent="0.3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</row>
    <row r="13" spans="1:21" x14ac:dyDescent="0.3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</row>
    <row r="14" spans="1:21" x14ac:dyDescent="0.3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</row>
    <row r="15" spans="1:21" x14ac:dyDescent="0.3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</row>
    <row r="16" spans="1:21" x14ac:dyDescent="0.3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</row>
    <row r="17" spans="1:21" x14ac:dyDescent="0.3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</row>
    <row r="18" spans="1:21" x14ac:dyDescent="0.3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</row>
    <row r="19" spans="1:21" x14ac:dyDescent="0.3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</row>
    <row r="20" spans="1:21" x14ac:dyDescent="0.3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</row>
    <row r="21" spans="1:21" x14ac:dyDescent="0.3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</row>
    <row r="22" spans="1:21" x14ac:dyDescent="0.3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</row>
    <row r="23" spans="1:21" x14ac:dyDescent="0.3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</row>
    <row r="24" spans="1:21" x14ac:dyDescent="0.3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</row>
    <row r="25" spans="1:21" x14ac:dyDescent="0.3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</row>
    <row r="26" spans="1:21" x14ac:dyDescent="0.3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</row>
    <row r="27" spans="1:21" x14ac:dyDescent="0.3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</row>
    <row r="28" spans="1:21" x14ac:dyDescent="0.3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</row>
    <row r="29" spans="1:21" x14ac:dyDescent="0.3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</row>
    <row r="30" spans="1:21" x14ac:dyDescent="0.3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VEHICLE</vt:lpstr>
      <vt:lpstr>Track Map</vt:lpstr>
      <vt:lpstr>BSFC</vt:lpstr>
      <vt:lpstr>Drive Cycle</vt:lpstr>
      <vt:lpstr>Graphs</vt:lpstr>
      <vt:lpstr>Tractive Effort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Wesley Patrick</dc:creator>
  <cp:lastModifiedBy>MC Foss</cp:lastModifiedBy>
  <dcterms:created xsi:type="dcterms:W3CDTF">2021-11-11T15:07:32Z</dcterms:created>
  <dcterms:modified xsi:type="dcterms:W3CDTF">2021-11-29T23:08:49Z</dcterms:modified>
</cp:coreProperties>
</file>