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threadedComments/threadedComment1.xml" ContentType="application/vnd.ms-excel.threadedcomments+xml"/>
  <Override PartName="/xl/comments4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16168657f6992964/University/05. Yr 5/Intergrated Project/"/>
    </mc:Choice>
  </mc:AlternateContent>
  <xr:revisionPtr revIDLastSave="796" documentId="8_{3BC4CB40-76CF-42EB-956B-106CE9307365}" xr6:coauthVersionLast="47" xr6:coauthVersionMax="47" xr10:uidLastSave="{8116035C-28DF-4B59-BCC3-D7F590E6C70C}"/>
  <bookViews>
    <workbookView xWindow="-120" yWindow="-120" windowWidth="29040" windowHeight="15720" tabRatio="571" firstSheet="2" activeTab="2" xr2:uid="{1ECD56D2-3042-4522-ACDE-FB7A5699D374}"/>
  </bookViews>
  <sheets>
    <sheet name="TEST" sheetId="4" state="hidden" r:id="rId1"/>
    <sheet name="Assessment" sheetId="2" state="hidden" r:id="rId2"/>
    <sheet name="Cash Flow" sheetId="3" r:id="rId3"/>
    <sheet name="Example" sheetId="1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8" i="3" l="1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D28" i="3"/>
  <c r="F6" i="3"/>
  <c r="F7" i="3"/>
  <c r="F8" i="3"/>
  <c r="F4" i="3"/>
  <c r="F11" i="3"/>
  <c r="F5" i="3"/>
  <c r="E8" i="4"/>
  <c r="F8" i="4"/>
  <c r="G8" i="4"/>
  <c r="H8" i="4"/>
  <c r="I8" i="4"/>
  <c r="J8" i="4"/>
  <c r="K8" i="4"/>
  <c r="L8" i="4"/>
  <c r="M8" i="4"/>
  <c r="N8" i="4"/>
  <c r="O8" i="4"/>
  <c r="P8" i="4"/>
  <c r="E10" i="4"/>
  <c r="E9" i="4" s="1"/>
  <c r="E13" i="4" s="1"/>
  <c r="E14" i="4" s="1"/>
  <c r="F14" i="4" s="1"/>
  <c r="G14" i="4" s="1"/>
  <c r="H14" i="4" s="1"/>
  <c r="I14" i="4" s="1"/>
  <c r="J14" i="4" s="1"/>
  <c r="K14" i="4" s="1"/>
  <c r="L14" i="4" s="1"/>
  <c r="M14" i="4" s="1"/>
  <c r="N14" i="4" s="1"/>
  <c r="O14" i="4" s="1"/>
  <c r="P14" i="4" s="1"/>
  <c r="R14" i="4" s="1"/>
  <c r="F10" i="4"/>
  <c r="F9" i="4" s="1"/>
  <c r="F13" i="4" s="1"/>
  <c r="G10" i="4"/>
  <c r="G9" i="4" s="1"/>
  <c r="G13" i="4" s="1"/>
  <c r="H10" i="4"/>
  <c r="H9" i="4" s="1"/>
  <c r="H13" i="4" s="1"/>
  <c r="I10" i="4"/>
  <c r="I9" i="4" s="1"/>
  <c r="I13" i="4" s="1"/>
  <c r="J10" i="4"/>
  <c r="J9" i="4" s="1"/>
  <c r="J13" i="4" s="1"/>
  <c r="K10" i="4"/>
  <c r="K9" i="4" s="1"/>
  <c r="K13" i="4" s="1"/>
  <c r="L10" i="4"/>
  <c r="L9" i="4" s="1"/>
  <c r="L13" i="4" s="1"/>
  <c r="M10" i="4"/>
  <c r="M9" i="4" s="1"/>
  <c r="M13" i="4" s="1"/>
  <c r="N10" i="4"/>
  <c r="N9" i="4" s="1"/>
  <c r="N13" i="4" s="1"/>
  <c r="O10" i="4"/>
  <c r="O9" i="4" s="1"/>
  <c r="O13" i="4" s="1"/>
  <c r="P10" i="4"/>
  <c r="P9" i="4" s="1"/>
  <c r="P13" i="4" s="1"/>
  <c r="Q10" i="4"/>
  <c r="R13" i="4" s="1"/>
  <c r="D12" i="4"/>
  <c r="E12" i="4"/>
  <c r="F12" i="4"/>
  <c r="G12" i="4"/>
  <c r="H12" i="4"/>
  <c r="I12" i="4"/>
  <c r="J12" i="4"/>
  <c r="K12" i="4"/>
  <c r="L12" i="4"/>
  <c r="M12" i="4"/>
  <c r="N12" i="4"/>
  <c r="O12" i="4"/>
  <c r="D14" i="4"/>
  <c r="E8" i="2"/>
  <c r="E10" i="2" s="1"/>
  <c r="R14" i="1"/>
  <c r="Q10" i="1"/>
  <c r="O12" i="2"/>
  <c r="N12" i="2"/>
  <c r="M12" i="2"/>
  <c r="L12" i="2"/>
  <c r="K12" i="2"/>
  <c r="J12" i="2"/>
  <c r="I12" i="2"/>
  <c r="H12" i="2"/>
  <c r="G12" i="2"/>
  <c r="F12" i="2"/>
  <c r="E12" i="2"/>
  <c r="D12" i="2"/>
  <c r="D14" i="2" s="1"/>
  <c r="P8" i="2"/>
  <c r="P10" i="2" s="1"/>
  <c r="P9" i="2" s="1"/>
  <c r="O8" i="2"/>
  <c r="O10" i="2" s="1"/>
  <c r="O9" i="2" s="1"/>
  <c r="O13" i="2" s="1"/>
  <c r="N8" i="2"/>
  <c r="N10" i="2" s="1"/>
  <c r="N9" i="2" s="1"/>
  <c r="N13" i="2" s="1"/>
  <c r="M8" i="2"/>
  <c r="M10" i="2" s="1"/>
  <c r="M9" i="2" s="1"/>
  <c r="M13" i="2" s="1"/>
  <c r="L8" i="2"/>
  <c r="K8" i="2"/>
  <c r="J8" i="2"/>
  <c r="I8" i="2"/>
  <c r="H8" i="2"/>
  <c r="H10" i="2" s="1"/>
  <c r="H9" i="2" s="1"/>
  <c r="H13" i="2" s="1"/>
  <c r="G8" i="2"/>
  <c r="G10" i="2" s="1"/>
  <c r="G9" i="2" s="1"/>
  <c r="G13" i="2" s="1"/>
  <c r="F8" i="2"/>
  <c r="F10" i="2" s="1"/>
  <c r="F9" i="2" s="1"/>
  <c r="F13" i="2" s="1"/>
  <c r="E14" i="1"/>
  <c r="P8" i="1"/>
  <c r="R13" i="1"/>
  <c r="O14" i="1"/>
  <c r="P13" i="1"/>
  <c r="P14" i="1" s="1"/>
  <c r="M9" i="1"/>
  <c r="E12" i="1"/>
  <c r="F12" i="1"/>
  <c r="G12" i="1"/>
  <c r="H12" i="1"/>
  <c r="I12" i="1"/>
  <c r="J12" i="1"/>
  <c r="K12" i="1"/>
  <c r="L12" i="1"/>
  <c r="M12" i="1"/>
  <c r="N12" i="1"/>
  <c r="O12" i="1"/>
  <c r="D12" i="1"/>
  <c r="D14" i="1" s="1"/>
  <c r="F8" i="1"/>
  <c r="G8" i="1"/>
  <c r="H8" i="1"/>
  <c r="H10" i="1" s="1"/>
  <c r="H9" i="1" s="1"/>
  <c r="I8" i="1"/>
  <c r="I10" i="1" s="1"/>
  <c r="I9" i="1" s="1"/>
  <c r="J8" i="1"/>
  <c r="J10" i="1" s="1"/>
  <c r="J9" i="1" s="1"/>
  <c r="K8" i="1"/>
  <c r="K10" i="1" s="1"/>
  <c r="K9" i="1" s="1"/>
  <c r="L8" i="1"/>
  <c r="L10" i="1" s="1"/>
  <c r="L9" i="1" s="1"/>
  <c r="M8" i="1"/>
  <c r="M10" i="1" s="1"/>
  <c r="N8" i="1"/>
  <c r="O8" i="1"/>
  <c r="E8" i="1"/>
  <c r="E16" i="3" l="1"/>
  <c r="J16" i="3"/>
  <c r="L16" i="3"/>
  <c r="O16" i="3"/>
  <c r="T16" i="3"/>
  <c r="X16" i="3"/>
  <c r="S16" i="3"/>
  <c r="Y16" i="3"/>
  <c r="F16" i="3"/>
  <c r="K16" i="3"/>
  <c r="M16" i="3"/>
  <c r="Q16" i="3"/>
  <c r="V16" i="3"/>
  <c r="G16" i="3"/>
  <c r="I16" i="3"/>
  <c r="N16" i="3"/>
  <c r="P16" i="3"/>
  <c r="U16" i="3"/>
  <c r="W16" i="3"/>
  <c r="H16" i="3"/>
  <c r="R16" i="3"/>
  <c r="F9" i="3"/>
  <c r="I17" i="3"/>
  <c r="L17" i="3"/>
  <c r="N17" i="3"/>
  <c r="R17" i="3"/>
  <c r="U17" i="3"/>
  <c r="W17" i="3"/>
  <c r="Y17" i="3"/>
  <c r="J17" i="3"/>
  <c r="K17" i="3"/>
  <c r="Q17" i="3"/>
  <c r="V17" i="3"/>
  <c r="D17" i="3"/>
  <c r="F17" i="3"/>
  <c r="P17" i="3"/>
  <c r="S17" i="3"/>
  <c r="H17" i="3"/>
  <c r="M17" i="3"/>
  <c r="O17" i="3"/>
  <c r="T17" i="3"/>
  <c r="X17" i="3"/>
  <c r="E17" i="3"/>
  <c r="G17" i="3"/>
  <c r="E9" i="2"/>
  <c r="E13" i="2" s="1"/>
  <c r="E14" i="2" s="1"/>
  <c r="F14" i="2" s="1"/>
  <c r="G14" i="2" s="1"/>
  <c r="H14" i="2" s="1"/>
  <c r="I10" i="2"/>
  <c r="I9" i="2" s="1"/>
  <c r="I13" i="2" s="1"/>
  <c r="J10" i="2"/>
  <c r="J9" i="2" s="1"/>
  <c r="J13" i="2" s="1"/>
  <c r="K10" i="2"/>
  <c r="K9" i="2" s="1"/>
  <c r="K13" i="2" s="1"/>
  <c r="L10" i="2"/>
  <c r="L9" i="2" s="1"/>
  <c r="L13" i="2" s="1"/>
  <c r="M13" i="1"/>
  <c r="K13" i="1"/>
  <c r="F13" i="1"/>
  <c r="J13" i="1"/>
  <c r="E13" i="1"/>
  <c r="I13" i="1"/>
  <c r="L13" i="1"/>
  <c r="H13" i="1"/>
  <c r="E10" i="1"/>
  <c r="E9" i="1" s="1"/>
  <c r="P10" i="1"/>
  <c r="P9" i="1" s="1"/>
  <c r="O10" i="1"/>
  <c r="O9" i="1" s="1"/>
  <c r="O13" i="1" s="1"/>
  <c r="G10" i="1"/>
  <c r="G9" i="1" s="1"/>
  <c r="G13" i="1" s="1"/>
  <c r="N10" i="1"/>
  <c r="N9" i="1" s="1"/>
  <c r="N13" i="1" s="1"/>
  <c r="F10" i="1"/>
  <c r="F9" i="1" s="1"/>
  <c r="AA17" i="3" l="1"/>
  <c r="I14" i="2"/>
  <c r="J14" i="2" s="1"/>
  <c r="K14" i="2" s="1"/>
  <c r="L14" i="2" s="1"/>
  <c r="M14" i="2" s="1"/>
  <c r="N14" i="2" s="1"/>
  <c r="O14" i="2" s="1"/>
  <c r="Q10" i="2"/>
  <c r="F14" i="1"/>
  <c r="G14" i="1" s="1"/>
  <c r="H14" i="1" s="1"/>
  <c r="I14" i="1" s="1"/>
  <c r="J14" i="1" s="1"/>
  <c r="K14" i="1" s="1"/>
  <c r="L14" i="1" s="1"/>
  <c r="M14" i="1" s="1"/>
  <c r="N14" i="1" s="1"/>
  <c r="R13" i="2" l="1"/>
  <c r="P13" i="2"/>
  <c r="P14" i="2" s="1"/>
  <c r="R14" i="2" l="1"/>
  <c r="D16" i="3" l="1"/>
  <c r="K18" i="3"/>
  <c r="X20" i="3"/>
  <c r="P18" i="3"/>
  <c r="T19" i="3"/>
  <c r="M18" i="3"/>
  <c r="N18" i="3"/>
  <c r="O18" i="3"/>
  <c r="Q18" i="3"/>
  <c r="T18" i="3"/>
  <c r="V18" i="3"/>
  <c r="X18" i="3"/>
  <c r="D18" i="3"/>
  <c r="H19" i="3"/>
  <c r="M19" i="3"/>
  <c r="P19" i="3"/>
  <c r="Y19" i="3"/>
  <c r="D19" i="3"/>
  <c r="E18" i="3"/>
  <c r="F18" i="3"/>
  <c r="G18" i="3"/>
  <c r="H18" i="3"/>
  <c r="I18" i="3"/>
  <c r="F19" i="3"/>
  <c r="D20" i="3"/>
  <c r="O20" i="3"/>
  <c r="S19" i="3"/>
  <c r="G20" i="3"/>
  <c r="J20" i="3"/>
  <c r="W18" i="3"/>
  <c r="I19" i="3"/>
  <c r="L19" i="3"/>
  <c r="Q20" i="3"/>
  <c r="E20" i="3"/>
  <c r="M20" i="3"/>
  <c r="T20" i="3"/>
  <c r="N19" i="3"/>
  <c r="V19" i="3"/>
  <c r="N20" i="3"/>
  <c r="R20" i="3"/>
  <c r="W20" i="3"/>
  <c r="F20" i="3"/>
  <c r="S18" i="3"/>
  <c r="E19" i="3"/>
  <c r="R19" i="3"/>
  <c r="Y20" i="3"/>
  <c r="K20" i="3"/>
  <c r="P20" i="3"/>
  <c r="L20" i="3"/>
  <c r="U18" i="3"/>
  <c r="J19" i="3"/>
  <c r="O19" i="3"/>
  <c r="U20" i="3"/>
  <c r="U19" i="3"/>
  <c r="K19" i="3"/>
  <c r="L18" i="3"/>
  <c r="Q19" i="3"/>
  <c r="V20" i="3"/>
  <c r="I20" i="3"/>
  <c r="Z28" i="3"/>
  <c r="R18" i="3"/>
  <c r="W19" i="3"/>
  <c r="J18" i="3"/>
  <c r="S20" i="3"/>
  <c r="H20" i="3"/>
  <c r="Y18" i="3"/>
  <c r="G19" i="3"/>
  <c r="X19" i="3"/>
  <c r="I21" i="3" l="1"/>
  <c r="I22" i="3" s="1"/>
  <c r="K21" i="3"/>
  <c r="K22" i="3" s="1"/>
  <c r="X21" i="3"/>
  <c r="X22" i="3" s="1"/>
  <c r="U21" i="3"/>
  <c r="R21" i="3"/>
  <c r="R22" i="3" s="1"/>
  <c r="H21" i="3"/>
  <c r="H22" i="3" s="1"/>
  <c r="AA19" i="3"/>
  <c r="J21" i="3"/>
  <c r="W21" i="3"/>
  <c r="W22" i="3" s="1"/>
  <c r="W23" i="3" s="1"/>
  <c r="X25" i="3" s="1"/>
  <c r="P21" i="3"/>
  <c r="P22" i="3" s="1"/>
  <c r="AA16" i="3"/>
  <c r="V21" i="3"/>
  <c r="V22" i="3" s="1"/>
  <c r="O21" i="3"/>
  <c r="O22" i="3" s="1"/>
  <c r="Q21" i="3"/>
  <c r="S21" i="3"/>
  <c r="S22" i="3" s="1"/>
  <c r="Y21" i="3"/>
  <c r="N21" i="3"/>
  <c r="N22" i="3" s="1"/>
  <c r="E21" i="3"/>
  <c r="E22" i="3" s="1"/>
  <c r="F21" i="3"/>
  <c r="F22" i="3" s="1"/>
  <c r="F23" i="3" s="1"/>
  <c r="G25" i="3" s="1"/>
  <c r="L21" i="3"/>
  <c r="L22" i="3" s="1"/>
  <c r="AA20" i="3"/>
  <c r="T21" i="3"/>
  <c r="G21" i="3"/>
  <c r="G22" i="3" s="1"/>
  <c r="M21" i="3"/>
  <c r="M22" i="3" s="1"/>
  <c r="M23" i="3" s="1"/>
  <c r="N25" i="3" s="1"/>
  <c r="D21" i="3"/>
  <c r="AA18" i="3"/>
  <c r="U22" i="3" l="1"/>
  <c r="U23" i="3"/>
  <c r="V25" i="3" s="1"/>
  <c r="J22" i="3"/>
  <c r="J23" i="3" s="1"/>
  <c r="Q22" i="3"/>
  <c r="Q23" i="3"/>
  <c r="R25" i="3" s="1"/>
  <c r="Y22" i="3"/>
  <c r="Y23" i="3" s="1"/>
  <c r="T22" i="3"/>
  <c r="T23" i="3" s="1"/>
  <c r="U25" i="3" s="1"/>
  <c r="AA21" i="3"/>
  <c r="D22" i="3"/>
  <c r="G23" i="3"/>
  <c r="H25" i="3"/>
  <c r="V23" i="3"/>
  <c r="W25" i="3" s="1"/>
  <c r="O23" i="3"/>
  <c r="P25" i="3" s="1"/>
  <c r="P23" i="3"/>
  <c r="Q25" i="3"/>
  <c r="R23" i="3"/>
  <c r="S25" i="3" s="1"/>
  <c r="S23" i="3"/>
  <c r="T25" i="3" s="1"/>
  <c r="K23" i="3"/>
  <c r="L25" i="3" s="1"/>
  <c r="N23" i="3"/>
  <c r="O25" i="3" s="1"/>
  <c r="X23" i="3"/>
  <c r="Y25" i="3" s="1"/>
  <c r="H23" i="3"/>
  <c r="I25" i="3" s="1"/>
  <c r="E23" i="3"/>
  <c r="F25" i="3" s="1"/>
  <c r="L23" i="3"/>
  <c r="M25" i="3" s="1"/>
  <c r="I23" i="3"/>
  <c r="J25" i="3" s="1"/>
  <c r="K25" i="3" l="1"/>
  <c r="D23" i="3"/>
  <c r="AB24" i="3"/>
  <c r="AA22" i="3"/>
  <c r="Y24" i="3"/>
  <c r="E25" i="3" l="1"/>
  <c r="E26" i="3" s="1"/>
  <c r="F26" i="3" s="1"/>
  <c r="AA23" i="3"/>
  <c r="AA24" i="3"/>
  <c r="Z25" i="3"/>
  <c r="G26" i="3" l="1"/>
  <c r="H26" i="3" l="1"/>
  <c r="I26" i="3" l="1"/>
  <c r="J26" i="3" l="1"/>
  <c r="K26" i="3" l="1"/>
  <c r="L26" i="3" l="1"/>
  <c r="M26" i="3" l="1"/>
  <c r="N26" i="3" s="1"/>
  <c r="O26" i="3" s="1"/>
  <c r="P26" i="3" l="1"/>
  <c r="Q26" i="3" l="1"/>
  <c r="R26" i="3" s="1"/>
  <c r="S26" i="3" s="1"/>
  <c r="T26" i="3" s="1"/>
  <c r="U26" i="3" l="1"/>
  <c r="V26" i="3" s="1"/>
  <c r="W26" i="3" s="1"/>
  <c r="X26" i="3" s="1"/>
  <c r="Y26" i="3" l="1"/>
  <c r="Z26" i="3" s="1"/>
  <c r="AA25" i="3"/>
  <c r="AA26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Dale Monks</author>
  </authors>
  <commentList>
    <comment ref="P13" authorId="0" shapeId="0" xr:uid="{048B613D-7698-4CC0-AD58-A6AAE0DE777D}">
      <text>
        <r>
          <rPr>
            <b/>
            <sz val="9"/>
            <color indexed="81"/>
            <rFont val="Tahoma"/>
            <charset val="1"/>
          </rPr>
          <t>Dale Monks:</t>
        </r>
        <r>
          <rPr>
            <sz val="9"/>
            <color indexed="81"/>
            <rFont val="Tahoma"/>
            <charset val="1"/>
          </rPr>
          <t xml:space="preserve">
40% retention hence why 0.4</t>
        </r>
      </text>
    </comment>
    <comment ref="R13" authorId="0" shapeId="0" xr:uid="{136DABCA-660F-4AC2-8F97-B3083FA67478}">
      <text>
        <r>
          <rPr>
            <b/>
            <sz val="9"/>
            <color indexed="81"/>
            <rFont val="Tahoma"/>
            <charset val="1"/>
          </rPr>
          <t>Dale Monks:</t>
        </r>
        <r>
          <rPr>
            <sz val="9"/>
            <color indexed="81"/>
            <rFont val="Tahoma"/>
            <charset val="1"/>
          </rPr>
          <t xml:space="preserve">
Retention at 40% hence 0.4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Dale Monks</author>
  </authors>
  <commentList>
    <comment ref="P13" authorId="0" shapeId="0" xr:uid="{187687F5-6569-4885-9E52-D137A6F437B0}">
      <text>
        <r>
          <rPr>
            <b/>
            <sz val="9"/>
            <color indexed="81"/>
            <rFont val="Tahoma"/>
            <charset val="1"/>
          </rPr>
          <t>Dale Monks:</t>
        </r>
        <r>
          <rPr>
            <sz val="9"/>
            <color indexed="81"/>
            <rFont val="Tahoma"/>
            <charset val="1"/>
          </rPr>
          <t xml:space="preserve">
40% retention hence why 0.4</t>
        </r>
      </text>
    </comment>
    <comment ref="R13" authorId="0" shapeId="0" xr:uid="{9D92E54A-10DC-43EA-B7E4-9D00EBE27AD9}">
      <text>
        <r>
          <rPr>
            <b/>
            <sz val="9"/>
            <color indexed="81"/>
            <rFont val="Tahoma"/>
            <charset val="1"/>
          </rPr>
          <t>Dale Monks:</t>
        </r>
        <r>
          <rPr>
            <sz val="9"/>
            <color indexed="81"/>
            <rFont val="Tahoma"/>
            <charset val="1"/>
          </rPr>
          <t xml:space="preserve">
Retention at 40% hence 0.4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tc={F0A351D9-9BB3-4FCC-8AEA-113A6E135CF5}</author>
    <author>tc={9004FA3E-1273-4445-8DA3-691B07CA747D}</author>
    <author>tc={59D7BE6C-7B80-4759-BA22-6CCC9E6084A1}</author>
  </authors>
  <commentList>
    <comment ref="AA24" authorId="0" shapeId="0" xr:uid="{F0A351D9-9BB3-4FCC-8AEA-113A6E135CF5}">
      <text>
        <t>[Threaded comment]
Your version of Excel allows you to read this threaded comment; however, any edits to it will get removed if the file is opened in a newer version of Excel. Learn more: https://go.microsoft.com/fwlink/?linkid=870924
Comment:
    50% retention release at project end. NEC 3/4</t>
      </text>
    </comment>
    <comment ref="AB24" authorId="1" shapeId="0" xr:uid="{9004FA3E-1273-4445-8DA3-691B07CA747D}">
      <text>
        <t>[Threaded comment]
Your version of Excel allows you to read this threaded comment; however, any edits to it will get removed if the file is opened in a newer version of Excel. Learn more: https://go.microsoft.com/fwlink/?linkid=870924
Comment:
    Retention release in Sept 28 minus any defects agreed in a defect review.</t>
      </text>
    </comment>
    <comment ref="C28" authorId="2" shapeId="0" xr:uid="{59D7BE6C-7B80-4759-BA22-6CCC9E6084A1}">
      <text>
        <t>[Threaded comment]
Your version of Excel allows you to read this threaded comment; however, any edits to it will get removed if the file is opened in a newer version of Excel. Learn more: https://go.microsoft.com/fwlink/?linkid=870924
Comment:
    Standard Deviation for S curve cal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Dale Monks</author>
  </authors>
  <commentList>
    <comment ref="P13" authorId="0" shapeId="0" xr:uid="{66759599-D0E1-41B2-8063-958DD3B06FDB}">
      <text>
        <r>
          <rPr>
            <b/>
            <sz val="9"/>
            <color indexed="81"/>
            <rFont val="Tahoma"/>
            <charset val="1"/>
          </rPr>
          <t>Dale Monks:</t>
        </r>
        <r>
          <rPr>
            <sz val="9"/>
            <color indexed="81"/>
            <rFont val="Tahoma"/>
            <charset val="1"/>
          </rPr>
          <t xml:space="preserve">
50% retention hence why 0.5</t>
        </r>
      </text>
    </comment>
    <comment ref="R13" authorId="0" shapeId="0" xr:uid="{CE983C96-1319-408B-9D2C-80FCDA144481}">
      <text>
        <r>
          <rPr>
            <b/>
            <sz val="9"/>
            <color indexed="81"/>
            <rFont val="Tahoma"/>
            <charset val="1"/>
          </rPr>
          <t>Dale Monks:</t>
        </r>
        <r>
          <rPr>
            <sz val="9"/>
            <color indexed="81"/>
            <rFont val="Tahoma"/>
            <charset val="1"/>
          </rPr>
          <t xml:space="preserve">
Retention at 50% hecne 0.5
</t>
        </r>
      </text>
    </comment>
  </commentList>
</comments>
</file>

<file path=xl/sharedStrings.xml><?xml version="1.0" encoding="utf-8"?>
<sst xmlns="http://schemas.openxmlformats.org/spreadsheetml/2006/main" count="121" uniqueCount="66">
  <si>
    <t>Profit</t>
  </si>
  <si>
    <t>Retention</t>
  </si>
  <si>
    <t>%</t>
  </si>
  <si>
    <t>Cost</t>
  </si>
  <si>
    <t>Month</t>
  </si>
  <si>
    <t>Cash out</t>
  </si>
  <si>
    <t>Cash in</t>
  </si>
  <si>
    <t>Cum Total</t>
  </si>
  <si>
    <t>Profit Minus Retention</t>
  </si>
  <si>
    <t>Q1</t>
  </si>
  <si>
    <t>Question</t>
  </si>
  <si>
    <t>Answer</t>
  </si>
  <si>
    <t>Q2</t>
  </si>
  <si>
    <t>See table above</t>
  </si>
  <si>
    <t>Project becomes profitable in month 10</t>
  </si>
  <si>
    <t>Phase 1</t>
  </si>
  <si>
    <t>Phase 2 (Enabling Works)</t>
  </si>
  <si>
    <t>Phase 3 (Main Construction)</t>
  </si>
  <si>
    <t>Handover/Soft Landing/Operational</t>
  </si>
  <si>
    <t>TOTAL</t>
  </si>
  <si>
    <t>Month No</t>
  </si>
  <si>
    <t>Construction (£)</t>
  </si>
  <si>
    <t>Preliminaries (£)</t>
  </si>
  <si>
    <t>Professional Fees (£)</t>
  </si>
  <si>
    <t>Risk/Contingency (£)</t>
  </si>
  <si>
    <t>Inflation (£)</t>
  </si>
  <si>
    <t>Total Defined Cost (Cash Out) (£)</t>
  </si>
  <si>
    <t>Fee (10.2%) (£)</t>
  </si>
  <si>
    <t>Retention (3%) (£)</t>
  </si>
  <si>
    <t>Net Cash In (£)</t>
  </si>
  <si>
    <t>Cumulative Net Position (£)</t>
  </si>
  <si>
    <t>Month 1</t>
  </si>
  <si>
    <t>Month 2</t>
  </si>
  <si>
    <t>Month 3</t>
  </si>
  <si>
    <t>Month 4</t>
  </si>
  <si>
    <t>Month 5</t>
  </si>
  <si>
    <t>Month 6</t>
  </si>
  <si>
    <t>Month 7</t>
  </si>
  <si>
    <t>Month 8</t>
  </si>
  <si>
    <t>Month 9</t>
  </si>
  <si>
    <t>Month 10</t>
  </si>
  <si>
    <t>Month 11</t>
  </si>
  <si>
    <t>Month 12</t>
  </si>
  <si>
    <t>Month 13</t>
  </si>
  <si>
    <t>Month 14</t>
  </si>
  <si>
    <t>Month 15</t>
  </si>
  <si>
    <t>Month 16</t>
  </si>
  <si>
    <t>Month 17</t>
  </si>
  <si>
    <t>Month 18</t>
  </si>
  <si>
    <t>Month 19</t>
  </si>
  <si>
    <t>Month 20</t>
  </si>
  <si>
    <t>Month 21</t>
  </si>
  <si>
    <t>Month 22</t>
  </si>
  <si>
    <t>Month 34 (Defects)</t>
  </si>
  <si>
    <t>Fee</t>
  </si>
  <si>
    <t>Total Defined Cost</t>
  </si>
  <si>
    <t>Helper</t>
  </si>
  <si>
    <t>Retention Release (£)</t>
  </si>
  <si>
    <t>Preliminaries</t>
  </si>
  <si>
    <t>Risk/Contingency</t>
  </si>
  <si>
    <t>Inflation</t>
  </si>
  <si>
    <t>Professional Fees</t>
  </si>
  <si>
    <t>Fee (6%) (£)</t>
  </si>
  <si>
    <t>TOTALS for AUDIT</t>
  </si>
  <si>
    <t>Key/Summary (Dynamic Data)</t>
  </si>
  <si>
    <t>decimal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</si>
</sst>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6" formatCode="&quot;£&quot;#,##0;[Red]\-&quot;£&quot;#,##0"/>
    <numFmt numFmtId="8" formatCode="&quot;£&quot;#,##0.00;[Red]\-&quot;£&quot;#,##0.00"/>
    <numFmt numFmtId="44" formatCode="_-&quot;£&quot;* #,##0.00_-;\-&quot;£&quot;* #,##0.00_-;_-&quot;£&quot;* &quot;-&quot;??_-;_-@_-"/>
    <numFmt numFmtId="164" formatCode="0.0000000"/>
  </numFmts>
  <fonts count="11" x14ac:knownFonts="1">
    <font>
      <sz val="11"/>
      <color theme="1"/>
      <name val="Aptos Narrow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1"/>
      <color theme="1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FF0000"/>
      <name val="Aptos Narrow"/>
      <family val="2"/>
      <scheme val="minor"/>
    </font>
    <font>
      <sz val="8"/>
      <name val="Aptos Narrow"/>
      <family val="2"/>
      <scheme val="minor"/>
    </font>
    <font>
      <sz val="11"/>
      <name val="Aptos Narrow"/>
      <family val="2"/>
      <scheme val="minor"/>
    </font>
    <font>
      <b/>
      <sz val="11"/>
      <name val="Aptos Narrow"/>
      <family val="2"/>
      <scheme val="minor"/>
    </font>
  </fonts>
  <fills count="1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4" fillId="4" borderId="0" applyNumberFormat="0" applyBorder="0" applyAlignment="0" applyProtection="0"/>
    <xf numFmtId="0" fontId="5" fillId="5" borderId="0" applyNumberFormat="0" applyBorder="0" applyAlignment="0" applyProtection="0"/>
    <xf numFmtId="0" fontId="6" fillId="6" borderId="0" applyNumberFormat="0" applyBorder="0" applyAlignment="0" applyProtection="0"/>
  </cellStyleXfs>
  <cellXfs count="62">
    <xf numFmtId="0" fontId="0" fillId="0" borderId="0" xfId="0"/>
    <xf numFmtId="44" fontId="0" fillId="0" borderId="0" xfId="0" applyNumberFormat="1"/>
    <xf numFmtId="44" fontId="0" fillId="2" borderId="0" xfId="0" applyNumberFormat="1" applyFill="1"/>
    <xf numFmtId="0" fontId="0" fillId="0" borderId="1" xfId="0" applyBorder="1"/>
    <xf numFmtId="0" fontId="3" fillId="3" borderId="11" xfId="0" applyFont="1" applyFill="1" applyBorder="1"/>
    <xf numFmtId="0" fontId="3" fillId="3" borderId="13" xfId="0" applyFont="1" applyFill="1" applyBorder="1"/>
    <xf numFmtId="17" fontId="3" fillId="11" borderId="6" xfId="0" applyNumberFormat="1" applyFont="1" applyFill="1" applyBorder="1"/>
    <xf numFmtId="17" fontId="3" fillId="11" borderId="7" xfId="0" applyNumberFormat="1" applyFont="1" applyFill="1" applyBorder="1"/>
    <xf numFmtId="17" fontId="3" fillId="11" borderId="8" xfId="0" applyNumberFormat="1" applyFont="1" applyFill="1" applyBorder="1"/>
    <xf numFmtId="17" fontId="3" fillId="12" borderId="8" xfId="0" applyNumberFormat="1" applyFont="1" applyFill="1" applyBorder="1"/>
    <xf numFmtId="4" fontId="0" fillId="0" borderId="0" xfId="0" applyNumberFormat="1"/>
    <xf numFmtId="164" fontId="7" fillId="0" borderId="0" xfId="0" applyNumberFormat="1" applyFont="1"/>
    <xf numFmtId="164" fontId="0" fillId="0" borderId="0" xfId="0" applyNumberFormat="1"/>
    <xf numFmtId="44" fontId="6" fillId="6" borderId="0" xfId="3" applyNumberFormat="1"/>
    <xf numFmtId="0" fontId="3" fillId="13" borderId="3" xfId="0" applyFont="1" applyFill="1" applyBorder="1" applyAlignment="1">
      <alignment horizontal="center"/>
    </xf>
    <xf numFmtId="17" fontId="3" fillId="13" borderId="8" xfId="0" applyNumberFormat="1" applyFont="1" applyFill="1" applyBorder="1"/>
    <xf numFmtId="44" fontId="9" fillId="13" borderId="0" xfId="2" applyNumberFormat="1" applyFont="1" applyFill="1"/>
    <xf numFmtId="44" fontId="9" fillId="13" borderId="0" xfId="1" applyNumberFormat="1" applyFont="1" applyFill="1"/>
    <xf numFmtId="44" fontId="0" fillId="13" borderId="0" xfId="0" applyNumberFormat="1" applyFill="1"/>
    <xf numFmtId="0" fontId="3" fillId="12" borderId="1" xfId="0" applyFont="1" applyFill="1" applyBorder="1" applyAlignment="1">
      <alignment wrapText="1"/>
    </xf>
    <xf numFmtId="0" fontId="10" fillId="6" borderId="0" xfId="3" applyFont="1"/>
    <xf numFmtId="17" fontId="10" fillId="6" borderId="0" xfId="3" applyNumberFormat="1" applyFont="1"/>
    <xf numFmtId="0" fontId="0" fillId="14" borderId="0" xfId="0" applyFill="1"/>
    <xf numFmtId="44" fontId="3" fillId="14" borderId="0" xfId="0" applyNumberFormat="1" applyFont="1" applyFill="1"/>
    <xf numFmtId="0" fontId="0" fillId="7" borderId="16" xfId="0" applyFill="1" applyBorder="1"/>
    <xf numFmtId="8" fontId="3" fillId="7" borderId="16" xfId="0" applyNumberFormat="1" applyFont="1" applyFill="1" applyBorder="1"/>
    <xf numFmtId="8" fontId="0" fillId="7" borderId="16" xfId="0" applyNumberFormat="1" applyFill="1" applyBorder="1"/>
    <xf numFmtId="2" fontId="0" fillId="7" borderId="16" xfId="0" applyNumberFormat="1" applyFill="1" applyBorder="1"/>
    <xf numFmtId="0" fontId="3" fillId="7" borderId="16" xfId="0" applyFont="1" applyFill="1" applyBorder="1"/>
    <xf numFmtId="6" fontId="3" fillId="7" borderId="16" xfId="0" applyNumberFormat="1" applyFont="1" applyFill="1" applyBorder="1"/>
    <xf numFmtId="44" fontId="0" fillId="7" borderId="16" xfId="0" applyNumberFormat="1" applyFill="1" applyBorder="1"/>
    <xf numFmtId="0" fontId="0" fillId="14" borderId="16" xfId="0" applyFill="1" applyBorder="1"/>
    <xf numFmtId="0" fontId="0" fillId="0" borderId="16" xfId="0" applyBorder="1"/>
    <xf numFmtId="0" fontId="0" fillId="14" borderId="20" xfId="0" applyFill="1" applyBorder="1"/>
    <xf numFmtId="0" fontId="0" fillId="16" borderId="0" xfId="0" applyFill="1"/>
    <xf numFmtId="0" fontId="10" fillId="16" borderId="0" xfId="3" applyFont="1" applyFill="1"/>
    <xf numFmtId="44" fontId="0" fillId="16" borderId="0" xfId="0" applyNumberFormat="1" applyFill="1"/>
    <xf numFmtId="0" fontId="3" fillId="9" borderId="4" xfId="0" applyFont="1" applyFill="1" applyBorder="1" applyAlignment="1">
      <alignment horizontal="center"/>
    </xf>
    <xf numFmtId="0" fontId="3" fillId="9" borderId="0" xfId="0" applyFont="1" applyFill="1" applyAlignment="1">
      <alignment horizontal="center"/>
    </xf>
    <xf numFmtId="0" fontId="3" fillId="9" borderId="5" xfId="0" applyFont="1" applyFill="1" applyBorder="1" applyAlignment="1">
      <alignment horizontal="center"/>
    </xf>
    <xf numFmtId="0" fontId="3" fillId="8" borderId="4" xfId="0" applyFont="1" applyFill="1" applyBorder="1" applyAlignment="1">
      <alignment horizontal="center"/>
    </xf>
    <xf numFmtId="0" fontId="3" fillId="8" borderId="0" xfId="0" applyFont="1" applyFill="1" applyAlignment="1">
      <alignment horizontal="center"/>
    </xf>
    <xf numFmtId="0" fontId="3" fillId="8" borderId="5" xfId="0" applyFont="1" applyFill="1" applyBorder="1" applyAlignment="1">
      <alignment horizontal="center"/>
    </xf>
    <xf numFmtId="0" fontId="3" fillId="10" borderId="4" xfId="0" applyFont="1" applyFill="1" applyBorder="1" applyAlignment="1">
      <alignment horizontal="center"/>
    </xf>
    <xf numFmtId="0" fontId="3" fillId="10" borderId="0" xfId="0" applyFont="1" applyFill="1" applyAlignment="1">
      <alignment horizontal="center"/>
    </xf>
    <xf numFmtId="0" fontId="3" fillId="10" borderId="5" xfId="0" applyFont="1" applyFill="1" applyBorder="1" applyAlignment="1">
      <alignment horizontal="center"/>
    </xf>
    <xf numFmtId="0" fontId="3" fillId="15" borderId="17" xfId="0" applyFont="1" applyFill="1" applyBorder="1" applyAlignment="1">
      <alignment horizontal="center"/>
    </xf>
    <xf numFmtId="0" fontId="3" fillId="15" borderId="18" xfId="0" applyFont="1" applyFill="1" applyBorder="1" applyAlignment="1">
      <alignment horizontal="center"/>
    </xf>
    <xf numFmtId="0" fontId="3" fillId="15" borderId="19" xfId="0" applyFont="1" applyFill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9" xfId="0" applyBorder="1" applyAlignment="1">
      <alignment horizontal="left" vertical="top"/>
    </xf>
    <xf numFmtId="0" fontId="0" fillId="0" borderId="10" xfId="0" applyBorder="1" applyAlignment="1">
      <alignment horizontal="left" vertical="top"/>
    </xf>
    <xf numFmtId="0" fontId="0" fillId="0" borderId="4" xfId="0" applyBorder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</cellXfs>
  <cellStyles count="4">
    <cellStyle name="Bad" xfId="2" builtinId="27"/>
    <cellStyle name="Good" xfId="1" builtinId="26"/>
    <cellStyle name="Neutral" xfId="3" builtinId="2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518847</xdr:colOff>
      <xdr:row>6</xdr:row>
      <xdr:rowOff>174265</xdr:rowOff>
    </xdr:from>
    <xdr:to>
      <xdr:col>16</xdr:col>
      <xdr:colOff>789214</xdr:colOff>
      <xdr:row>10</xdr:row>
      <xdr:rowOff>163286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5DCB0401-209E-D6A9-A952-717E0C7FB6A9}"/>
            </a:ext>
          </a:extLst>
        </xdr:cNvPr>
        <xdr:cNvSpPr txBox="1"/>
      </xdr:nvSpPr>
      <xdr:spPr>
        <a:xfrm>
          <a:off x="7921133" y="1317265"/>
          <a:ext cx="11482652" cy="751021"/>
        </a:xfrm>
        <a:prstGeom prst="rect">
          <a:avLst/>
        </a:prstGeom>
        <a:solidFill>
          <a:schemeClr val="bg1">
            <a:lumMod val="85000"/>
          </a:schemeClr>
        </a:solidFill>
        <a:ln/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800" b="1"/>
            <a:t>Note on Retention Release (DM):</a:t>
          </a:r>
          <a:r>
            <a:rPr lang="en-GB" sz="1800"/>
            <a:t> I have applied the standard NEC "split" release. 50% of total retained cash is released at </a:t>
          </a:r>
          <a:r>
            <a:rPr lang="en-GB" sz="1800" b="1"/>
            <a:t>Practical Completion</a:t>
          </a:r>
          <a:r>
            <a:rPr lang="en-GB" sz="1800"/>
            <a:t> in Month 21, and the remaining 50% at the end of the </a:t>
          </a:r>
          <a:r>
            <a:rPr lang="en-GB" sz="1800" b="1"/>
            <a:t>Defects Date</a:t>
          </a:r>
          <a:r>
            <a:rPr lang="en-GB" sz="1800"/>
            <a:t> (usually 12 months later).</a:t>
          </a:r>
          <a:endParaRPr lang="en-GB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Dale M" id="{A94C42D7-B3F0-4703-A895-C66A3F26C93D}" userId="16168657f6992964" providerId="Windows Live"/>
</personList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AA24" dT="2026-02-25T21:12:18.87" personId="{A94C42D7-B3F0-4703-A895-C66A3F26C93D}" id="{F0A351D9-9BB3-4FCC-8AEA-113A6E135CF5}">
    <text>50% retention release at project end. NEC 3/4</text>
  </threadedComment>
  <threadedComment ref="AB24" dT="2026-02-25T21:11:53.88" personId="{A94C42D7-B3F0-4703-A895-C66A3F26C93D}" id="{9004FA3E-1273-4445-8DA3-691B07CA747D}">
    <text>Retention release in Sept 28 minus any defects agreed in a defect review.</text>
  </threadedComment>
  <threadedComment ref="C28" dT="2026-02-25T18:44:26.44" personId="{A94C42D7-B3F0-4703-A895-C66A3F26C93D}" id="{59D7BE6C-7B80-4759-BA22-6CCC9E6084A1}">
    <text>Standard Deviation for S curve cal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1.xml"/><Relationship Id="rId4" Type="http://schemas.microsoft.com/office/2017/10/relationships/threadedComment" Target="../threadedComments/threadedComment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6AB4E-29A6-4C81-9CAB-013EC0CD12F9}">
  <dimension ref="A1:S21"/>
  <sheetViews>
    <sheetView zoomScale="115" zoomScaleNormal="115" workbookViewId="0">
      <selection activeCell="E8" sqref="E8"/>
    </sheetView>
  </sheetViews>
  <sheetFormatPr defaultRowHeight="15" x14ac:dyDescent="0.25"/>
  <cols>
    <col min="2" max="2" width="2.5703125" bestFit="1" customWidth="1"/>
    <col min="3" max="3" width="20.5703125" bestFit="1" customWidth="1"/>
    <col min="4" max="5" width="13.42578125" bestFit="1" customWidth="1"/>
    <col min="6" max="12" width="15.140625" bestFit="1" customWidth="1"/>
    <col min="13" max="15" width="13.42578125" bestFit="1" customWidth="1"/>
    <col min="16" max="16" width="15.140625" bestFit="1" customWidth="1"/>
    <col min="17" max="17" width="13.42578125" bestFit="1" customWidth="1"/>
    <col min="18" max="18" width="14.28515625" bestFit="1" customWidth="1"/>
    <col min="19" max="19" width="13.85546875" bestFit="1" customWidth="1"/>
  </cols>
  <sheetData>
    <row r="1" spans="1:19" x14ac:dyDescent="0.25">
      <c r="B1" t="s">
        <v>2</v>
      </c>
    </row>
    <row r="2" spans="1:19" x14ac:dyDescent="0.25">
      <c r="A2" t="s">
        <v>0</v>
      </c>
      <c r="B2">
        <v>9</v>
      </c>
      <c r="C2">
        <v>0.09</v>
      </c>
    </row>
    <row r="3" spans="1:19" x14ac:dyDescent="0.25">
      <c r="A3" t="s">
        <v>1</v>
      </c>
      <c r="B3">
        <v>4</v>
      </c>
      <c r="C3">
        <v>0.04</v>
      </c>
    </row>
    <row r="6" spans="1:19" x14ac:dyDescent="0.25">
      <c r="C6" t="s">
        <v>4</v>
      </c>
      <c r="D6">
        <v>1</v>
      </c>
      <c r="E6">
        <v>2</v>
      </c>
      <c r="F6">
        <v>3</v>
      </c>
      <c r="G6">
        <v>4</v>
      </c>
      <c r="H6">
        <v>5</v>
      </c>
      <c r="I6">
        <v>6</v>
      </c>
      <c r="J6">
        <v>7</v>
      </c>
      <c r="K6">
        <v>8</v>
      </c>
      <c r="L6">
        <v>9</v>
      </c>
      <c r="M6">
        <v>10</v>
      </c>
      <c r="N6">
        <v>11</v>
      </c>
      <c r="O6">
        <v>12</v>
      </c>
      <c r="P6">
        <v>13</v>
      </c>
    </row>
    <row r="7" spans="1:19" x14ac:dyDescent="0.25">
      <c r="C7" t="s">
        <v>3</v>
      </c>
      <c r="D7" s="2">
        <v>650000</v>
      </c>
      <c r="E7" s="2">
        <v>845000</v>
      </c>
      <c r="F7" s="2">
        <v>1645000</v>
      </c>
      <c r="G7" s="2">
        <v>960000</v>
      </c>
      <c r="H7" s="2">
        <v>2450000</v>
      </c>
      <c r="I7" s="2">
        <v>4100000</v>
      </c>
      <c r="J7" s="2">
        <v>1890000</v>
      </c>
      <c r="K7" s="2">
        <v>1500000</v>
      </c>
      <c r="L7" s="2">
        <v>760000</v>
      </c>
      <c r="M7" s="2">
        <v>300000</v>
      </c>
      <c r="N7" s="2">
        <v>560000</v>
      </c>
      <c r="O7" s="2">
        <v>340000</v>
      </c>
      <c r="P7" s="2">
        <v>0</v>
      </c>
    </row>
    <row r="8" spans="1:19" x14ac:dyDescent="0.25">
      <c r="C8" t="s">
        <v>0</v>
      </c>
      <c r="D8">
        <v>0</v>
      </c>
      <c r="E8" s="1">
        <f>D7*$C$2+D7</f>
        <v>708500</v>
      </c>
      <c r="F8" s="1">
        <f t="shared" ref="F8:O8" si="0">E7*$C$2+E7</f>
        <v>921050</v>
      </c>
      <c r="G8" s="1">
        <f t="shared" si="0"/>
        <v>1793050</v>
      </c>
      <c r="H8" s="1">
        <f t="shared" si="0"/>
        <v>1046400</v>
      </c>
      <c r="I8" s="1">
        <f t="shared" si="0"/>
        <v>2670500</v>
      </c>
      <c r="J8" s="1">
        <f t="shared" si="0"/>
        <v>4469000</v>
      </c>
      <c r="K8" s="1">
        <f t="shared" si="0"/>
        <v>2060100</v>
      </c>
      <c r="L8" s="1">
        <f t="shared" si="0"/>
        <v>1635000</v>
      </c>
      <c r="M8" s="1">
        <f t="shared" si="0"/>
        <v>828400</v>
      </c>
      <c r="N8" s="1">
        <f t="shared" si="0"/>
        <v>327000</v>
      </c>
      <c r="O8" s="1">
        <f t="shared" si="0"/>
        <v>610400</v>
      </c>
      <c r="P8" s="1">
        <f>O7*$C$2+O7</f>
        <v>370600</v>
      </c>
    </row>
    <row r="9" spans="1:19" x14ac:dyDescent="0.25">
      <c r="C9" t="s">
        <v>8</v>
      </c>
      <c r="E9" s="1">
        <f>E8-E10</f>
        <v>680160</v>
      </c>
      <c r="F9" s="1">
        <f t="shared" ref="F9:P9" si="1">F8-F10</f>
        <v>884208</v>
      </c>
      <c r="G9" s="1">
        <f t="shared" si="1"/>
        <v>1721328</v>
      </c>
      <c r="H9" s="1">
        <f t="shared" si="1"/>
        <v>1004544</v>
      </c>
      <c r="I9" s="1">
        <f t="shared" si="1"/>
        <v>2563680</v>
      </c>
      <c r="J9" s="1">
        <f t="shared" si="1"/>
        <v>4290240</v>
      </c>
      <c r="K9" s="1">
        <f t="shared" si="1"/>
        <v>1977696</v>
      </c>
      <c r="L9" s="1">
        <f t="shared" si="1"/>
        <v>1569600</v>
      </c>
      <c r="M9" s="1">
        <f t="shared" si="1"/>
        <v>795264</v>
      </c>
      <c r="N9" s="1">
        <f t="shared" si="1"/>
        <v>313920</v>
      </c>
      <c r="O9" s="1">
        <f t="shared" si="1"/>
        <v>585984</v>
      </c>
      <c r="P9" s="1">
        <f t="shared" si="1"/>
        <v>355776</v>
      </c>
    </row>
    <row r="10" spans="1:19" x14ac:dyDescent="0.25">
      <c r="C10" t="s">
        <v>1</v>
      </c>
      <c r="E10" s="1">
        <f>E8*$C$3</f>
        <v>28340</v>
      </c>
      <c r="F10" s="1">
        <f t="shared" ref="F10:P10" si="2">F8*$C$3</f>
        <v>36842</v>
      </c>
      <c r="G10" s="1">
        <f t="shared" si="2"/>
        <v>71722</v>
      </c>
      <c r="H10" s="1">
        <f t="shared" si="2"/>
        <v>41856</v>
      </c>
      <c r="I10" s="1">
        <f t="shared" si="2"/>
        <v>106820</v>
      </c>
      <c r="J10" s="1">
        <f t="shared" si="2"/>
        <v>178760</v>
      </c>
      <c r="K10" s="1">
        <f t="shared" si="2"/>
        <v>82404</v>
      </c>
      <c r="L10" s="1">
        <f t="shared" si="2"/>
        <v>65400</v>
      </c>
      <c r="M10" s="1">
        <f t="shared" si="2"/>
        <v>33136</v>
      </c>
      <c r="N10" s="1">
        <f t="shared" si="2"/>
        <v>13080</v>
      </c>
      <c r="O10" s="1">
        <f t="shared" si="2"/>
        <v>24416</v>
      </c>
      <c r="P10" s="1">
        <f t="shared" si="2"/>
        <v>14824</v>
      </c>
      <c r="Q10" s="1">
        <f>SUM(E10:P10)</f>
        <v>697600</v>
      </c>
    </row>
    <row r="12" spans="1:19" x14ac:dyDescent="0.25">
      <c r="C12" t="s">
        <v>5</v>
      </c>
      <c r="D12" s="1">
        <f t="shared" ref="D12:O12" si="3">D7</f>
        <v>650000</v>
      </c>
      <c r="E12" s="1">
        <f t="shared" si="3"/>
        <v>845000</v>
      </c>
      <c r="F12" s="1">
        <f t="shared" si="3"/>
        <v>1645000</v>
      </c>
      <c r="G12" s="1">
        <f t="shared" si="3"/>
        <v>960000</v>
      </c>
      <c r="H12" s="1">
        <f t="shared" si="3"/>
        <v>2450000</v>
      </c>
      <c r="I12" s="1">
        <f t="shared" si="3"/>
        <v>4100000</v>
      </c>
      <c r="J12" s="1">
        <f t="shared" si="3"/>
        <v>1890000</v>
      </c>
      <c r="K12" s="1">
        <f t="shared" si="3"/>
        <v>1500000</v>
      </c>
      <c r="L12" s="1">
        <f t="shared" si="3"/>
        <v>760000</v>
      </c>
      <c r="M12" s="1">
        <f t="shared" si="3"/>
        <v>300000</v>
      </c>
      <c r="N12" s="1">
        <f t="shared" si="3"/>
        <v>560000</v>
      </c>
      <c r="O12" s="1">
        <f t="shared" si="3"/>
        <v>340000</v>
      </c>
      <c r="P12" s="1">
        <v>0</v>
      </c>
    </row>
    <row r="13" spans="1:19" x14ac:dyDescent="0.25">
      <c r="C13" t="s">
        <v>6</v>
      </c>
      <c r="D13">
        <v>0</v>
      </c>
      <c r="E13" s="1">
        <f>E9</f>
        <v>680160</v>
      </c>
      <c r="F13" s="1">
        <f t="shared" ref="F13:O13" si="4">F9</f>
        <v>884208</v>
      </c>
      <c r="G13" s="1">
        <f t="shared" si="4"/>
        <v>1721328</v>
      </c>
      <c r="H13" s="1">
        <f t="shared" si="4"/>
        <v>1004544</v>
      </c>
      <c r="I13" s="1">
        <f t="shared" si="4"/>
        <v>2563680</v>
      </c>
      <c r="J13" s="1">
        <f t="shared" si="4"/>
        <v>4290240</v>
      </c>
      <c r="K13" s="1">
        <f t="shared" si="4"/>
        <v>1977696</v>
      </c>
      <c r="L13" s="1">
        <f t="shared" si="4"/>
        <v>1569600</v>
      </c>
      <c r="M13" s="1">
        <f t="shared" si="4"/>
        <v>795264</v>
      </c>
      <c r="N13" s="1">
        <f t="shared" si="4"/>
        <v>313920</v>
      </c>
      <c r="O13" s="1">
        <f t="shared" si="4"/>
        <v>585984</v>
      </c>
      <c r="P13" s="2">
        <f>P9+(Q10*0.4)</f>
        <v>634816</v>
      </c>
      <c r="R13" s="2">
        <f>Q10*0.4</f>
        <v>279040</v>
      </c>
    </row>
    <row r="14" spans="1:19" x14ac:dyDescent="0.25">
      <c r="C14" t="s">
        <v>7</v>
      </c>
      <c r="D14" s="1">
        <f>D13-D12</f>
        <v>-650000</v>
      </c>
      <c r="E14" s="1">
        <f>D14-E12+E13</f>
        <v>-814840</v>
      </c>
      <c r="F14" s="1">
        <f t="shared" ref="F14:N14" si="5">E14-F12+F13</f>
        <v>-1575632</v>
      </c>
      <c r="G14" s="1">
        <f t="shared" si="5"/>
        <v>-814304</v>
      </c>
      <c r="H14" s="1">
        <f t="shared" si="5"/>
        <v>-2259760</v>
      </c>
      <c r="I14" s="1">
        <f t="shared" si="5"/>
        <v>-3796080</v>
      </c>
      <c r="J14" s="1">
        <f t="shared" si="5"/>
        <v>-1395840</v>
      </c>
      <c r="K14" s="1">
        <f t="shared" si="5"/>
        <v>-918144</v>
      </c>
      <c r="L14" s="1">
        <f t="shared" si="5"/>
        <v>-108544</v>
      </c>
      <c r="M14" s="1">
        <f t="shared" si="5"/>
        <v>386720</v>
      </c>
      <c r="N14" s="1">
        <f t="shared" si="5"/>
        <v>140640</v>
      </c>
      <c r="O14" s="1">
        <f>N14-O12+O13</f>
        <v>386624</v>
      </c>
      <c r="P14" s="1">
        <f>O14-P12+P13</f>
        <v>1021440</v>
      </c>
      <c r="R14" s="1">
        <f>P14+R13</f>
        <v>1300480</v>
      </c>
      <c r="S14" s="1"/>
    </row>
    <row r="15" spans="1:19" x14ac:dyDescent="0.25">
      <c r="S15" s="1"/>
    </row>
    <row r="16" spans="1:19" ht="15.75" thickBot="1" x14ac:dyDescent="0.3"/>
    <row r="17" spans="3:12" ht="15.75" thickBot="1" x14ac:dyDescent="0.3">
      <c r="C17" s="4" t="s">
        <v>10</v>
      </c>
      <c r="D17" s="5" t="s">
        <v>11</v>
      </c>
    </row>
    <row r="18" spans="3:12" ht="15.75" thickBot="1" x14ac:dyDescent="0.3">
      <c r="C18" s="3" t="s">
        <v>9</v>
      </c>
      <c r="D18" s="49" t="s">
        <v>13</v>
      </c>
      <c r="E18" s="50"/>
      <c r="F18" s="50"/>
      <c r="G18" s="50"/>
      <c r="H18" s="50"/>
      <c r="I18" s="50"/>
      <c r="J18" s="50"/>
      <c r="K18" s="50"/>
      <c r="L18" s="51"/>
    </row>
    <row r="19" spans="3:12" x14ac:dyDescent="0.25">
      <c r="C19" s="52" t="s">
        <v>12</v>
      </c>
      <c r="D19" s="54" t="s">
        <v>14</v>
      </c>
      <c r="E19" s="55"/>
      <c r="F19" s="55"/>
      <c r="G19" s="55"/>
      <c r="H19" s="55"/>
      <c r="I19" s="55"/>
      <c r="J19" s="55"/>
      <c r="K19" s="55"/>
      <c r="L19" s="56"/>
    </row>
    <row r="20" spans="3:12" x14ac:dyDescent="0.25">
      <c r="C20" s="52"/>
      <c r="D20" s="54"/>
      <c r="E20" s="57"/>
      <c r="F20" s="57"/>
      <c r="G20" s="57"/>
      <c r="H20" s="57"/>
      <c r="I20" s="57"/>
      <c r="J20" s="57"/>
      <c r="K20" s="57"/>
      <c r="L20" s="58"/>
    </row>
    <row r="21" spans="3:12" ht="15.75" thickBot="1" x14ac:dyDescent="0.3">
      <c r="C21" s="53"/>
      <c r="D21" s="59"/>
      <c r="E21" s="60"/>
      <c r="F21" s="60"/>
      <c r="G21" s="60"/>
      <c r="H21" s="60"/>
      <c r="I21" s="60"/>
      <c r="J21" s="60"/>
      <c r="K21" s="60"/>
      <c r="L21" s="61"/>
    </row>
  </sheetData>
  <mergeCells count="3">
    <mergeCell ref="D18:L18"/>
    <mergeCell ref="C19:C21"/>
    <mergeCell ref="D19:L21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B1E68-7CBE-44BF-BFEE-003FC3674ECC}">
  <dimension ref="A1:S21"/>
  <sheetViews>
    <sheetView zoomScale="115" zoomScaleNormal="115" workbookViewId="0">
      <selection activeCell="B2" sqref="B2"/>
    </sheetView>
  </sheetViews>
  <sheetFormatPr defaultRowHeight="15" x14ac:dyDescent="0.25"/>
  <cols>
    <col min="1" max="1" width="9.28515625" bestFit="1" customWidth="1"/>
    <col min="2" max="2" width="2.7109375" bestFit="1" customWidth="1"/>
    <col min="3" max="3" width="20.5703125" bestFit="1" customWidth="1"/>
    <col min="4" max="5" width="13.42578125" bestFit="1" customWidth="1"/>
    <col min="6" max="12" width="15.140625" bestFit="1" customWidth="1"/>
    <col min="13" max="15" width="13.42578125" bestFit="1" customWidth="1"/>
    <col min="16" max="16" width="15.140625" bestFit="1" customWidth="1"/>
    <col min="17" max="17" width="13.42578125" bestFit="1" customWidth="1"/>
    <col min="18" max="18" width="15.140625" bestFit="1" customWidth="1"/>
    <col min="19" max="19" width="13.85546875" bestFit="1" customWidth="1"/>
  </cols>
  <sheetData>
    <row r="1" spans="1:19" x14ac:dyDescent="0.25">
      <c r="B1" t="s">
        <v>2</v>
      </c>
    </row>
    <row r="2" spans="1:19" x14ac:dyDescent="0.25">
      <c r="A2" t="s">
        <v>0</v>
      </c>
      <c r="B2">
        <v>9</v>
      </c>
      <c r="C2">
        <v>0.09</v>
      </c>
    </row>
    <row r="3" spans="1:19" x14ac:dyDescent="0.25">
      <c r="A3" t="s">
        <v>1</v>
      </c>
      <c r="B3">
        <v>4</v>
      </c>
      <c r="C3">
        <v>0.04</v>
      </c>
    </row>
    <row r="6" spans="1:19" x14ac:dyDescent="0.25">
      <c r="C6" t="s">
        <v>4</v>
      </c>
      <c r="D6">
        <v>1</v>
      </c>
      <c r="E6">
        <v>2</v>
      </c>
      <c r="F6">
        <v>3</v>
      </c>
      <c r="G6">
        <v>4</v>
      </c>
      <c r="H6">
        <v>5</v>
      </c>
      <c r="I6">
        <v>6</v>
      </c>
      <c r="J6">
        <v>7</v>
      </c>
      <c r="K6">
        <v>8</v>
      </c>
      <c r="L6">
        <v>9</v>
      </c>
      <c r="M6">
        <v>10</v>
      </c>
      <c r="N6">
        <v>11</v>
      </c>
      <c r="O6">
        <v>12</v>
      </c>
      <c r="P6">
        <v>13</v>
      </c>
    </row>
    <row r="7" spans="1:19" x14ac:dyDescent="0.25">
      <c r="C7" t="s">
        <v>3</v>
      </c>
      <c r="D7" s="2">
        <v>650000</v>
      </c>
      <c r="E7" s="2">
        <v>845000</v>
      </c>
      <c r="F7" s="2">
        <v>1645000</v>
      </c>
      <c r="G7" s="2">
        <v>960000</v>
      </c>
      <c r="H7" s="2">
        <v>2450000</v>
      </c>
      <c r="I7" s="2">
        <v>4100000</v>
      </c>
      <c r="J7" s="2">
        <v>1890000</v>
      </c>
      <c r="K7" s="2">
        <v>1500000</v>
      </c>
      <c r="L7" s="2">
        <v>760000</v>
      </c>
      <c r="M7" s="2">
        <v>300000</v>
      </c>
      <c r="N7" s="2">
        <v>560000</v>
      </c>
      <c r="O7" s="2">
        <v>340000</v>
      </c>
      <c r="P7" s="2">
        <v>0</v>
      </c>
    </row>
    <row r="8" spans="1:19" x14ac:dyDescent="0.25">
      <c r="C8" t="s">
        <v>0</v>
      </c>
      <c r="D8">
        <v>0</v>
      </c>
      <c r="E8" s="1">
        <f>D7*$C$2+D7</f>
        <v>708500</v>
      </c>
      <c r="F8" s="1">
        <f t="shared" ref="F8:O8" si="0">E7*$C$2+E7</f>
        <v>921050</v>
      </c>
      <c r="G8" s="1">
        <f t="shared" si="0"/>
        <v>1793050</v>
      </c>
      <c r="H8" s="1">
        <f t="shared" si="0"/>
        <v>1046400</v>
      </c>
      <c r="I8" s="1">
        <f t="shared" si="0"/>
        <v>2670500</v>
      </c>
      <c r="J8" s="1">
        <f t="shared" si="0"/>
        <v>4469000</v>
      </c>
      <c r="K8" s="1">
        <f t="shared" si="0"/>
        <v>2060100</v>
      </c>
      <c r="L8" s="1">
        <f t="shared" si="0"/>
        <v>1635000</v>
      </c>
      <c r="M8" s="1">
        <f t="shared" si="0"/>
        <v>828400</v>
      </c>
      <c r="N8" s="1">
        <f t="shared" si="0"/>
        <v>327000</v>
      </c>
      <c r="O8" s="1">
        <f t="shared" si="0"/>
        <v>610400</v>
      </c>
      <c r="P8" s="1">
        <f>O7*$C$2+O7</f>
        <v>370600</v>
      </c>
    </row>
    <row r="9" spans="1:19" x14ac:dyDescent="0.25">
      <c r="C9" t="s">
        <v>8</v>
      </c>
      <c r="E9" s="1">
        <f>E8-E10</f>
        <v>680160</v>
      </c>
      <c r="F9" s="1">
        <f t="shared" ref="F9:P9" si="1">F8-F10</f>
        <v>884208</v>
      </c>
      <c r="G9" s="1">
        <f t="shared" si="1"/>
        <v>1721328</v>
      </c>
      <c r="H9" s="1">
        <f t="shared" si="1"/>
        <v>1004544</v>
      </c>
      <c r="I9" s="1">
        <f t="shared" si="1"/>
        <v>2563680</v>
      </c>
      <c r="J9" s="1">
        <f t="shared" si="1"/>
        <v>4290240</v>
      </c>
      <c r="K9" s="1">
        <f t="shared" si="1"/>
        <v>1977696</v>
      </c>
      <c r="L9" s="1">
        <f t="shared" si="1"/>
        <v>1569600</v>
      </c>
      <c r="M9" s="1">
        <f t="shared" si="1"/>
        <v>795264</v>
      </c>
      <c r="N9" s="1">
        <f t="shared" si="1"/>
        <v>313920</v>
      </c>
      <c r="O9" s="1">
        <f t="shared" si="1"/>
        <v>585984</v>
      </c>
      <c r="P9" s="1">
        <f t="shared" si="1"/>
        <v>355776</v>
      </c>
    </row>
    <row r="10" spans="1:19" x14ac:dyDescent="0.25">
      <c r="C10" t="s">
        <v>1</v>
      </c>
      <c r="E10" s="1">
        <f>E8*$C$3</f>
        <v>28340</v>
      </c>
      <c r="F10" s="1">
        <f t="shared" ref="F10:P10" si="2">F8*$C$3</f>
        <v>36842</v>
      </c>
      <c r="G10" s="1">
        <f t="shared" si="2"/>
        <v>71722</v>
      </c>
      <c r="H10" s="1">
        <f t="shared" si="2"/>
        <v>41856</v>
      </c>
      <c r="I10" s="1">
        <f t="shared" si="2"/>
        <v>106820</v>
      </c>
      <c r="J10" s="1">
        <f t="shared" si="2"/>
        <v>178760</v>
      </c>
      <c r="K10" s="1">
        <f t="shared" si="2"/>
        <v>82404</v>
      </c>
      <c r="L10" s="1">
        <f t="shared" si="2"/>
        <v>65400</v>
      </c>
      <c r="M10" s="1">
        <f t="shared" si="2"/>
        <v>33136</v>
      </c>
      <c r="N10" s="1">
        <f t="shared" si="2"/>
        <v>13080</v>
      </c>
      <c r="O10" s="1">
        <f t="shared" si="2"/>
        <v>24416</v>
      </c>
      <c r="P10" s="1">
        <f t="shared" si="2"/>
        <v>14824</v>
      </c>
      <c r="Q10" s="1">
        <f>SUM(E10:P10)</f>
        <v>697600</v>
      </c>
    </row>
    <row r="12" spans="1:19" x14ac:dyDescent="0.25">
      <c r="C12" t="s">
        <v>5</v>
      </c>
      <c r="D12" s="1">
        <f t="shared" ref="D12:O12" si="3">D7</f>
        <v>650000</v>
      </c>
      <c r="E12" s="1">
        <f t="shared" si="3"/>
        <v>845000</v>
      </c>
      <c r="F12" s="1">
        <f t="shared" si="3"/>
        <v>1645000</v>
      </c>
      <c r="G12" s="1">
        <f t="shared" si="3"/>
        <v>960000</v>
      </c>
      <c r="H12" s="1">
        <f t="shared" si="3"/>
        <v>2450000</v>
      </c>
      <c r="I12" s="1">
        <f t="shared" si="3"/>
        <v>4100000</v>
      </c>
      <c r="J12" s="1">
        <f t="shared" si="3"/>
        <v>1890000</v>
      </c>
      <c r="K12" s="1">
        <f t="shared" si="3"/>
        <v>1500000</v>
      </c>
      <c r="L12" s="1">
        <f t="shared" si="3"/>
        <v>760000</v>
      </c>
      <c r="M12" s="1">
        <f t="shared" si="3"/>
        <v>300000</v>
      </c>
      <c r="N12" s="1">
        <f t="shared" si="3"/>
        <v>560000</v>
      </c>
      <c r="O12" s="1">
        <f t="shared" si="3"/>
        <v>340000</v>
      </c>
      <c r="P12" s="1">
        <v>0</v>
      </c>
    </row>
    <row r="13" spans="1:19" x14ac:dyDescent="0.25">
      <c r="C13" t="s">
        <v>6</v>
      </c>
      <c r="D13">
        <v>0</v>
      </c>
      <c r="E13" s="1">
        <f>E9</f>
        <v>680160</v>
      </c>
      <c r="F13" s="1">
        <f t="shared" ref="F13:O13" si="4">F9</f>
        <v>884208</v>
      </c>
      <c r="G13" s="1">
        <f t="shared" si="4"/>
        <v>1721328</v>
      </c>
      <c r="H13" s="1">
        <f t="shared" si="4"/>
        <v>1004544</v>
      </c>
      <c r="I13" s="1">
        <f t="shared" si="4"/>
        <v>2563680</v>
      </c>
      <c r="J13" s="1">
        <f t="shared" si="4"/>
        <v>4290240</v>
      </c>
      <c r="K13" s="1">
        <f t="shared" si="4"/>
        <v>1977696</v>
      </c>
      <c r="L13" s="1">
        <f t="shared" si="4"/>
        <v>1569600</v>
      </c>
      <c r="M13" s="1">
        <f t="shared" si="4"/>
        <v>795264</v>
      </c>
      <c r="N13" s="1">
        <f t="shared" si="4"/>
        <v>313920</v>
      </c>
      <c r="O13" s="1">
        <f t="shared" si="4"/>
        <v>585984</v>
      </c>
      <c r="P13" s="2">
        <f>P9+(Q10*0.4)</f>
        <v>634816</v>
      </c>
      <c r="R13" s="2">
        <f>Q10*0.4</f>
        <v>279040</v>
      </c>
    </row>
    <row r="14" spans="1:19" x14ac:dyDescent="0.25">
      <c r="C14" t="s">
        <v>7</v>
      </c>
      <c r="D14" s="1">
        <f>D13-D12</f>
        <v>-650000</v>
      </c>
      <c r="E14" s="1">
        <f>D14-E12+E13</f>
        <v>-814840</v>
      </c>
      <c r="F14" s="1">
        <f t="shared" ref="F14:N14" si="5">E14-F12+F13</f>
        <v>-1575632</v>
      </c>
      <c r="G14" s="1">
        <f t="shared" si="5"/>
        <v>-814304</v>
      </c>
      <c r="H14" s="1">
        <f t="shared" si="5"/>
        <v>-2259760</v>
      </c>
      <c r="I14" s="1">
        <f t="shared" si="5"/>
        <v>-3796080</v>
      </c>
      <c r="J14" s="1">
        <f t="shared" si="5"/>
        <v>-1395840</v>
      </c>
      <c r="K14" s="1">
        <f t="shared" si="5"/>
        <v>-918144</v>
      </c>
      <c r="L14" s="1">
        <f t="shared" si="5"/>
        <v>-108544</v>
      </c>
      <c r="M14" s="1">
        <f t="shared" si="5"/>
        <v>386720</v>
      </c>
      <c r="N14" s="1">
        <f t="shared" si="5"/>
        <v>140640</v>
      </c>
      <c r="O14" s="1">
        <f>N14-O12+O13</f>
        <v>386624</v>
      </c>
      <c r="P14" s="1">
        <f>O14-P12+P13</f>
        <v>1021440</v>
      </c>
      <c r="R14" s="1">
        <f>P14+R13</f>
        <v>1300480</v>
      </c>
      <c r="S14" s="1"/>
    </row>
    <row r="15" spans="1:19" x14ac:dyDescent="0.25">
      <c r="S15" s="1"/>
    </row>
    <row r="16" spans="1:19" ht="15.75" thickBot="1" x14ac:dyDescent="0.3"/>
    <row r="17" spans="3:12" ht="15.75" thickBot="1" x14ac:dyDescent="0.3">
      <c r="C17" s="4" t="s">
        <v>10</v>
      </c>
      <c r="D17" s="5" t="s">
        <v>11</v>
      </c>
    </row>
    <row r="18" spans="3:12" ht="15.75" thickBot="1" x14ac:dyDescent="0.3">
      <c r="C18" s="3" t="s">
        <v>9</v>
      </c>
      <c r="D18" s="49" t="s">
        <v>13</v>
      </c>
      <c r="E18" s="50"/>
      <c r="F18" s="50"/>
      <c r="G18" s="50"/>
      <c r="H18" s="50"/>
      <c r="I18" s="50"/>
      <c r="J18" s="50"/>
      <c r="K18" s="50"/>
      <c r="L18" s="51"/>
    </row>
    <row r="19" spans="3:12" x14ac:dyDescent="0.25">
      <c r="C19" s="52" t="s">
        <v>12</v>
      </c>
      <c r="D19" s="54" t="s">
        <v>14</v>
      </c>
      <c r="E19" s="55"/>
      <c r="F19" s="55"/>
      <c r="G19" s="55"/>
      <c r="H19" s="55"/>
      <c r="I19" s="55"/>
      <c r="J19" s="55"/>
      <c r="K19" s="55"/>
      <c r="L19" s="56"/>
    </row>
    <row r="20" spans="3:12" x14ac:dyDescent="0.25">
      <c r="C20" s="52"/>
      <c r="D20" s="54"/>
      <c r="E20" s="57"/>
      <c r="F20" s="57"/>
      <c r="G20" s="57"/>
      <c r="H20" s="57"/>
      <c r="I20" s="57"/>
      <c r="J20" s="57"/>
      <c r="K20" s="57"/>
      <c r="L20" s="58"/>
    </row>
    <row r="21" spans="3:12" ht="15.75" thickBot="1" x14ac:dyDescent="0.3">
      <c r="C21" s="53"/>
      <c r="D21" s="59"/>
      <c r="E21" s="60"/>
      <c r="F21" s="60"/>
      <c r="G21" s="60"/>
      <c r="H21" s="60"/>
      <c r="I21" s="60"/>
      <c r="J21" s="60"/>
      <c r="K21" s="60"/>
      <c r="L21" s="61"/>
    </row>
  </sheetData>
  <mergeCells count="3">
    <mergeCell ref="D19:L21"/>
    <mergeCell ref="C19:C21"/>
    <mergeCell ref="D18:L18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534D0-0B78-4276-BA1D-720E840B434C}">
  <sheetPr>
    <tabColor rgb="FFFF0000"/>
  </sheetPr>
  <dimension ref="B1:AD98"/>
  <sheetViews>
    <sheetView tabSelected="1" topLeftCell="A4" zoomScale="110" zoomScaleNormal="110" workbookViewId="0">
      <selection activeCell="D21" sqref="D21:D23"/>
    </sheetView>
  </sheetViews>
  <sheetFormatPr defaultRowHeight="15" x14ac:dyDescent="0.25"/>
  <cols>
    <col min="1" max="1" width="18.7109375" bestFit="1" customWidth="1"/>
    <col min="2" max="2" width="6.85546875" customWidth="1"/>
    <col min="3" max="3" width="28.7109375" customWidth="1"/>
    <col min="4" max="4" width="21.140625" customWidth="1"/>
    <col min="5" max="5" width="15.7109375" bestFit="1" customWidth="1"/>
    <col min="6" max="6" width="19.5703125" bestFit="1" customWidth="1"/>
    <col min="7" max="7" width="15.28515625" bestFit="1" customWidth="1"/>
    <col min="8" max="9" width="15.7109375" bestFit="1" customWidth="1"/>
    <col min="10" max="20" width="17.28515625" bestFit="1" customWidth="1"/>
    <col min="21" max="24" width="15.7109375" bestFit="1" customWidth="1"/>
    <col min="25" max="25" width="19.28515625" bestFit="1" customWidth="1"/>
    <col min="26" max="26" width="20.42578125" customWidth="1"/>
    <col min="27" max="27" width="23.28515625" customWidth="1"/>
    <col min="28" max="28" width="18.28515625" bestFit="1" customWidth="1"/>
    <col min="29" max="30" width="32.5703125" bestFit="1" customWidth="1"/>
    <col min="31" max="31" width="30.28515625" bestFit="1" customWidth="1"/>
  </cols>
  <sheetData>
    <row r="1" spans="2:30" x14ac:dyDescent="0.25"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4"/>
      <c r="X1" s="34"/>
      <c r="Y1" s="34"/>
      <c r="Z1" s="34"/>
      <c r="AA1" s="34"/>
      <c r="AB1" s="34"/>
      <c r="AC1" s="34"/>
      <c r="AD1" s="34"/>
    </row>
    <row r="2" spans="2:30" x14ac:dyDescent="0.25">
      <c r="B2" s="34"/>
      <c r="C2" s="46" t="s">
        <v>64</v>
      </c>
      <c r="D2" s="47"/>
      <c r="E2" s="47"/>
      <c r="F2" s="48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</row>
    <row r="3" spans="2:30" x14ac:dyDescent="0.25">
      <c r="B3" s="34"/>
      <c r="C3" s="24" t="s">
        <v>55</v>
      </c>
      <c r="D3" s="24" t="s">
        <v>2</v>
      </c>
      <c r="E3" s="24" t="s">
        <v>65</v>
      </c>
      <c r="F3" s="25">
        <v>16904246</v>
      </c>
      <c r="G3" s="34"/>
      <c r="H3" s="34"/>
      <c r="I3" s="34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</row>
    <row r="4" spans="2:30" x14ac:dyDescent="0.25">
      <c r="B4" s="34"/>
      <c r="C4" s="24" t="s">
        <v>54</v>
      </c>
      <c r="D4" s="24">
        <v>6</v>
      </c>
      <c r="E4" s="24">
        <v>0.06</v>
      </c>
      <c r="F4" s="26">
        <f>E4*$F$3</f>
        <v>1014254.76</v>
      </c>
      <c r="G4" s="34"/>
      <c r="H4" s="34"/>
      <c r="I4" s="34"/>
      <c r="J4" s="34"/>
      <c r="K4" s="34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</row>
    <row r="5" spans="2:30" x14ac:dyDescent="0.25">
      <c r="B5" s="34"/>
      <c r="C5" s="24" t="s">
        <v>58</v>
      </c>
      <c r="D5" s="24">
        <v>12</v>
      </c>
      <c r="E5" s="24">
        <v>0.12</v>
      </c>
      <c r="F5" s="26">
        <f>E5*$F$3</f>
        <v>2028509.52</v>
      </c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</row>
    <row r="6" spans="2:30" x14ac:dyDescent="0.25">
      <c r="B6" s="34"/>
      <c r="C6" s="24" t="s">
        <v>59</v>
      </c>
      <c r="D6" s="24">
        <v>7.5</v>
      </c>
      <c r="E6" s="24">
        <v>7.4999999999999997E-2</v>
      </c>
      <c r="F6" s="26">
        <f>E6*$F$3</f>
        <v>1267818.45</v>
      </c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</row>
    <row r="7" spans="2:30" x14ac:dyDescent="0.25">
      <c r="B7" s="34"/>
      <c r="C7" s="24" t="s">
        <v>60</v>
      </c>
      <c r="D7" s="24">
        <v>3</v>
      </c>
      <c r="E7" s="24">
        <v>0.03</v>
      </c>
      <c r="F7" s="26">
        <f>E7*$F$3</f>
        <v>507127.38</v>
      </c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</row>
    <row r="8" spans="2:30" x14ac:dyDescent="0.25">
      <c r="B8" s="34"/>
      <c r="C8" s="24" t="s">
        <v>61</v>
      </c>
      <c r="D8" s="24">
        <v>10</v>
      </c>
      <c r="E8" s="27">
        <v>0.1</v>
      </c>
      <c r="F8" s="26">
        <f>E8*$F$3</f>
        <v>1690424.6</v>
      </c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</row>
    <row r="9" spans="2:30" x14ac:dyDescent="0.25">
      <c r="B9" s="34"/>
      <c r="C9" s="28" t="s">
        <v>19</v>
      </c>
      <c r="D9" s="28"/>
      <c r="E9" s="28"/>
      <c r="F9" s="29">
        <f>SUM(F3:F8)</f>
        <v>23412380.710000001</v>
      </c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</row>
    <row r="10" spans="2:30" x14ac:dyDescent="0.25">
      <c r="B10" s="34"/>
      <c r="C10" s="24"/>
      <c r="D10" s="24"/>
      <c r="E10" s="24"/>
      <c r="F10" s="30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</row>
    <row r="11" spans="2:30" x14ac:dyDescent="0.25">
      <c r="B11" s="34"/>
      <c r="C11" s="24" t="s">
        <v>1</v>
      </c>
      <c r="D11" s="24">
        <v>3</v>
      </c>
      <c r="E11" s="24">
        <v>0.03</v>
      </c>
      <c r="F11" s="26">
        <f>E11*$F$3</f>
        <v>507127.38</v>
      </c>
      <c r="G11" s="34"/>
      <c r="H11" s="34"/>
      <c r="I11" s="34"/>
      <c r="J11" s="34"/>
      <c r="K11" s="34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</row>
    <row r="12" spans="2:30" s="34" customFormat="1" x14ac:dyDescent="0.25"/>
    <row r="13" spans="2:30" ht="15.75" thickBot="1" x14ac:dyDescent="0.3">
      <c r="B13" s="34"/>
      <c r="C13" s="32" t="s">
        <v>20</v>
      </c>
      <c r="D13" s="32">
        <v>1</v>
      </c>
      <c r="E13" s="32">
        <v>2</v>
      </c>
      <c r="F13" s="32">
        <v>3</v>
      </c>
      <c r="G13" s="32">
        <v>4</v>
      </c>
      <c r="H13" s="32">
        <v>5</v>
      </c>
      <c r="I13" s="32">
        <v>6</v>
      </c>
      <c r="J13" s="32">
        <v>7</v>
      </c>
      <c r="K13" s="32">
        <v>8</v>
      </c>
      <c r="L13" s="32">
        <v>9</v>
      </c>
      <c r="M13" s="32">
        <v>10</v>
      </c>
      <c r="N13" s="32">
        <v>11</v>
      </c>
      <c r="O13" s="32">
        <v>12</v>
      </c>
      <c r="P13" s="32">
        <v>13</v>
      </c>
      <c r="Q13" s="32">
        <v>14</v>
      </c>
      <c r="R13" s="32">
        <v>15</v>
      </c>
      <c r="S13" s="32">
        <v>16</v>
      </c>
      <c r="T13" s="32">
        <v>17</v>
      </c>
      <c r="U13" s="32">
        <v>18</v>
      </c>
      <c r="V13" s="32">
        <v>19</v>
      </c>
      <c r="W13" s="32">
        <v>20</v>
      </c>
      <c r="X13" s="32">
        <v>21</v>
      </c>
      <c r="Y13" s="32">
        <v>22</v>
      </c>
      <c r="Z13" s="34"/>
      <c r="AA13" s="34"/>
      <c r="AB13" s="20">
        <v>34</v>
      </c>
      <c r="AC13" s="35"/>
      <c r="AD13" s="34"/>
    </row>
    <row r="14" spans="2:30" ht="30.75" thickBot="1" x14ac:dyDescent="0.3">
      <c r="B14" s="34"/>
      <c r="D14" s="37" t="s">
        <v>15</v>
      </c>
      <c r="E14" s="38"/>
      <c r="F14" s="38"/>
      <c r="G14" s="38"/>
      <c r="H14" s="38"/>
      <c r="I14" s="38"/>
      <c r="J14" s="39"/>
      <c r="K14" s="40" t="s">
        <v>16</v>
      </c>
      <c r="L14" s="41"/>
      <c r="M14" s="41"/>
      <c r="N14" s="42"/>
      <c r="O14" s="43" t="s">
        <v>17</v>
      </c>
      <c r="P14" s="44"/>
      <c r="Q14" s="44"/>
      <c r="R14" s="44"/>
      <c r="S14" s="44"/>
      <c r="T14" s="44"/>
      <c r="U14" s="44"/>
      <c r="V14" s="44"/>
      <c r="W14" s="44"/>
      <c r="X14" s="44"/>
      <c r="Y14" s="45"/>
      <c r="Z14" s="19" t="s">
        <v>18</v>
      </c>
      <c r="AA14" s="14" t="s">
        <v>63</v>
      </c>
      <c r="AB14" s="21">
        <v>46997</v>
      </c>
      <c r="AC14" s="34"/>
      <c r="AD14" s="34"/>
    </row>
    <row r="15" spans="2:30" ht="15.75" thickBot="1" x14ac:dyDescent="0.3">
      <c r="B15" s="34"/>
      <c r="C15" s="31" t="s">
        <v>4</v>
      </c>
      <c r="D15" s="7">
        <v>45931</v>
      </c>
      <c r="E15" s="7">
        <v>45962</v>
      </c>
      <c r="F15" s="7">
        <v>45992</v>
      </c>
      <c r="G15" s="7">
        <v>46023</v>
      </c>
      <c r="H15" s="7">
        <v>46054</v>
      </c>
      <c r="I15" s="7">
        <v>46082</v>
      </c>
      <c r="J15" s="8">
        <v>46113</v>
      </c>
      <c r="K15" s="6">
        <v>46143</v>
      </c>
      <c r="L15" s="7">
        <v>46174</v>
      </c>
      <c r="M15" s="7">
        <v>46204</v>
      </c>
      <c r="N15" s="8">
        <v>46235</v>
      </c>
      <c r="O15" s="6">
        <v>46266</v>
      </c>
      <c r="P15" s="7">
        <v>46296</v>
      </c>
      <c r="Q15" s="7">
        <v>46327</v>
      </c>
      <c r="R15" s="7">
        <v>46357</v>
      </c>
      <c r="S15" s="7">
        <v>46388</v>
      </c>
      <c r="T15" s="7">
        <v>46419</v>
      </c>
      <c r="U15" s="7">
        <v>46447</v>
      </c>
      <c r="V15" s="7">
        <v>46478</v>
      </c>
      <c r="W15" s="7">
        <v>46508</v>
      </c>
      <c r="X15" s="7">
        <v>46539</v>
      </c>
      <c r="Y15" s="8">
        <v>46569</v>
      </c>
      <c r="Z15" s="9">
        <v>46600</v>
      </c>
      <c r="AA15" s="15"/>
      <c r="AB15" s="20"/>
      <c r="AC15" t="s">
        <v>4</v>
      </c>
      <c r="AD15" s="34"/>
    </row>
    <row r="16" spans="2:30" x14ac:dyDescent="0.25">
      <c r="B16" s="34"/>
      <c r="C16" s="31" t="s">
        <v>21</v>
      </c>
      <c r="D16" s="1">
        <f t="shared" ref="D16:Y16" si="0">($F$3 * (D28 / SUM($D$28:$Y$28)))</f>
        <v>103093.41593775277</v>
      </c>
      <c r="E16" s="1">
        <f t="shared" si="0"/>
        <v>165854.25618592658</v>
      </c>
      <c r="F16" s="1">
        <f t="shared" si="0"/>
        <v>257838.13126713582</v>
      </c>
      <c r="G16" s="1">
        <f t="shared" si="0"/>
        <v>381659.87127533404</v>
      </c>
      <c r="H16" s="1">
        <f t="shared" si="0"/>
        <v>537916.27552426991</v>
      </c>
      <c r="I16" s="1">
        <f t="shared" si="0"/>
        <v>721874.49991745024</v>
      </c>
      <c r="J16" s="1">
        <f t="shared" si="0"/>
        <v>922396.28965771117</v>
      </c>
      <c r="K16" s="1">
        <f t="shared" si="0"/>
        <v>1122230.9053043602</v>
      </c>
      <c r="L16" s="1">
        <f t="shared" si="0"/>
        <v>1300037.059259335</v>
      </c>
      <c r="M16" s="1">
        <f t="shared" si="0"/>
        <v>1433963.4151231677</v>
      </c>
      <c r="N16" s="1">
        <f t="shared" si="0"/>
        <v>1506014.8027105783</v>
      </c>
      <c r="O16" s="1">
        <f t="shared" si="0"/>
        <v>1506014.8027105783</v>
      </c>
      <c r="P16" s="1">
        <f t="shared" si="0"/>
        <v>1433963.4151231677</v>
      </c>
      <c r="Q16" s="1">
        <f t="shared" si="0"/>
        <v>1300037.059259335</v>
      </c>
      <c r="R16" s="1">
        <f t="shared" si="0"/>
        <v>1122230.9053043602</v>
      </c>
      <c r="S16" s="1">
        <f t="shared" si="0"/>
        <v>922396.28965771117</v>
      </c>
      <c r="T16" s="1">
        <f t="shared" si="0"/>
        <v>721874.49991745024</v>
      </c>
      <c r="U16" s="1">
        <f t="shared" si="0"/>
        <v>537916.27552426991</v>
      </c>
      <c r="V16" s="1">
        <f t="shared" si="0"/>
        <v>381659.87127533404</v>
      </c>
      <c r="W16" s="1">
        <f t="shared" si="0"/>
        <v>257838.13126713582</v>
      </c>
      <c r="X16" s="1">
        <f t="shared" si="0"/>
        <v>165854.25618592658</v>
      </c>
      <c r="Y16" s="1">
        <f t="shared" si="0"/>
        <v>101581.5716117088</v>
      </c>
      <c r="Z16" s="1"/>
      <c r="AA16" s="16">
        <f t="shared" ref="AA16:AA24" si="1">SUM(D16:Y16)</f>
        <v>16904246</v>
      </c>
      <c r="AB16" s="22"/>
      <c r="AC16" s="32" t="s">
        <v>21</v>
      </c>
      <c r="AD16" s="34"/>
    </row>
    <row r="17" spans="2:30" x14ac:dyDescent="0.25">
      <c r="B17" s="34"/>
      <c r="C17" s="31" t="s">
        <v>22</v>
      </c>
      <c r="D17" s="1">
        <f t="shared" ref="D17:Y17" si="2">($F$3 * $E$5) / 22</f>
        <v>92204.97818181818</v>
      </c>
      <c r="E17" s="1">
        <f t="shared" si="2"/>
        <v>92204.97818181818</v>
      </c>
      <c r="F17" s="1">
        <f t="shared" si="2"/>
        <v>92204.97818181818</v>
      </c>
      <c r="G17" s="1">
        <f t="shared" si="2"/>
        <v>92204.97818181818</v>
      </c>
      <c r="H17" s="1">
        <f t="shared" si="2"/>
        <v>92204.97818181818</v>
      </c>
      <c r="I17" s="1">
        <f t="shared" si="2"/>
        <v>92204.97818181818</v>
      </c>
      <c r="J17" s="1">
        <f t="shared" si="2"/>
        <v>92204.97818181818</v>
      </c>
      <c r="K17" s="1">
        <f t="shared" si="2"/>
        <v>92204.97818181818</v>
      </c>
      <c r="L17" s="1">
        <f t="shared" si="2"/>
        <v>92204.97818181818</v>
      </c>
      <c r="M17" s="1">
        <f t="shared" si="2"/>
        <v>92204.97818181818</v>
      </c>
      <c r="N17" s="1">
        <f t="shared" si="2"/>
        <v>92204.97818181818</v>
      </c>
      <c r="O17" s="1">
        <f t="shared" si="2"/>
        <v>92204.97818181818</v>
      </c>
      <c r="P17" s="1">
        <f t="shared" si="2"/>
        <v>92204.97818181818</v>
      </c>
      <c r="Q17" s="1">
        <f t="shared" si="2"/>
        <v>92204.97818181818</v>
      </c>
      <c r="R17" s="1">
        <f t="shared" si="2"/>
        <v>92204.97818181818</v>
      </c>
      <c r="S17" s="1">
        <f t="shared" si="2"/>
        <v>92204.97818181818</v>
      </c>
      <c r="T17" s="1">
        <f t="shared" si="2"/>
        <v>92204.97818181818</v>
      </c>
      <c r="U17" s="1">
        <f t="shared" si="2"/>
        <v>92204.97818181818</v>
      </c>
      <c r="V17" s="1">
        <f t="shared" si="2"/>
        <v>92204.97818181818</v>
      </c>
      <c r="W17" s="1">
        <f t="shared" si="2"/>
        <v>92204.97818181818</v>
      </c>
      <c r="X17" s="1">
        <f t="shared" si="2"/>
        <v>92204.97818181818</v>
      </c>
      <c r="Y17" s="1">
        <f t="shared" si="2"/>
        <v>92204.97818181818</v>
      </c>
      <c r="AA17" s="17">
        <f t="shared" si="1"/>
        <v>2028509.5200000007</v>
      </c>
      <c r="AB17" s="22"/>
      <c r="AC17" s="32" t="s">
        <v>22</v>
      </c>
      <c r="AD17" s="34"/>
    </row>
    <row r="18" spans="2:30" x14ac:dyDescent="0.25">
      <c r="B18" s="34"/>
      <c r="C18" s="31" t="s">
        <v>23</v>
      </c>
      <c r="D18" s="1">
        <f t="shared" ref="D18:Y18" si="3">($F$3 * $E$8) * (D28 / SUM($D$28:$Y$28))</f>
        <v>10309.341593775276</v>
      </c>
      <c r="E18" s="1">
        <f t="shared" si="3"/>
        <v>16585.425618592661</v>
      </c>
      <c r="F18" s="1">
        <f t="shared" si="3"/>
        <v>25783.813126713583</v>
      </c>
      <c r="G18" s="1">
        <f t="shared" si="3"/>
        <v>38165.987127533401</v>
      </c>
      <c r="H18" s="1">
        <f t="shared" si="3"/>
        <v>53791.627552426995</v>
      </c>
      <c r="I18" s="1">
        <f t="shared" si="3"/>
        <v>72187.44999174503</v>
      </c>
      <c r="J18" s="1">
        <f t="shared" si="3"/>
        <v>92239.628965771131</v>
      </c>
      <c r="K18" s="1">
        <f t="shared" si="3"/>
        <v>112223.09053043602</v>
      </c>
      <c r="L18" s="1">
        <f t="shared" si="3"/>
        <v>130003.70592593351</v>
      </c>
      <c r="M18" s="1">
        <f t="shared" si="3"/>
        <v>143396.34151231678</v>
      </c>
      <c r="N18" s="1">
        <f t="shared" si="3"/>
        <v>150601.48027105784</v>
      </c>
      <c r="O18" s="1">
        <f t="shared" si="3"/>
        <v>150601.48027105784</v>
      </c>
      <c r="P18" s="1">
        <f t="shared" si="3"/>
        <v>143396.34151231678</v>
      </c>
      <c r="Q18" s="1">
        <f t="shared" si="3"/>
        <v>130003.70592593351</v>
      </c>
      <c r="R18" s="1">
        <f t="shared" si="3"/>
        <v>112223.09053043602</v>
      </c>
      <c r="S18" s="1">
        <f t="shared" si="3"/>
        <v>92239.628965771131</v>
      </c>
      <c r="T18" s="1">
        <f t="shared" si="3"/>
        <v>72187.44999174503</v>
      </c>
      <c r="U18" s="1">
        <f t="shared" si="3"/>
        <v>53791.627552426995</v>
      </c>
      <c r="V18" s="1">
        <f t="shared" si="3"/>
        <v>38165.987127533401</v>
      </c>
      <c r="W18" s="1">
        <f t="shared" si="3"/>
        <v>25783.813126713583</v>
      </c>
      <c r="X18" s="1">
        <f t="shared" si="3"/>
        <v>16585.425618592661</v>
      </c>
      <c r="Y18" s="1">
        <f t="shared" si="3"/>
        <v>10158.15716117088</v>
      </c>
      <c r="AA18" s="17">
        <f t="shared" si="1"/>
        <v>1690424.5999999996</v>
      </c>
      <c r="AB18" s="22"/>
      <c r="AC18" s="32" t="s">
        <v>23</v>
      </c>
      <c r="AD18" s="34"/>
    </row>
    <row r="19" spans="2:30" x14ac:dyDescent="0.25">
      <c r="B19" s="34"/>
      <c r="C19" s="31" t="s">
        <v>24</v>
      </c>
      <c r="D19" s="1">
        <f t="shared" ref="D19:Y19" si="4">($F$3 * $E$6) * (D28 / SUM($D$28:$Y$28))</f>
        <v>7732.0061953314571</v>
      </c>
      <c r="E19" s="1">
        <f t="shared" si="4"/>
        <v>12439.069213944493</v>
      </c>
      <c r="F19" s="1">
        <f t="shared" si="4"/>
        <v>19337.859845035186</v>
      </c>
      <c r="G19" s="1">
        <f t="shared" si="4"/>
        <v>28624.490345650051</v>
      </c>
      <c r="H19" s="1">
        <f t="shared" si="4"/>
        <v>40343.720664320237</v>
      </c>
      <c r="I19" s="1">
        <f t="shared" si="4"/>
        <v>54140.587493808765</v>
      </c>
      <c r="J19" s="1">
        <f t="shared" si="4"/>
        <v>69179.721724328338</v>
      </c>
      <c r="K19" s="1">
        <f t="shared" si="4"/>
        <v>84167.317897827001</v>
      </c>
      <c r="L19" s="1">
        <f t="shared" si="4"/>
        <v>97502.77944445012</v>
      </c>
      <c r="M19" s="1">
        <f t="shared" si="4"/>
        <v>107547.25613423757</v>
      </c>
      <c r="N19" s="1">
        <f t="shared" si="4"/>
        <v>112951.11020329337</v>
      </c>
      <c r="O19" s="1">
        <f t="shared" si="4"/>
        <v>112951.11020329337</v>
      </c>
      <c r="P19" s="1">
        <f t="shared" si="4"/>
        <v>107547.25613423757</v>
      </c>
      <c r="Q19" s="1">
        <f t="shared" si="4"/>
        <v>97502.77944445012</v>
      </c>
      <c r="R19" s="1">
        <f t="shared" si="4"/>
        <v>84167.317897827001</v>
      </c>
      <c r="S19" s="1">
        <f t="shared" si="4"/>
        <v>69179.721724328338</v>
      </c>
      <c r="T19" s="1">
        <f t="shared" si="4"/>
        <v>54140.587493808765</v>
      </c>
      <c r="U19" s="1">
        <f t="shared" si="4"/>
        <v>40343.720664320237</v>
      </c>
      <c r="V19" s="1">
        <f t="shared" si="4"/>
        <v>28624.490345650051</v>
      </c>
      <c r="W19" s="1">
        <f t="shared" si="4"/>
        <v>19337.859845035186</v>
      </c>
      <c r="X19" s="1">
        <f t="shared" si="4"/>
        <v>12439.069213944493</v>
      </c>
      <c r="Y19" s="1">
        <f t="shared" si="4"/>
        <v>7618.6178708781599</v>
      </c>
      <c r="AA19" s="17">
        <f t="shared" si="1"/>
        <v>1267818.4500000002</v>
      </c>
      <c r="AB19" s="22"/>
      <c r="AC19" s="32" t="s">
        <v>24</v>
      </c>
      <c r="AD19" s="34"/>
    </row>
    <row r="20" spans="2:30" x14ac:dyDescent="0.25">
      <c r="B20" s="34"/>
      <c r="C20" s="31" t="s">
        <v>25</v>
      </c>
      <c r="D20" s="1">
        <f t="shared" ref="D20:Y20" si="5">($F$3 * $E$11) * (D28 / SUM($D$28:$Y$28))</f>
        <v>3092.802478132583</v>
      </c>
      <c r="E20" s="1">
        <f t="shared" si="5"/>
        <v>4975.6276855777978</v>
      </c>
      <c r="F20" s="1">
        <f t="shared" si="5"/>
        <v>7735.1439380140746</v>
      </c>
      <c r="G20" s="1">
        <f t="shared" si="5"/>
        <v>11449.796138260021</v>
      </c>
      <c r="H20" s="1">
        <f t="shared" si="5"/>
        <v>16137.488265728096</v>
      </c>
      <c r="I20" s="1">
        <f t="shared" si="5"/>
        <v>21656.234997523508</v>
      </c>
      <c r="J20" s="1">
        <f t="shared" si="5"/>
        <v>27671.888689731339</v>
      </c>
      <c r="K20" s="1">
        <f t="shared" si="5"/>
        <v>33666.927159130806</v>
      </c>
      <c r="L20" s="1">
        <f t="shared" si="5"/>
        <v>39001.111777780054</v>
      </c>
      <c r="M20" s="1">
        <f t="shared" si="5"/>
        <v>43018.902453695031</v>
      </c>
      <c r="N20" s="1">
        <f t="shared" si="5"/>
        <v>45180.44408131735</v>
      </c>
      <c r="O20" s="1">
        <f t="shared" si="5"/>
        <v>45180.44408131735</v>
      </c>
      <c r="P20" s="1">
        <f t="shared" si="5"/>
        <v>43018.902453695031</v>
      </c>
      <c r="Q20" s="1">
        <f t="shared" si="5"/>
        <v>39001.111777780054</v>
      </c>
      <c r="R20" s="1">
        <f t="shared" si="5"/>
        <v>33666.927159130806</v>
      </c>
      <c r="S20" s="1">
        <f t="shared" si="5"/>
        <v>27671.888689731339</v>
      </c>
      <c r="T20" s="1">
        <f t="shared" si="5"/>
        <v>21656.234997523508</v>
      </c>
      <c r="U20" s="1">
        <f t="shared" si="5"/>
        <v>16137.488265728096</v>
      </c>
      <c r="V20" s="1">
        <f t="shared" si="5"/>
        <v>11449.796138260021</v>
      </c>
      <c r="W20" s="1">
        <f t="shared" si="5"/>
        <v>7735.1439380140746</v>
      </c>
      <c r="X20" s="1">
        <f t="shared" si="5"/>
        <v>4975.6276855777978</v>
      </c>
      <c r="Y20" s="1">
        <f t="shared" si="5"/>
        <v>3047.4471483512639</v>
      </c>
      <c r="AA20" s="17">
        <f t="shared" si="1"/>
        <v>507127.38</v>
      </c>
      <c r="AB20" s="22"/>
      <c r="AC20" s="32" t="s">
        <v>25</v>
      </c>
      <c r="AD20" s="34"/>
    </row>
    <row r="21" spans="2:30" x14ac:dyDescent="0.25">
      <c r="B21" s="34"/>
      <c r="C21" s="31" t="s">
        <v>26</v>
      </c>
      <c r="D21" s="1">
        <f>SUM(D16:D20)</f>
        <v>216432.5443868103</v>
      </c>
      <c r="E21" s="1">
        <f t="shared" ref="E21:Y21" si="6">SUM(E16:E20)</f>
        <v>292059.35688585968</v>
      </c>
      <c r="F21" s="1">
        <f t="shared" si="6"/>
        <v>402899.9263587168</v>
      </c>
      <c r="G21" s="1">
        <f t="shared" si="6"/>
        <v>552105.12306859565</v>
      </c>
      <c r="H21" s="1">
        <f t="shared" si="6"/>
        <v>740394.09018856345</v>
      </c>
      <c r="I21" s="1">
        <f t="shared" si="6"/>
        <v>962063.75058234576</v>
      </c>
      <c r="J21" s="1">
        <f t="shared" si="6"/>
        <v>1203692.50721936</v>
      </c>
      <c r="K21" s="1">
        <f t="shared" si="6"/>
        <v>1444493.2190735722</v>
      </c>
      <c r="L21" s="1">
        <f t="shared" si="6"/>
        <v>1658749.634589317</v>
      </c>
      <c r="M21" s="1">
        <f t="shared" si="6"/>
        <v>1820130.8934052354</v>
      </c>
      <c r="N21" s="1">
        <f t="shared" si="6"/>
        <v>1906952.8154480653</v>
      </c>
      <c r="O21" s="1">
        <f t="shared" si="6"/>
        <v>1906952.8154480653</v>
      </c>
      <c r="P21" s="1">
        <f t="shared" si="6"/>
        <v>1820130.8934052354</v>
      </c>
      <c r="Q21" s="1">
        <f t="shared" si="6"/>
        <v>1658749.634589317</v>
      </c>
      <c r="R21" s="1">
        <f t="shared" si="6"/>
        <v>1444493.2190735722</v>
      </c>
      <c r="S21" s="1">
        <f t="shared" si="6"/>
        <v>1203692.50721936</v>
      </c>
      <c r="T21" s="1">
        <f t="shared" si="6"/>
        <v>962063.75058234576</v>
      </c>
      <c r="U21" s="1">
        <f t="shared" si="6"/>
        <v>740394.09018856345</v>
      </c>
      <c r="V21" s="1">
        <f t="shared" si="6"/>
        <v>552105.12306859565</v>
      </c>
      <c r="W21" s="1">
        <f t="shared" si="6"/>
        <v>402899.9263587168</v>
      </c>
      <c r="X21" s="1">
        <f t="shared" si="6"/>
        <v>292059.35688585968</v>
      </c>
      <c r="Y21" s="1">
        <f t="shared" si="6"/>
        <v>214610.7719739273</v>
      </c>
      <c r="AA21" s="16">
        <f t="shared" si="1"/>
        <v>22398125.949999999</v>
      </c>
      <c r="AB21" s="22"/>
      <c r="AC21" s="32" t="s">
        <v>26</v>
      </c>
      <c r="AD21" s="34"/>
    </row>
    <row r="22" spans="2:30" x14ac:dyDescent="0.25">
      <c r="B22" s="34"/>
      <c r="C22" s="31" t="s">
        <v>62</v>
      </c>
      <c r="D22" s="1">
        <f t="shared" ref="D22:Y22" si="7">D21 * $E$4</f>
        <v>12985.952663208618</v>
      </c>
      <c r="E22" s="1">
        <f t="shared" si="7"/>
        <v>17523.561413151579</v>
      </c>
      <c r="F22" s="1">
        <f t="shared" si="7"/>
        <v>24173.995581523006</v>
      </c>
      <c r="G22" s="1">
        <f t="shared" si="7"/>
        <v>33126.307384115738</v>
      </c>
      <c r="H22" s="1">
        <f t="shared" si="7"/>
        <v>44423.645411313802</v>
      </c>
      <c r="I22" s="1">
        <f t="shared" si="7"/>
        <v>57723.825034940746</v>
      </c>
      <c r="J22" s="1">
        <f t="shared" si="7"/>
        <v>72221.550433161596</v>
      </c>
      <c r="K22" s="1">
        <f t="shared" si="7"/>
        <v>86669.593144414335</v>
      </c>
      <c r="L22" s="1">
        <f t="shared" si="7"/>
        <v>99524.978075359017</v>
      </c>
      <c r="M22" s="1">
        <f t="shared" si="7"/>
        <v>109207.85360431412</v>
      </c>
      <c r="N22" s="1">
        <f t="shared" si="7"/>
        <v>114417.16892688391</v>
      </c>
      <c r="O22" s="1">
        <f t="shared" si="7"/>
        <v>114417.16892688391</v>
      </c>
      <c r="P22" s="1">
        <f t="shared" si="7"/>
        <v>109207.85360431412</v>
      </c>
      <c r="Q22" s="1">
        <f t="shared" si="7"/>
        <v>99524.978075359017</v>
      </c>
      <c r="R22" s="1">
        <f t="shared" si="7"/>
        <v>86669.593144414335</v>
      </c>
      <c r="S22" s="1">
        <f t="shared" si="7"/>
        <v>72221.550433161596</v>
      </c>
      <c r="T22" s="1">
        <f t="shared" si="7"/>
        <v>57723.825034940746</v>
      </c>
      <c r="U22" s="1">
        <f t="shared" si="7"/>
        <v>44423.645411313802</v>
      </c>
      <c r="V22" s="1">
        <f t="shared" si="7"/>
        <v>33126.307384115738</v>
      </c>
      <c r="W22" s="1">
        <f t="shared" si="7"/>
        <v>24173.995581523006</v>
      </c>
      <c r="X22" s="1">
        <f t="shared" si="7"/>
        <v>17523.561413151579</v>
      </c>
      <c r="Y22" s="1">
        <f t="shared" si="7"/>
        <v>12876.646318435638</v>
      </c>
      <c r="AA22" s="18">
        <f t="shared" si="1"/>
        <v>1343887.5570000003</v>
      </c>
      <c r="AB22" s="22"/>
      <c r="AC22" s="32" t="s">
        <v>62</v>
      </c>
      <c r="AD22" s="34"/>
    </row>
    <row r="23" spans="2:30" x14ac:dyDescent="0.25">
      <c r="B23" s="34"/>
      <c r="C23" s="31" t="s">
        <v>28</v>
      </c>
      <c r="D23" s="1">
        <f t="shared" ref="D23:Y23" si="8">(D21 + D22) * $E$11</f>
        <v>6882.5549115005679</v>
      </c>
      <c r="E23" s="1">
        <f t="shared" si="8"/>
        <v>9287.4875489703372</v>
      </c>
      <c r="F23" s="1">
        <f t="shared" si="8"/>
        <v>12812.217658207193</v>
      </c>
      <c r="G23" s="1">
        <f t="shared" si="8"/>
        <v>17556.942913581341</v>
      </c>
      <c r="H23" s="1">
        <f t="shared" si="8"/>
        <v>23544.532067996319</v>
      </c>
      <c r="I23" s="1">
        <f t="shared" si="8"/>
        <v>30593.627268518594</v>
      </c>
      <c r="J23" s="1">
        <f t="shared" si="8"/>
        <v>38277.421729575646</v>
      </c>
      <c r="K23" s="1">
        <f t="shared" si="8"/>
        <v>45934.884366539591</v>
      </c>
      <c r="L23" s="1">
        <f t="shared" si="8"/>
        <v>52748.238379940281</v>
      </c>
      <c r="M23" s="1">
        <f t="shared" si="8"/>
        <v>57880.162410286481</v>
      </c>
      <c r="N23" s="1">
        <f t="shared" si="8"/>
        <v>60641.099531248474</v>
      </c>
      <c r="O23" s="1">
        <f t="shared" si="8"/>
        <v>60641.099531248474</v>
      </c>
      <c r="P23" s="1">
        <f t="shared" si="8"/>
        <v>57880.162410286481</v>
      </c>
      <c r="Q23" s="1">
        <f t="shared" si="8"/>
        <v>52748.238379940281</v>
      </c>
      <c r="R23" s="1">
        <f t="shared" si="8"/>
        <v>45934.884366539591</v>
      </c>
      <c r="S23" s="1">
        <f t="shared" si="8"/>
        <v>38277.421729575646</v>
      </c>
      <c r="T23" s="1">
        <f t="shared" si="8"/>
        <v>30593.627268518594</v>
      </c>
      <c r="U23" s="1">
        <f t="shared" si="8"/>
        <v>23544.532067996319</v>
      </c>
      <c r="V23" s="1">
        <f t="shared" si="8"/>
        <v>17556.942913581341</v>
      </c>
      <c r="W23" s="1">
        <f t="shared" si="8"/>
        <v>12812.217658207193</v>
      </c>
      <c r="X23" s="1">
        <f t="shared" si="8"/>
        <v>9287.4875489703372</v>
      </c>
      <c r="Y23" s="1">
        <f t="shared" si="8"/>
        <v>6824.622548770888</v>
      </c>
      <c r="AA23" s="18">
        <f t="shared" si="1"/>
        <v>712260.40520999988</v>
      </c>
      <c r="AB23" s="22"/>
      <c r="AC23" s="32" t="s">
        <v>28</v>
      </c>
      <c r="AD23" s="34"/>
    </row>
    <row r="24" spans="2:30" x14ac:dyDescent="0.25">
      <c r="B24" s="34"/>
      <c r="C24" s="31" t="s">
        <v>57</v>
      </c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3">
        <f xml:space="preserve"> (SUM($D$21:Y21) + SUM($D$22:Y22)) * 0.03 * 0.5</f>
        <v>356130.202605</v>
      </c>
      <c r="AA24" s="18">
        <f t="shared" si="1"/>
        <v>356130.202605</v>
      </c>
      <c r="AB24" s="23">
        <f>(SUM($D$21:Y21) + SUM($D$22:Y22)) * 0.03 * 0.5</f>
        <v>356130.202605</v>
      </c>
      <c r="AC24" s="32" t="s">
        <v>57</v>
      </c>
      <c r="AD24" s="34"/>
    </row>
    <row r="25" spans="2:30" x14ac:dyDescent="0.25">
      <c r="B25" s="34"/>
      <c r="C25" s="31" t="s">
        <v>29</v>
      </c>
      <c r="D25" s="1">
        <v>0</v>
      </c>
      <c r="E25" s="1">
        <f>(D21 + D22) - D23 + D24</f>
        <v>222535.94213851835</v>
      </c>
      <c r="F25" s="1">
        <f t="shared" ref="F25:Y25" si="9">(E21 + E22) - E23</f>
        <v>300295.43075004092</v>
      </c>
      <c r="G25" s="1">
        <f t="shared" si="9"/>
        <v>414261.70428203262</v>
      </c>
      <c r="H25" s="1">
        <f t="shared" si="9"/>
        <v>567674.48753913003</v>
      </c>
      <c r="I25" s="1">
        <f t="shared" si="9"/>
        <v>761273.20353188098</v>
      </c>
      <c r="J25" s="1">
        <f t="shared" si="9"/>
        <v>989193.94834876794</v>
      </c>
      <c r="K25" s="1">
        <f t="shared" si="9"/>
        <v>1237636.635922946</v>
      </c>
      <c r="L25" s="1">
        <f t="shared" si="9"/>
        <v>1485227.9278514469</v>
      </c>
      <c r="M25" s="1">
        <f t="shared" si="9"/>
        <v>1705526.3742847356</v>
      </c>
      <c r="N25" s="1">
        <f t="shared" si="9"/>
        <v>1871458.584599263</v>
      </c>
      <c r="O25" s="1">
        <f t="shared" si="9"/>
        <v>1960728.8848437008</v>
      </c>
      <c r="P25" s="1">
        <f t="shared" si="9"/>
        <v>1960728.8848437008</v>
      </c>
      <c r="Q25" s="1">
        <f t="shared" si="9"/>
        <v>1871458.584599263</v>
      </c>
      <c r="R25" s="1">
        <f t="shared" si="9"/>
        <v>1705526.3742847356</v>
      </c>
      <c r="S25" s="1">
        <f t="shared" si="9"/>
        <v>1485227.9278514469</v>
      </c>
      <c r="T25" s="1">
        <f t="shared" si="9"/>
        <v>1237636.635922946</v>
      </c>
      <c r="U25" s="1">
        <f t="shared" si="9"/>
        <v>989193.94834876794</v>
      </c>
      <c r="V25" s="1">
        <f t="shared" si="9"/>
        <v>761273.20353188098</v>
      </c>
      <c r="W25" s="1">
        <f t="shared" si="9"/>
        <v>567674.48753913003</v>
      </c>
      <c r="X25" s="1">
        <f t="shared" si="9"/>
        <v>414261.70428203262</v>
      </c>
      <c r="Y25" s="1">
        <f t="shared" si="9"/>
        <v>300295.43075004092</v>
      </c>
      <c r="Z25" s="1">
        <f>(Y21 + Y22) - Y23+Y24</f>
        <v>576792.99834859208</v>
      </c>
      <c r="AA25" s="18">
        <f ca="1">SUM(E25:AB25)</f>
        <v>23385883.304395009</v>
      </c>
      <c r="AB25" s="22"/>
      <c r="AC25" s="32" t="s">
        <v>29</v>
      </c>
      <c r="AD25" s="34"/>
    </row>
    <row r="26" spans="2:30" x14ac:dyDescent="0.25">
      <c r="B26" s="34"/>
      <c r="C26" s="33" t="s">
        <v>30</v>
      </c>
      <c r="E26" s="1">
        <f>E25 - D21</f>
        <v>6103.3977517080493</v>
      </c>
      <c r="F26" s="1">
        <f t="shared" ref="F26:Z26" si="10">E26 + (F25 - E21)</f>
        <v>14339.471615889284</v>
      </c>
      <c r="G26" s="1">
        <f t="shared" si="10"/>
        <v>25701.249539205106</v>
      </c>
      <c r="H26" s="1">
        <f t="shared" si="10"/>
        <v>41270.614009739482</v>
      </c>
      <c r="I26" s="1">
        <f t="shared" si="10"/>
        <v>62149.727353057009</v>
      </c>
      <c r="J26" s="1">
        <f t="shared" si="10"/>
        <v>89279.925119479187</v>
      </c>
      <c r="K26" s="1">
        <f t="shared" si="10"/>
        <v>123224.05382306525</v>
      </c>
      <c r="L26" s="1">
        <f t="shared" si="10"/>
        <v>163958.76260093995</v>
      </c>
      <c r="M26" s="1">
        <f t="shared" si="10"/>
        <v>210735.50229635858</v>
      </c>
      <c r="N26" s="1">
        <f t="shared" si="10"/>
        <v>262063.19349038624</v>
      </c>
      <c r="O26" s="1">
        <f t="shared" si="10"/>
        <v>315839.26288602175</v>
      </c>
      <c r="P26" s="1">
        <f t="shared" si="10"/>
        <v>369615.33228165726</v>
      </c>
      <c r="Q26" s="1">
        <f t="shared" si="10"/>
        <v>420943.02347568492</v>
      </c>
      <c r="R26" s="1">
        <f t="shared" si="10"/>
        <v>467719.76317110355</v>
      </c>
      <c r="S26" s="1">
        <f t="shared" si="10"/>
        <v>508454.47194897826</v>
      </c>
      <c r="T26" s="1">
        <f t="shared" si="10"/>
        <v>542398.60065256432</v>
      </c>
      <c r="U26" s="1">
        <f t="shared" si="10"/>
        <v>569528.79841898649</v>
      </c>
      <c r="V26" s="1">
        <f t="shared" si="10"/>
        <v>590407.91176230402</v>
      </c>
      <c r="W26" s="1">
        <f t="shared" si="10"/>
        <v>605977.2762328384</v>
      </c>
      <c r="X26" s="1">
        <f t="shared" si="10"/>
        <v>617339.05415615416</v>
      </c>
      <c r="Y26" s="1">
        <f t="shared" si="10"/>
        <v>625575.12802033545</v>
      </c>
      <c r="Z26" s="1">
        <f t="shared" si="10"/>
        <v>987757.35439500026</v>
      </c>
      <c r="AA26" s="18">
        <f ca="1">SUM(E26:AB26)</f>
        <v>7620381.8750014585</v>
      </c>
      <c r="AB26" s="22"/>
      <c r="AC26" s="32" t="s">
        <v>30</v>
      </c>
      <c r="AD26" s="34"/>
    </row>
    <row r="27" spans="2:30" s="34" customFormat="1" x14ac:dyDescent="0.25"/>
    <row r="28" spans="2:30" x14ac:dyDescent="0.25">
      <c r="B28" s="34"/>
      <c r="C28" t="s">
        <v>56</v>
      </c>
      <c r="D28" s="12">
        <f>_xlfn.NORM.DIST(D13, 11.5, 4.5164, FALSE) / 0.9853352</f>
        <v>6.0097715062475444E-3</v>
      </c>
      <c r="E28" s="12">
        <f t="shared" ref="E28:Y28" si="11">_xlfn.NORM.DIST(E13, 11.5, 4.5164, FALSE)</f>
        <v>9.6683786636567754E-3</v>
      </c>
      <c r="F28" s="12">
        <f t="shared" si="11"/>
        <v>1.5030525862572598E-2</v>
      </c>
      <c r="G28" s="12">
        <f t="shared" si="11"/>
        <v>2.2248643122403905E-2</v>
      </c>
      <c r="H28" s="12">
        <f t="shared" si="11"/>
        <v>3.1357520516581576E-2</v>
      </c>
      <c r="I28" s="12">
        <f t="shared" si="11"/>
        <v>4.2081259615163305E-2</v>
      </c>
      <c r="J28" s="12">
        <f t="shared" si="11"/>
        <v>5.3770562248130746E-2</v>
      </c>
      <c r="K28" s="12">
        <f t="shared" si="11"/>
        <v>6.5419806461750496E-2</v>
      </c>
      <c r="L28" s="12">
        <f t="shared" si="11"/>
        <v>7.5784914145438767E-2</v>
      </c>
      <c r="M28" s="12">
        <f t="shared" si="11"/>
        <v>8.3592074186502927E-2</v>
      </c>
      <c r="N28" s="12">
        <f t="shared" si="11"/>
        <v>8.7792268468258702E-2</v>
      </c>
      <c r="O28" s="12">
        <f t="shared" si="11"/>
        <v>8.7792268468258702E-2</v>
      </c>
      <c r="P28" s="12">
        <f t="shared" si="11"/>
        <v>8.3592074186502927E-2</v>
      </c>
      <c r="Q28" s="12">
        <f t="shared" si="11"/>
        <v>7.5784914145438767E-2</v>
      </c>
      <c r="R28" s="12">
        <f t="shared" si="11"/>
        <v>6.5419806461750496E-2</v>
      </c>
      <c r="S28" s="12">
        <f t="shared" si="11"/>
        <v>5.3770562248130746E-2</v>
      </c>
      <c r="T28" s="12">
        <f t="shared" si="11"/>
        <v>4.2081259615163305E-2</v>
      </c>
      <c r="U28" s="12">
        <f t="shared" si="11"/>
        <v>3.1357520516581576E-2</v>
      </c>
      <c r="V28" s="12">
        <f t="shared" si="11"/>
        <v>2.2248643122403905E-2</v>
      </c>
      <c r="W28" s="12">
        <f t="shared" si="11"/>
        <v>1.5030525862572598E-2</v>
      </c>
      <c r="X28" s="12">
        <f t="shared" si="11"/>
        <v>9.6683786636567754E-3</v>
      </c>
      <c r="Y28" s="12">
        <f t="shared" si="11"/>
        <v>5.9216394090627249E-3</v>
      </c>
      <c r="Z28" s="11">
        <f>SUM(D28:Y28)</f>
        <v>0.98542331749622991</v>
      </c>
      <c r="AA28" s="34"/>
      <c r="AB28" s="34"/>
      <c r="AC28" s="34"/>
      <c r="AD28" s="34"/>
    </row>
    <row r="29" spans="2:30" s="34" customFormat="1" x14ac:dyDescent="0.25"/>
    <row r="30" spans="2:30" s="34" customFormat="1" x14ac:dyDescent="0.25"/>
    <row r="31" spans="2:30" s="34" customFormat="1" x14ac:dyDescent="0.25"/>
    <row r="32" spans="2:30" s="34" customFormat="1" x14ac:dyDescent="0.25">
      <c r="AB32" s="36"/>
    </row>
    <row r="33" s="34" customFormat="1" x14ac:dyDescent="0.25"/>
    <row r="34" s="34" customFormat="1" x14ac:dyDescent="0.25"/>
    <row r="35" s="34" customFormat="1" x14ac:dyDescent="0.25"/>
    <row r="36" s="34" customFormat="1" x14ac:dyDescent="0.25"/>
    <row r="37" customFormat="1" x14ac:dyDescent="0.25"/>
    <row r="38" customFormat="1" x14ac:dyDescent="0.25"/>
    <row r="50" spans="3:12" x14ac:dyDescent="0.25">
      <c r="C50" s="10"/>
      <c r="D50" s="10"/>
      <c r="E50" s="10"/>
      <c r="F50" s="10"/>
      <c r="G50" s="10"/>
      <c r="H50" s="10"/>
      <c r="I50" s="10"/>
      <c r="J50" s="10"/>
      <c r="K50" s="10"/>
      <c r="L50" s="10"/>
    </row>
    <row r="51" spans="3:12" x14ac:dyDescent="0.25">
      <c r="C51" s="10"/>
      <c r="D51" s="10"/>
      <c r="E51" s="10"/>
      <c r="F51" s="10"/>
      <c r="G51" s="10"/>
      <c r="H51" s="10"/>
      <c r="I51" s="10"/>
      <c r="J51" s="10"/>
      <c r="K51" s="10"/>
      <c r="L51" s="10"/>
    </row>
    <row r="52" spans="3:12" x14ac:dyDescent="0.25">
      <c r="C52" s="10"/>
      <c r="D52" s="10"/>
      <c r="E52" s="10"/>
      <c r="F52" s="10"/>
      <c r="G52" s="10"/>
      <c r="H52" s="10"/>
      <c r="I52" s="10"/>
      <c r="J52" s="10"/>
      <c r="K52" s="10"/>
      <c r="L52" s="10"/>
    </row>
    <row r="53" spans="3:12" x14ac:dyDescent="0.25">
      <c r="C53" s="10"/>
      <c r="D53" s="10"/>
      <c r="E53" s="10"/>
      <c r="F53" s="10"/>
      <c r="G53" s="10"/>
      <c r="H53" s="10"/>
      <c r="I53" s="10"/>
      <c r="J53" s="10"/>
      <c r="K53" s="10"/>
      <c r="L53" s="10"/>
    </row>
    <row r="54" spans="3:12" x14ac:dyDescent="0.25">
      <c r="C54" s="10"/>
      <c r="D54" s="10"/>
      <c r="E54" s="10"/>
      <c r="F54" s="10"/>
      <c r="G54" s="10"/>
      <c r="H54" s="10"/>
      <c r="I54" s="10"/>
      <c r="J54" s="10"/>
      <c r="K54" s="10"/>
      <c r="L54" s="10"/>
    </row>
    <row r="55" spans="3:12" x14ac:dyDescent="0.25">
      <c r="C55" s="10"/>
      <c r="D55" s="10"/>
      <c r="E55" s="10"/>
      <c r="F55" s="10"/>
      <c r="G55" s="10"/>
      <c r="H55" s="10"/>
      <c r="I55" s="10"/>
      <c r="J55" s="10"/>
      <c r="K55" s="10"/>
      <c r="L55" s="10"/>
    </row>
    <row r="56" spans="3:12" x14ac:dyDescent="0.25">
      <c r="C56" s="10"/>
      <c r="D56" s="10"/>
      <c r="E56" s="10"/>
      <c r="F56" s="10"/>
      <c r="G56" s="10"/>
      <c r="H56" s="10"/>
      <c r="I56" s="10"/>
      <c r="J56" s="10"/>
      <c r="K56" s="10"/>
      <c r="L56" s="10"/>
    </row>
    <row r="57" spans="3:12" x14ac:dyDescent="0.25">
      <c r="C57" s="10"/>
      <c r="D57" s="10"/>
      <c r="E57" s="10"/>
      <c r="F57" s="10"/>
      <c r="G57" s="10"/>
      <c r="H57" s="10"/>
      <c r="I57" s="10"/>
      <c r="J57" s="10"/>
      <c r="K57" s="10"/>
      <c r="L57" s="10"/>
    </row>
    <row r="58" spans="3:12" x14ac:dyDescent="0.25">
      <c r="C58" s="10"/>
      <c r="D58" s="10"/>
      <c r="E58" s="10"/>
      <c r="F58" s="10"/>
      <c r="G58" s="10"/>
      <c r="H58" s="10"/>
      <c r="I58" s="10"/>
      <c r="J58" s="10"/>
      <c r="K58" s="10"/>
      <c r="L58" s="10"/>
    </row>
    <row r="59" spans="3:12" x14ac:dyDescent="0.25">
      <c r="C59" s="10"/>
      <c r="D59" s="10"/>
      <c r="E59" s="10"/>
      <c r="F59" s="10"/>
      <c r="G59" s="10"/>
      <c r="H59" s="10"/>
      <c r="I59" s="10"/>
      <c r="J59" s="10"/>
      <c r="K59" s="10"/>
      <c r="L59" s="10"/>
    </row>
    <row r="60" spans="3:12" x14ac:dyDescent="0.25">
      <c r="C60" s="10"/>
      <c r="D60" s="10"/>
      <c r="E60" s="10"/>
      <c r="F60" s="10"/>
      <c r="G60" s="10"/>
      <c r="H60" s="10"/>
      <c r="I60" s="10"/>
      <c r="J60" s="10"/>
      <c r="K60" s="10"/>
      <c r="L60" s="10"/>
    </row>
    <row r="61" spans="3:12" x14ac:dyDescent="0.25">
      <c r="C61" s="10"/>
      <c r="D61" s="10"/>
      <c r="E61" s="10"/>
      <c r="F61" s="10"/>
      <c r="G61" s="10"/>
      <c r="H61" s="10"/>
      <c r="I61" s="10"/>
      <c r="J61" s="10"/>
      <c r="K61" s="10"/>
      <c r="L61" s="10"/>
    </row>
    <row r="62" spans="3:12" x14ac:dyDescent="0.25">
      <c r="C62" s="10"/>
      <c r="D62" s="10"/>
      <c r="E62" s="10"/>
      <c r="F62" s="10"/>
      <c r="G62" s="10"/>
      <c r="H62" s="10"/>
      <c r="I62" s="10"/>
      <c r="J62" s="10"/>
      <c r="K62" s="10"/>
      <c r="L62" s="10"/>
    </row>
    <row r="63" spans="3:12" x14ac:dyDescent="0.25">
      <c r="C63" s="10"/>
      <c r="D63" s="10"/>
      <c r="E63" s="10"/>
      <c r="F63" s="10"/>
      <c r="G63" s="10"/>
      <c r="H63" s="10"/>
      <c r="I63" s="10"/>
      <c r="J63" s="10"/>
      <c r="K63" s="10"/>
      <c r="L63" s="10"/>
    </row>
    <row r="64" spans="3:12" x14ac:dyDescent="0.25">
      <c r="C64" s="10"/>
      <c r="D64" s="10"/>
      <c r="E64" s="10"/>
      <c r="F64" s="10"/>
      <c r="G64" s="10"/>
      <c r="H64" s="10"/>
      <c r="I64" s="10"/>
      <c r="J64" s="10"/>
      <c r="K64" s="10"/>
      <c r="L64" s="10"/>
    </row>
    <row r="65" spans="3:25" x14ac:dyDescent="0.25">
      <c r="C65" s="10"/>
      <c r="D65" s="10"/>
      <c r="E65" s="10"/>
      <c r="F65" s="10"/>
      <c r="G65" s="10"/>
      <c r="H65" s="10"/>
      <c r="I65" s="10"/>
      <c r="J65" s="10"/>
      <c r="K65" s="10"/>
      <c r="L65" s="10"/>
    </row>
    <row r="66" spans="3:25" x14ac:dyDescent="0.25">
      <c r="C66" s="10"/>
      <c r="D66" s="10"/>
      <c r="E66" s="10"/>
      <c r="F66" s="10"/>
      <c r="G66" s="10"/>
      <c r="H66" s="10"/>
      <c r="I66" s="10"/>
      <c r="J66" s="10"/>
      <c r="K66" s="10"/>
      <c r="L66" s="10"/>
    </row>
    <row r="67" spans="3:25" x14ac:dyDescent="0.25">
      <c r="C67" s="10"/>
      <c r="D67" s="10"/>
      <c r="E67" s="10"/>
      <c r="F67" s="10"/>
      <c r="G67" s="10"/>
      <c r="H67" s="10"/>
      <c r="I67" s="10"/>
      <c r="J67" s="10"/>
      <c r="K67" s="10"/>
      <c r="L67" s="10"/>
    </row>
    <row r="68" spans="3:25" x14ac:dyDescent="0.25">
      <c r="C68" s="10"/>
      <c r="D68" s="10"/>
      <c r="E68" s="10"/>
      <c r="F68" s="10"/>
      <c r="G68" s="10"/>
      <c r="H68" s="10"/>
      <c r="I68" s="10"/>
      <c r="J68" s="10"/>
      <c r="K68" s="10"/>
      <c r="L68" s="10"/>
    </row>
    <row r="69" spans="3:25" x14ac:dyDescent="0.25">
      <c r="C69" s="10"/>
      <c r="D69" s="10"/>
      <c r="E69" s="10"/>
      <c r="F69" s="10"/>
      <c r="G69" s="10"/>
      <c r="H69" s="10"/>
      <c r="I69" s="10"/>
      <c r="J69" s="10"/>
      <c r="K69" s="10"/>
      <c r="L69" s="10"/>
    </row>
    <row r="70" spans="3:25" x14ac:dyDescent="0.25">
      <c r="C70" s="10"/>
      <c r="D70" s="10"/>
      <c r="E70" s="10"/>
      <c r="F70" s="10"/>
      <c r="G70" s="10"/>
      <c r="H70" s="10"/>
      <c r="I70" s="10"/>
      <c r="J70" s="10"/>
      <c r="K70" s="10"/>
      <c r="L70" s="10"/>
    </row>
    <row r="71" spans="3:25" x14ac:dyDescent="0.25">
      <c r="C71" s="10"/>
      <c r="D71" s="10"/>
      <c r="E71" s="10"/>
      <c r="F71" s="10"/>
      <c r="G71" s="10"/>
      <c r="H71" s="10"/>
      <c r="I71" s="10"/>
      <c r="J71" s="10"/>
      <c r="K71" s="10"/>
      <c r="L71" s="10"/>
    </row>
    <row r="72" spans="3:25" x14ac:dyDescent="0.25">
      <c r="J72" s="10"/>
      <c r="K72" s="10"/>
      <c r="L72" s="10"/>
    </row>
    <row r="76" spans="3:25" x14ac:dyDescent="0.25">
      <c r="C76" t="s">
        <v>31</v>
      </c>
      <c r="D76" t="s">
        <v>32</v>
      </c>
      <c r="E76" t="s">
        <v>33</v>
      </c>
      <c r="F76" t="s">
        <v>34</v>
      </c>
      <c r="G76" t="s">
        <v>35</v>
      </c>
      <c r="H76" t="s">
        <v>36</v>
      </c>
      <c r="I76" t="s">
        <v>37</v>
      </c>
      <c r="J76" t="s">
        <v>38</v>
      </c>
      <c r="K76" t="s">
        <v>39</v>
      </c>
      <c r="L76" t="s">
        <v>40</v>
      </c>
      <c r="M76" t="s">
        <v>41</v>
      </c>
      <c r="N76" t="s">
        <v>42</v>
      </c>
      <c r="O76" t="s">
        <v>43</v>
      </c>
      <c r="P76" t="s">
        <v>44</v>
      </c>
      <c r="Q76" t="s">
        <v>45</v>
      </c>
      <c r="R76" t="s">
        <v>46</v>
      </c>
      <c r="S76" t="s">
        <v>47</v>
      </c>
      <c r="T76" t="s">
        <v>48</v>
      </c>
      <c r="U76" t="s">
        <v>49</v>
      </c>
      <c r="V76" t="s">
        <v>50</v>
      </c>
      <c r="W76" t="s">
        <v>51</v>
      </c>
      <c r="X76" t="s">
        <v>52</v>
      </c>
      <c r="Y76" t="s">
        <v>53</v>
      </c>
    </row>
    <row r="77" spans="3:25" x14ac:dyDescent="0.25">
      <c r="C77" s="10">
        <v>96410.18</v>
      </c>
      <c r="D77" s="10">
        <v>277179.25</v>
      </c>
      <c r="E77" s="10">
        <v>439871.42</v>
      </c>
      <c r="F77" s="10">
        <v>584486.68999999994</v>
      </c>
      <c r="G77" s="10">
        <v>711025.04</v>
      </c>
      <c r="H77" s="10">
        <v>819486.49</v>
      </c>
      <c r="I77" s="10">
        <v>909871.03</v>
      </c>
      <c r="J77" s="10">
        <v>982178.66</v>
      </c>
      <c r="K77" s="10">
        <v>1036409.38</v>
      </c>
      <c r="L77" s="10">
        <v>1072563.2</v>
      </c>
      <c r="M77" s="10">
        <v>1090640.1100000001</v>
      </c>
      <c r="N77" s="10">
        <v>1090640.1100000001</v>
      </c>
      <c r="O77" s="10">
        <v>1072563.2</v>
      </c>
      <c r="P77" s="10">
        <v>1036409.38</v>
      </c>
      <c r="Q77" s="10">
        <v>982178.66</v>
      </c>
      <c r="R77" s="10">
        <v>909871.03</v>
      </c>
      <c r="S77" s="10">
        <v>819486.49</v>
      </c>
      <c r="T77" s="10">
        <v>711025.04</v>
      </c>
      <c r="U77" s="10">
        <v>584486.68999999994</v>
      </c>
      <c r="V77" s="10">
        <v>439871.42</v>
      </c>
      <c r="W77" s="10">
        <v>277179.25</v>
      </c>
      <c r="X77" s="10">
        <v>96410.18</v>
      </c>
      <c r="Y77">
        <v>0</v>
      </c>
    </row>
    <row r="78" spans="3:25" x14ac:dyDescent="0.25">
      <c r="C78" s="10">
        <v>15323.47</v>
      </c>
      <c r="D78" s="10">
        <v>44054.98</v>
      </c>
      <c r="E78" s="10">
        <v>69913.34</v>
      </c>
      <c r="F78" s="10">
        <v>92898.55</v>
      </c>
      <c r="G78" s="10">
        <v>113010.6</v>
      </c>
      <c r="H78" s="10">
        <v>130249.51</v>
      </c>
      <c r="I78" s="10">
        <v>144615.26</v>
      </c>
      <c r="J78" s="10">
        <v>156107.87</v>
      </c>
      <c r="K78" s="10">
        <v>164727.32</v>
      </c>
      <c r="L78" s="10">
        <v>170473.62</v>
      </c>
      <c r="M78" s="10">
        <v>173346.77</v>
      </c>
      <c r="N78" s="10">
        <v>173346.77</v>
      </c>
      <c r="O78" s="10">
        <v>170473.62</v>
      </c>
      <c r="P78" s="10">
        <v>164727.32</v>
      </c>
      <c r="Q78" s="10">
        <v>156107.87</v>
      </c>
      <c r="R78" s="10">
        <v>144615.26</v>
      </c>
      <c r="S78" s="10">
        <v>130249.51</v>
      </c>
      <c r="T78" s="10">
        <v>113010.6</v>
      </c>
      <c r="U78" s="10">
        <v>92898.55</v>
      </c>
      <c r="V78" s="10">
        <v>69913.34</v>
      </c>
      <c r="W78" s="10">
        <v>44054.98</v>
      </c>
      <c r="X78" s="10">
        <v>15323.47</v>
      </c>
      <c r="Y78">
        <v>0</v>
      </c>
    </row>
    <row r="79" spans="3:25" x14ac:dyDescent="0.25">
      <c r="C79" s="10">
        <v>12769.56</v>
      </c>
      <c r="D79" s="10">
        <v>36712.480000000003</v>
      </c>
      <c r="E79" s="10">
        <v>58261.120000000003</v>
      </c>
      <c r="F79" s="10">
        <v>77415.460000000006</v>
      </c>
      <c r="G79" s="10">
        <v>94175.5</v>
      </c>
      <c r="H79" s="10">
        <v>108541.26</v>
      </c>
      <c r="I79" s="10">
        <v>120512.72</v>
      </c>
      <c r="J79" s="10">
        <v>130089.89</v>
      </c>
      <c r="K79" s="10">
        <v>137272.76999999999</v>
      </c>
      <c r="L79" s="10">
        <v>142061.35</v>
      </c>
      <c r="M79" s="10">
        <v>144455.64000000001</v>
      </c>
      <c r="N79" s="10">
        <v>144455.64000000001</v>
      </c>
      <c r="O79" s="10">
        <v>142061.35</v>
      </c>
      <c r="P79" s="10">
        <v>137272.76999999999</v>
      </c>
      <c r="Q79" s="10">
        <v>130089.89</v>
      </c>
      <c r="R79" s="10">
        <v>120512.72</v>
      </c>
      <c r="S79" s="10">
        <v>108541.26</v>
      </c>
      <c r="T79" s="10">
        <v>94175.5</v>
      </c>
      <c r="U79" s="10">
        <v>77415.460000000006</v>
      </c>
      <c r="V79" s="10">
        <v>58261.120000000003</v>
      </c>
      <c r="W79" s="10">
        <v>36712.480000000003</v>
      </c>
      <c r="X79" s="10">
        <v>12769.56</v>
      </c>
      <c r="Y79">
        <v>0</v>
      </c>
    </row>
    <row r="80" spans="3:25" x14ac:dyDescent="0.25">
      <c r="C80" s="10">
        <v>9577.17</v>
      </c>
      <c r="D80" s="10">
        <v>27534.36</v>
      </c>
      <c r="E80" s="10">
        <v>43695.839999999997</v>
      </c>
      <c r="F80" s="10">
        <v>58061.59</v>
      </c>
      <c r="G80" s="10">
        <v>70631.63</v>
      </c>
      <c r="H80" s="10">
        <v>81405.94</v>
      </c>
      <c r="I80" s="10">
        <v>90384.54</v>
      </c>
      <c r="J80" s="10">
        <v>97567.42</v>
      </c>
      <c r="K80" s="10">
        <v>102954.57</v>
      </c>
      <c r="L80" s="10">
        <v>106546.01</v>
      </c>
      <c r="M80" s="10">
        <v>108341.73</v>
      </c>
      <c r="N80" s="10">
        <v>108341.73</v>
      </c>
      <c r="O80" s="10">
        <v>106546.01</v>
      </c>
      <c r="P80" s="10">
        <v>102954.57</v>
      </c>
      <c r="Q80" s="10">
        <v>97567.42</v>
      </c>
      <c r="R80" s="10">
        <v>90384.54</v>
      </c>
      <c r="S80" s="10">
        <v>81405.94</v>
      </c>
      <c r="T80" s="10">
        <v>70631.63</v>
      </c>
      <c r="U80" s="10">
        <v>58061.59</v>
      </c>
      <c r="V80" s="10">
        <v>43695.839999999997</v>
      </c>
      <c r="W80" s="10">
        <v>27534.36</v>
      </c>
      <c r="X80" s="10">
        <v>9577.17</v>
      </c>
      <c r="Y80">
        <v>0</v>
      </c>
    </row>
    <row r="81" spans="2:26" x14ac:dyDescent="0.25">
      <c r="C81" s="10">
        <v>3830.87</v>
      </c>
      <c r="D81" s="10">
        <v>11013.75</v>
      </c>
      <c r="E81" s="10">
        <v>17478.330000000002</v>
      </c>
      <c r="F81" s="10">
        <v>23224.639999999999</v>
      </c>
      <c r="G81" s="10">
        <v>28252.65</v>
      </c>
      <c r="H81" s="10">
        <v>32562.38</v>
      </c>
      <c r="I81" s="10">
        <v>36153.82</v>
      </c>
      <c r="J81" s="10">
        <v>39026.97</v>
      </c>
      <c r="K81" s="10">
        <v>41181.83</v>
      </c>
      <c r="L81" s="10">
        <v>42618.41</v>
      </c>
      <c r="M81" s="10">
        <v>43336.69</v>
      </c>
      <c r="N81" s="10">
        <v>43336.69</v>
      </c>
      <c r="O81" s="10">
        <v>42618.41</v>
      </c>
      <c r="P81" s="10">
        <v>41181.83</v>
      </c>
      <c r="Q81" s="10">
        <v>39026.97</v>
      </c>
      <c r="R81" s="10">
        <v>36153.82</v>
      </c>
      <c r="S81" s="10">
        <v>32562.38</v>
      </c>
      <c r="T81" s="10">
        <v>28252.65</v>
      </c>
      <c r="U81" s="10">
        <v>23224.639999999999</v>
      </c>
      <c r="V81" s="10">
        <v>17478.330000000002</v>
      </c>
      <c r="W81" s="10">
        <v>11013.75</v>
      </c>
      <c r="X81" s="10">
        <v>3830.87</v>
      </c>
      <c r="Y81">
        <v>0</v>
      </c>
    </row>
    <row r="82" spans="2:26" x14ac:dyDescent="0.25">
      <c r="C82" s="10">
        <v>137911.24</v>
      </c>
      <c r="D82" s="10">
        <v>396494.83</v>
      </c>
      <c r="E82" s="10">
        <v>629220.05000000005</v>
      </c>
      <c r="F82" s="10">
        <v>836086.92</v>
      </c>
      <c r="G82" s="10">
        <v>1017095.42</v>
      </c>
      <c r="H82" s="10">
        <v>1172245.57</v>
      </c>
      <c r="I82" s="10">
        <v>1301537.3600000001</v>
      </c>
      <c r="J82" s="10">
        <v>1404970.8</v>
      </c>
      <c r="K82" s="10">
        <v>1482545.87</v>
      </c>
      <c r="L82" s="10">
        <v>1534262.59</v>
      </c>
      <c r="M82" s="10">
        <v>1560120.95</v>
      </c>
      <c r="N82" s="10">
        <v>1560120.95</v>
      </c>
      <c r="O82" s="10">
        <v>1534262.59</v>
      </c>
      <c r="P82" s="10">
        <v>1482545.87</v>
      </c>
      <c r="Q82" s="10">
        <v>1404970.8</v>
      </c>
      <c r="R82" s="10">
        <v>1301537.3600000001</v>
      </c>
      <c r="S82" s="10">
        <v>1172245.57</v>
      </c>
      <c r="T82" s="10">
        <v>1017095.42</v>
      </c>
      <c r="U82" s="10">
        <v>836086.92</v>
      </c>
      <c r="V82" s="10">
        <v>629220.05000000005</v>
      </c>
      <c r="W82" s="10">
        <v>396494.83</v>
      </c>
      <c r="X82" s="10">
        <v>137911.24</v>
      </c>
      <c r="Y82">
        <v>0</v>
      </c>
    </row>
    <row r="83" spans="2:26" x14ac:dyDescent="0.25">
      <c r="C83" s="10">
        <v>14066.95</v>
      </c>
      <c r="D83" s="10">
        <v>40442.47</v>
      </c>
      <c r="E83" s="10">
        <v>64180.45</v>
      </c>
      <c r="F83" s="10">
        <v>85280.87</v>
      </c>
      <c r="G83" s="10">
        <v>103743.73</v>
      </c>
      <c r="H83" s="10">
        <v>119569.05</v>
      </c>
      <c r="I83" s="10">
        <v>132756.81</v>
      </c>
      <c r="J83" s="10">
        <v>143307.01999999999</v>
      </c>
      <c r="K83" s="10">
        <v>151219.68</v>
      </c>
      <c r="L83" s="10">
        <v>156494.78</v>
      </c>
      <c r="M83" s="10">
        <v>159132.34</v>
      </c>
      <c r="N83" s="10">
        <v>159132.34</v>
      </c>
      <c r="O83" s="10">
        <v>156494.78</v>
      </c>
      <c r="P83" s="10">
        <v>151219.68</v>
      </c>
      <c r="Q83" s="10">
        <v>143307.01999999999</v>
      </c>
      <c r="R83" s="10">
        <v>132756.81</v>
      </c>
      <c r="S83" s="10">
        <v>119569.05</v>
      </c>
      <c r="T83" s="10">
        <v>103743.73</v>
      </c>
      <c r="U83" s="10">
        <v>85280.87</v>
      </c>
      <c r="V83" s="10">
        <v>64180.45</v>
      </c>
      <c r="W83" s="10">
        <v>40442.47</v>
      </c>
      <c r="X83" s="10">
        <v>14066.95</v>
      </c>
      <c r="Y83">
        <v>0</v>
      </c>
    </row>
    <row r="84" spans="2:26" x14ac:dyDescent="0.25">
      <c r="C84" s="10">
        <v>4559.3500000000004</v>
      </c>
      <c r="D84" s="10">
        <v>13108.12</v>
      </c>
      <c r="E84" s="10">
        <v>20802.009999999998</v>
      </c>
      <c r="F84" s="10">
        <v>27641.03</v>
      </c>
      <c r="G84" s="10">
        <v>33625.17</v>
      </c>
      <c r="H84" s="10">
        <v>38754.44</v>
      </c>
      <c r="I84" s="10">
        <v>43028.83</v>
      </c>
      <c r="J84" s="10">
        <v>46448.33</v>
      </c>
      <c r="K84" s="10">
        <v>49012.97</v>
      </c>
      <c r="L84" s="10">
        <v>50722.720000000001</v>
      </c>
      <c r="M84" s="10">
        <v>51577.599999999999</v>
      </c>
      <c r="N84" s="10">
        <v>51577.599999999999</v>
      </c>
      <c r="O84" s="10">
        <v>50722.720000000001</v>
      </c>
      <c r="P84" s="10">
        <v>49012.97</v>
      </c>
      <c r="Q84" s="10">
        <v>46448.33</v>
      </c>
      <c r="R84" s="10">
        <v>43028.83</v>
      </c>
      <c r="S84" s="10">
        <v>38754.44</v>
      </c>
      <c r="T84" s="10">
        <v>33625.17</v>
      </c>
      <c r="U84" s="10">
        <v>27641.03</v>
      </c>
      <c r="V84" s="10">
        <v>20802.009999999998</v>
      </c>
      <c r="W84" s="10">
        <v>13108.12</v>
      </c>
      <c r="X84" s="10">
        <v>4559.3500000000004</v>
      </c>
      <c r="Y84" s="10">
        <v>-379280.57</v>
      </c>
      <c r="Z84" s="10"/>
    </row>
    <row r="85" spans="2:26" x14ac:dyDescent="0.25">
      <c r="C85" s="10">
        <v>147418.84</v>
      </c>
      <c r="D85" s="10">
        <v>423829.18</v>
      </c>
      <c r="E85" s="10">
        <v>672598.48</v>
      </c>
      <c r="F85" s="10">
        <v>893726.75</v>
      </c>
      <c r="G85" s="10">
        <v>1087213.98</v>
      </c>
      <c r="H85" s="10">
        <v>1253060.18</v>
      </c>
      <c r="I85" s="10">
        <v>1391265.35</v>
      </c>
      <c r="J85" s="10">
        <v>1501829.48</v>
      </c>
      <c r="K85" s="10">
        <v>1584752.58</v>
      </c>
      <c r="L85" s="10">
        <v>1640034.65</v>
      </c>
      <c r="M85" s="10">
        <v>1667675.68</v>
      </c>
      <c r="N85" s="10">
        <v>1667675.68</v>
      </c>
      <c r="O85" s="10">
        <v>1640034.65</v>
      </c>
      <c r="P85" s="10">
        <v>1584752.58</v>
      </c>
      <c r="Q85" s="10">
        <v>1501829.48</v>
      </c>
      <c r="R85" s="10">
        <v>1391265.35</v>
      </c>
      <c r="S85" s="10">
        <v>1253060.18</v>
      </c>
      <c r="T85" s="10">
        <v>1087213.98</v>
      </c>
      <c r="U85" s="10">
        <v>893726.75</v>
      </c>
      <c r="V85" s="10">
        <v>672598.48</v>
      </c>
      <c r="W85" s="10">
        <v>423829.18</v>
      </c>
      <c r="X85" s="10">
        <v>526699.42000000004</v>
      </c>
      <c r="Y85" s="10">
        <v>379280.57</v>
      </c>
      <c r="Z85" s="10"/>
    </row>
    <row r="86" spans="2:26" x14ac:dyDescent="0.25">
      <c r="C86" s="10">
        <v>9507.6</v>
      </c>
      <c r="D86" s="10">
        <v>36841.949999999997</v>
      </c>
      <c r="E86" s="10">
        <v>80220.38</v>
      </c>
      <c r="F86" s="10">
        <v>137860.22</v>
      </c>
      <c r="G86" s="10">
        <v>207978.78</v>
      </c>
      <c r="H86" s="10">
        <v>288793.38</v>
      </c>
      <c r="I86" s="10">
        <v>378521.37</v>
      </c>
      <c r="J86" s="10">
        <v>475380.06</v>
      </c>
      <c r="K86" s="10">
        <v>577586.77</v>
      </c>
      <c r="L86" s="10">
        <v>683358.83</v>
      </c>
      <c r="M86" s="10">
        <v>790913.57</v>
      </c>
      <c r="N86" s="10">
        <v>898468.31</v>
      </c>
      <c r="O86" s="10">
        <v>1004240.37</v>
      </c>
      <c r="P86" s="10">
        <v>1106447.08</v>
      </c>
      <c r="Q86" s="10">
        <v>1203305.77</v>
      </c>
      <c r="R86" s="10">
        <v>1293033.76</v>
      </c>
      <c r="S86" s="10">
        <v>1373848.37</v>
      </c>
      <c r="T86" s="10">
        <v>1443966.92</v>
      </c>
      <c r="U86" s="10">
        <v>1501606.76</v>
      </c>
      <c r="V86" s="10">
        <v>1544985.19</v>
      </c>
      <c r="W86" s="10">
        <v>1572319.54</v>
      </c>
      <c r="X86" s="10">
        <v>1961107.71</v>
      </c>
      <c r="Y86" s="10">
        <v>2340388.29</v>
      </c>
      <c r="Z86" s="10"/>
    </row>
    <row r="88" spans="2:26" x14ac:dyDescent="0.25">
      <c r="B88" t="s">
        <v>4</v>
      </c>
    </row>
    <row r="89" spans="2:26" x14ac:dyDescent="0.25">
      <c r="B89" t="s">
        <v>21</v>
      </c>
    </row>
    <row r="90" spans="2:26" x14ac:dyDescent="0.25">
      <c r="B90" t="s">
        <v>22</v>
      </c>
    </row>
    <row r="91" spans="2:26" x14ac:dyDescent="0.25">
      <c r="B91" t="s">
        <v>23</v>
      </c>
    </row>
    <row r="92" spans="2:26" x14ac:dyDescent="0.25">
      <c r="B92" t="s">
        <v>24</v>
      </c>
    </row>
    <row r="93" spans="2:26" x14ac:dyDescent="0.25">
      <c r="B93" t="s">
        <v>25</v>
      </c>
    </row>
    <row r="94" spans="2:26" x14ac:dyDescent="0.25">
      <c r="B94" t="s">
        <v>26</v>
      </c>
    </row>
    <row r="95" spans="2:26" x14ac:dyDescent="0.25">
      <c r="B95" t="s">
        <v>27</v>
      </c>
    </row>
    <row r="96" spans="2:26" x14ac:dyDescent="0.25">
      <c r="B96" t="s">
        <v>28</v>
      </c>
    </row>
    <row r="97" spans="2:2" x14ac:dyDescent="0.25">
      <c r="B97" t="s">
        <v>29</v>
      </c>
    </row>
    <row r="98" spans="2:2" x14ac:dyDescent="0.25">
      <c r="B98" t="s">
        <v>30</v>
      </c>
    </row>
  </sheetData>
  <mergeCells count="4">
    <mergeCell ref="D14:J14"/>
    <mergeCell ref="K14:N14"/>
    <mergeCell ref="O14:Y14"/>
    <mergeCell ref="C2:F2"/>
  </mergeCells>
  <phoneticPr fontId="8" type="noConversion"/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910A8-27C6-4BF1-A7C1-F041326904BD}">
  <dimension ref="A1:S15"/>
  <sheetViews>
    <sheetView zoomScaleNormal="100" workbookViewId="0">
      <selection activeCell="G8" sqref="G8"/>
    </sheetView>
  </sheetViews>
  <sheetFormatPr defaultRowHeight="15" x14ac:dyDescent="0.25"/>
  <cols>
    <col min="3" max="3" width="19.5703125" bestFit="1" customWidth="1"/>
    <col min="4" max="7" width="12.140625" bestFit="1" customWidth="1"/>
    <col min="8" max="9" width="13.85546875" bestFit="1" customWidth="1"/>
    <col min="10" max="10" width="13.85546875" customWidth="1"/>
    <col min="11" max="11" width="13.85546875" bestFit="1" customWidth="1"/>
    <col min="12" max="15" width="12.140625" bestFit="1" customWidth="1"/>
    <col min="16" max="16" width="13.85546875" bestFit="1" customWidth="1"/>
    <col min="17" max="17" width="12.140625" bestFit="1" customWidth="1"/>
    <col min="18" max="19" width="13.85546875" bestFit="1" customWidth="1"/>
  </cols>
  <sheetData>
    <row r="1" spans="1:19" x14ac:dyDescent="0.25">
      <c r="B1" t="s">
        <v>2</v>
      </c>
    </row>
    <row r="2" spans="1:19" x14ac:dyDescent="0.25">
      <c r="A2" t="s">
        <v>0</v>
      </c>
      <c r="B2">
        <v>10</v>
      </c>
      <c r="C2">
        <v>0.1</v>
      </c>
    </row>
    <row r="3" spans="1:19" x14ac:dyDescent="0.25">
      <c r="A3" t="s">
        <v>1</v>
      </c>
      <c r="B3">
        <v>5</v>
      </c>
      <c r="C3">
        <v>0.05</v>
      </c>
    </row>
    <row r="6" spans="1:19" x14ac:dyDescent="0.25">
      <c r="C6" t="s">
        <v>4</v>
      </c>
      <c r="D6">
        <v>1</v>
      </c>
      <c r="E6">
        <v>2</v>
      </c>
      <c r="F6">
        <v>3</v>
      </c>
      <c r="G6">
        <v>4</v>
      </c>
      <c r="H6">
        <v>5</v>
      </c>
      <c r="I6">
        <v>6</v>
      </c>
      <c r="J6">
        <v>7</v>
      </c>
      <c r="K6">
        <v>8</v>
      </c>
      <c r="L6">
        <v>9</v>
      </c>
      <c r="M6">
        <v>10</v>
      </c>
      <c r="N6">
        <v>11</v>
      </c>
      <c r="O6">
        <v>12</v>
      </c>
      <c r="P6">
        <v>13</v>
      </c>
    </row>
    <row r="7" spans="1:19" x14ac:dyDescent="0.25">
      <c r="C7" t="s">
        <v>3</v>
      </c>
      <c r="D7" s="2">
        <v>250000</v>
      </c>
      <c r="E7" s="2">
        <v>650000</v>
      </c>
      <c r="F7" s="2">
        <v>700000</v>
      </c>
      <c r="G7" s="2">
        <v>850000</v>
      </c>
      <c r="H7" s="2">
        <v>1300000</v>
      </c>
      <c r="I7" s="2">
        <v>2700000</v>
      </c>
      <c r="J7" s="2">
        <v>1500000</v>
      </c>
      <c r="K7" s="2">
        <v>900000</v>
      </c>
      <c r="L7" s="2">
        <v>500000</v>
      </c>
      <c r="M7" s="2">
        <v>300000</v>
      </c>
      <c r="N7" s="2">
        <v>250000</v>
      </c>
      <c r="O7" s="2">
        <v>100000</v>
      </c>
      <c r="P7" s="2">
        <v>0</v>
      </c>
    </row>
    <row r="8" spans="1:19" x14ac:dyDescent="0.25">
      <c r="C8" t="s">
        <v>0</v>
      </c>
      <c r="D8">
        <v>0</v>
      </c>
      <c r="E8" s="1">
        <f>D7*$C$2+D7</f>
        <v>275000</v>
      </c>
      <c r="F8" s="1">
        <f t="shared" ref="F8:O8" si="0">E7*$C$2+E7</f>
        <v>715000</v>
      </c>
      <c r="G8" s="1">
        <f t="shared" si="0"/>
        <v>770000</v>
      </c>
      <c r="H8" s="1">
        <f t="shared" si="0"/>
        <v>935000</v>
      </c>
      <c r="I8" s="1">
        <f t="shared" si="0"/>
        <v>1430000</v>
      </c>
      <c r="J8" s="1">
        <f t="shared" si="0"/>
        <v>2970000</v>
      </c>
      <c r="K8" s="1">
        <f t="shared" si="0"/>
        <v>1650000</v>
      </c>
      <c r="L8" s="1">
        <f t="shared" si="0"/>
        <v>990000</v>
      </c>
      <c r="M8" s="1">
        <f t="shared" si="0"/>
        <v>550000</v>
      </c>
      <c r="N8" s="1">
        <f t="shared" si="0"/>
        <v>330000</v>
      </c>
      <c r="O8" s="1">
        <f t="shared" si="0"/>
        <v>275000</v>
      </c>
      <c r="P8" s="1">
        <f>O7*$C$2+O7</f>
        <v>110000</v>
      </c>
    </row>
    <row r="9" spans="1:19" x14ac:dyDescent="0.25">
      <c r="C9" t="s">
        <v>8</v>
      </c>
      <c r="E9" s="1">
        <f>E8-E10</f>
        <v>261250</v>
      </c>
      <c r="F9" s="1">
        <f t="shared" ref="F9:P9" si="1">F8-F10</f>
        <v>679250</v>
      </c>
      <c r="G9" s="1">
        <f t="shared" si="1"/>
        <v>731500</v>
      </c>
      <c r="H9" s="1">
        <f t="shared" si="1"/>
        <v>888250</v>
      </c>
      <c r="I9" s="1">
        <f t="shared" si="1"/>
        <v>1358500</v>
      </c>
      <c r="J9" s="1">
        <f t="shared" si="1"/>
        <v>2821500</v>
      </c>
      <c r="K9" s="1">
        <f t="shared" si="1"/>
        <v>1567500</v>
      </c>
      <c r="L9" s="1">
        <f t="shared" si="1"/>
        <v>940500</v>
      </c>
      <c r="M9" s="1">
        <f t="shared" si="1"/>
        <v>522500</v>
      </c>
      <c r="N9" s="1">
        <f t="shared" si="1"/>
        <v>313500</v>
      </c>
      <c r="O9" s="1">
        <f t="shared" si="1"/>
        <v>261250</v>
      </c>
      <c r="P9" s="1">
        <f t="shared" si="1"/>
        <v>104500</v>
      </c>
    </row>
    <row r="10" spans="1:19" x14ac:dyDescent="0.25">
      <c r="C10" t="s">
        <v>1</v>
      </c>
      <c r="E10" s="1">
        <f t="shared" ref="E10:P10" si="2">E8*$C$3</f>
        <v>13750</v>
      </c>
      <c r="F10" s="1">
        <f t="shared" si="2"/>
        <v>35750</v>
      </c>
      <c r="G10" s="1">
        <f t="shared" si="2"/>
        <v>38500</v>
      </c>
      <c r="H10" s="1">
        <f t="shared" si="2"/>
        <v>46750</v>
      </c>
      <c r="I10" s="1">
        <f t="shared" si="2"/>
        <v>71500</v>
      </c>
      <c r="J10" s="1">
        <f t="shared" si="2"/>
        <v>148500</v>
      </c>
      <c r="K10" s="1">
        <f t="shared" si="2"/>
        <v>82500</v>
      </c>
      <c r="L10" s="1">
        <f t="shared" si="2"/>
        <v>49500</v>
      </c>
      <c r="M10" s="1">
        <f t="shared" si="2"/>
        <v>27500</v>
      </c>
      <c r="N10" s="1">
        <f t="shared" si="2"/>
        <v>16500</v>
      </c>
      <c r="O10" s="1">
        <f t="shared" si="2"/>
        <v>13750</v>
      </c>
      <c r="P10" s="1">
        <f t="shared" si="2"/>
        <v>5500</v>
      </c>
      <c r="Q10" s="1">
        <f>SUM(E10:P10)</f>
        <v>550000</v>
      </c>
    </row>
    <row r="12" spans="1:19" x14ac:dyDescent="0.25">
      <c r="C12" t="s">
        <v>5</v>
      </c>
      <c r="D12" s="1">
        <f t="shared" ref="D12:O12" si="3">D7</f>
        <v>250000</v>
      </c>
      <c r="E12" s="1">
        <f t="shared" si="3"/>
        <v>650000</v>
      </c>
      <c r="F12" s="1">
        <f t="shared" si="3"/>
        <v>700000</v>
      </c>
      <c r="G12" s="1">
        <f t="shared" si="3"/>
        <v>850000</v>
      </c>
      <c r="H12" s="1">
        <f t="shared" si="3"/>
        <v>1300000</v>
      </c>
      <c r="I12" s="1">
        <f t="shared" si="3"/>
        <v>2700000</v>
      </c>
      <c r="J12" s="1">
        <f t="shared" si="3"/>
        <v>1500000</v>
      </c>
      <c r="K12" s="1">
        <f t="shared" si="3"/>
        <v>900000</v>
      </c>
      <c r="L12" s="1">
        <f t="shared" si="3"/>
        <v>500000</v>
      </c>
      <c r="M12" s="1">
        <f t="shared" si="3"/>
        <v>300000</v>
      </c>
      <c r="N12" s="1">
        <f t="shared" si="3"/>
        <v>250000</v>
      </c>
      <c r="O12" s="1">
        <f t="shared" si="3"/>
        <v>100000</v>
      </c>
      <c r="P12" s="1">
        <v>0</v>
      </c>
    </row>
    <row r="13" spans="1:19" x14ac:dyDescent="0.25">
      <c r="C13" t="s">
        <v>6</v>
      </c>
      <c r="D13">
        <v>0</v>
      </c>
      <c r="E13" s="1">
        <f>E9</f>
        <v>261250</v>
      </c>
      <c r="F13" s="1">
        <f t="shared" ref="F13:O13" si="4">F9</f>
        <v>679250</v>
      </c>
      <c r="G13" s="1">
        <f t="shared" si="4"/>
        <v>731500</v>
      </c>
      <c r="H13" s="1">
        <f t="shared" si="4"/>
        <v>888250</v>
      </c>
      <c r="I13" s="1">
        <f t="shared" si="4"/>
        <v>1358500</v>
      </c>
      <c r="J13" s="1">
        <f t="shared" si="4"/>
        <v>2821500</v>
      </c>
      <c r="K13" s="1">
        <f t="shared" si="4"/>
        <v>1567500</v>
      </c>
      <c r="L13" s="1">
        <f t="shared" si="4"/>
        <v>940500</v>
      </c>
      <c r="M13" s="1">
        <f t="shared" si="4"/>
        <v>522500</v>
      </c>
      <c r="N13" s="1">
        <f t="shared" si="4"/>
        <v>313500</v>
      </c>
      <c r="O13" s="1">
        <f t="shared" si="4"/>
        <v>261250</v>
      </c>
      <c r="P13" s="2">
        <f>P9+(Q10*0.5)</f>
        <v>379500</v>
      </c>
      <c r="R13" s="1">
        <f>Q10*0.5</f>
        <v>275000</v>
      </c>
    </row>
    <row r="14" spans="1:19" x14ac:dyDescent="0.25">
      <c r="C14" t="s">
        <v>7</v>
      </c>
      <c r="D14" s="1">
        <f>D13-D12</f>
        <v>-250000</v>
      </c>
      <c r="E14" s="1">
        <f>D14-E12+E13</f>
        <v>-638750</v>
      </c>
      <c r="F14" s="1">
        <f t="shared" ref="F14:N14" si="5">E14-F12+F13</f>
        <v>-659500</v>
      </c>
      <c r="G14" s="1">
        <f t="shared" si="5"/>
        <v>-778000</v>
      </c>
      <c r="H14" s="1">
        <f t="shared" si="5"/>
        <v>-1189750</v>
      </c>
      <c r="I14" s="1">
        <f t="shared" si="5"/>
        <v>-2531250</v>
      </c>
      <c r="J14" s="1">
        <f t="shared" si="5"/>
        <v>-1209750</v>
      </c>
      <c r="K14" s="1">
        <f t="shared" si="5"/>
        <v>-542250</v>
      </c>
      <c r="L14" s="1">
        <f t="shared" si="5"/>
        <v>-101750</v>
      </c>
      <c r="M14" s="1">
        <f t="shared" si="5"/>
        <v>120750</v>
      </c>
      <c r="N14" s="1">
        <f t="shared" si="5"/>
        <v>184250</v>
      </c>
      <c r="O14" s="1">
        <f>N14-O12+O13</f>
        <v>345500</v>
      </c>
      <c r="P14" s="1">
        <f>O14-P12+P13</f>
        <v>725000</v>
      </c>
      <c r="R14" s="1">
        <f>P14+R13</f>
        <v>1000000</v>
      </c>
      <c r="S14" s="1"/>
    </row>
    <row r="15" spans="1:19" x14ac:dyDescent="0.25">
      <c r="S15" s="1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TEST</vt:lpstr>
      <vt:lpstr>Assessment</vt:lpstr>
      <vt:lpstr>Cash Flow</vt:lpstr>
      <vt:lpstr>Example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Dale Monks</dc:creator>
  <cp:lastModifiedBy>Dale M</cp:lastModifiedBy>
  <dcterms:created xsi:type="dcterms:W3CDTF">2024-12-06T10:21:10Z</dcterms:created>
  <dcterms:modified xsi:type="dcterms:W3CDTF">2026-05-09T13:39:28Z</dcterms:modified>
</cp:coreProperties>
</file>