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ger\Documents\WORK\HND 2  Vehicle  Dynamics\BSc 2 Assignments and Tests\2016-17\BSc 2 Veh Dyn\BSc Vehicle Dynamics Exam Feb 2017\"/>
    </mc:Choice>
  </mc:AlternateContent>
  <bookViews>
    <workbookView xWindow="0" yWindow="110" windowWidth="15360" windowHeight="8040" firstSheet="1" activeTab="3"/>
  </bookViews>
  <sheets>
    <sheet name="Exam Q1" sheetId="9" r:id="rId1"/>
    <sheet name=" Q2 Live calc" sheetId="7" r:id="rId2"/>
    <sheet name="Load Splits for Q2" sheetId="8" r:id="rId3"/>
    <sheet name=" Q3 Live calc " sheetId="10" r:id="rId4"/>
    <sheet name="Load Splits for Q3" sheetId="11" r:id="rId5"/>
    <sheet name=" Q4 Indep calc  " sheetId="12" r:id="rId6"/>
    <sheet name="Load Splits for Q4" sheetId="13" r:id="rId7"/>
    <sheet name=" Q4 Indep calc Recal  " sheetId="14" r:id="rId8"/>
    <sheet name="Sheet1" sheetId="17" r:id="rId9"/>
    <sheet name="Load Splits for Q4 Recal" sheetId="16" r:id="rId10"/>
    <sheet name="Check for student results " sheetId="18" r:id="rId11"/>
  </sheets>
  <definedNames>
    <definedName name="Left_front__corner_sprung_mass__kg" comment="FL" localSheetId="1">#REF!</definedName>
    <definedName name="Left_front__corner_sprung_mass__kg" comment="FL" localSheetId="3">#REF!</definedName>
    <definedName name="Left_front__corner_sprung_mass__kg" comment="FL" localSheetId="5">#REF!</definedName>
    <definedName name="Left_front__corner_sprung_mass__kg" comment="FL" localSheetId="7">#REF!</definedName>
    <definedName name="Left_front__corner_sprung_mass__kg" comment="FL" localSheetId="10">#REF!</definedName>
    <definedName name="Left_front__corner_sprung_mass__kg" comment="FL" localSheetId="0">#REF!</definedName>
    <definedName name="Left_front__corner_sprung_mass__kg" comment="FL" localSheetId="4">#REF!</definedName>
    <definedName name="Left_front__corner_sprung_mass__kg" comment="FL" localSheetId="6">#REF!</definedName>
    <definedName name="Left_front__corner_sprung_mass__kg" comment="FL" localSheetId="9">#REF!</definedName>
    <definedName name="Left_front__corner_sprung_mass__kg" comment="FL">#REF!</definedName>
  </definedNames>
  <calcPr calcId="171027"/>
</workbook>
</file>

<file path=xl/calcChain.xml><?xml version="1.0" encoding="utf-8"?>
<calcChain xmlns="http://schemas.openxmlformats.org/spreadsheetml/2006/main">
  <c r="J14" i="18" l="1"/>
  <c r="F11" i="18"/>
  <c r="H7" i="18"/>
  <c r="J11" i="18" l="1"/>
  <c r="F14" i="18"/>
  <c r="F16" i="18"/>
  <c r="E13" i="18"/>
  <c r="H14" i="18"/>
  <c r="H11" i="18" s="1"/>
  <c r="J8" i="18" s="1"/>
  <c r="E9" i="18"/>
  <c r="D19" i="14"/>
  <c r="H16" i="18" l="1"/>
  <c r="J12" i="18"/>
  <c r="F15" i="18"/>
  <c r="F12" i="18"/>
  <c r="E12" i="18"/>
  <c r="K11" i="18"/>
  <c r="H5" i="18"/>
  <c r="F8" i="18"/>
  <c r="E11" i="18"/>
  <c r="G4" i="14"/>
  <c r="G5" i="14"/>
  <c r="G8" i="14" s="1"/>
  <c r="G6" i="14"/>
  <c r="G7" i="14"/>
  <c r="G11" i="14"/>
  <c r="G12" i="14"/>
  <c r="G13" i="14"/>
  <c r="G14" i="14"/>
  <c r="G18" i="14" s="1"/>
  <c r="J14" i="14"/>
  <c r="G15" i="14"/>
  <c r="G19" i="14" s="1"/>
  <c r="J15" i="14"/>
  <c r="G16" i="14"/>
  <c r="G20" i="14" s="1"/>
  <c r="G17" i="14"/>
  <c r="G22" i="14"/>
  <c r="J25" i="14"/>
  <c r="G9" i="14" l="1"/>
  <c r="J13" i="14" s="1"/>
  <c r="J4" i="14"/>
  <c r="J5" i="14"/>
  <c r="J6" i="14" s="1"/>
  <c r="J12" i="14"/>
  <c r="J24" i="14"/>
  <c r="G10" i="14" l="1"/>
  <c r="D27" i="14" s="1"/>
  <c r="G21" i="14"/>
  <c r="G23" i="14" s="1"/>
  <c r="G24" i="14" s="1"/>
  <c r="G25" i="14" l="1"/>
  <c r="J7" i="14" s="1"/>
  <c r="J8" i="14" s="1"/>
  <c r="J9" i="14" s="1"/>
  <c r="J16" i="14" s="1"/>
  <c r="J10" i="14" l="1"/>
  <c r="J17" i="14" s="1"/>
  <c r="J22" i="14" s="1"/>
  <c r="K8" i="14"/>
  <c r="J20" i="14"/>
  <c r="J19" i="14"/>
  <c r="J18" i="14" l="1"/>
  <c r="J21" i="14"/>
  <c r="J23" i="14" s="1"/>
  <c r="G22" i="12" l="1"/>
  <c r="G16" i="12"/>
  <c r="G20" i="12" s="1"/>
  <c r="J15" i="12"/>
  <c r="G15" i="12"/>
  <c r="G19" i="12" s="1"/>
  <c r="J14" i="12"/>
  <c r="G14" i="12"/>
  <c r="G18" i="12" s="1"/>
  <c r="G13" i="12"/>
  <c r="G17" i="12" s="1"/>
  <c r="J4" i="12" s="1"/>
  <c r="G12" i="12"/>
  <c r="G11" i="12"/>
  <c r="G7" i="12"/>
  <c r="G6" i="12"/>
  <c r="G9" i="12" s="1"/>
  <c r="G5" i="12"/>
  <c r="G4" i="12"/>
  <c r="J5" i="12" l="1"/>
  <c r="J6" i="12" s="1"/>
  <c r="J24" i="12"/>
  <c r="G8" i="12"/>
  <c r="J12" i="12" s="1"/>
  <c r="G10" i="12"/>
  <c r="D27" i="12" s="1"/>
  <c r="J13" i="12"/>
  <c r="J25" i="12"/>
  <c r="G22" i="10"/>
  <c r="G16" i="10"/>
  <c r="G20" i="10" s="1"/>
  <c r="J15" i="10"/>
  <c r="G15" i="10"/>
  <c r="G19" i="10" s="1"/>
  <c r="J14" i="10"/>
  <c r="G14" i="10"/>
  <c r="G18" i="10" s="1"/>
  <c r="G13" i="10"/>
  <c r="G17" i="10" s="1"/>
  <c r="G12" i="10"/>
  <c r="G11" i="10"/>
  <c r="G7" i="10"/>
  <c r="G6" i="10"/>
  <c r="G5" i="10"/>
  <c r="G4" i="10"/>
  <c r="G8" i="10" l="1"/>
  <c r="J12" i="10" s="1"/>
  <c r="J5" i="10"/>
  <c r="J4" i="10"/>
  <c r="J6" i="10" s="1"/>
  <c r="G21" i="12"/>
  <c r="G23" i="12" s="1"/>
  <c r="G24" i="12" s="1"/>
  <c r="G9" i="10"/>
  <c r="J13" i="10" s="1"/>
  <c r="J24" i="10"/>
  <c r="J25" i="10"/>
  <c r="G25" i="12" l="1"/>
  <c r="J7" i="12" s="1"/>
  <c r="J8" i="12" s="1"/>
  <c r="J10" i="12" s="1"/>
  <c r="G10" i="10"/>
  <c r="D27" i="10" s="1"/>
  <c r="J9" i="16" l="1"/>
  <c r="F9" i="16"/>
  <c r="J13" i="16"/>
  <c r="F13" i="16"/>
  <c r="J17" i="12"/>
  <c r="K8" i="12"/>
  <c r="J9" i="12"/>
  <c r="J16" i="12" s="1"/>
  <c r="G21" i="10"/>
  <c r="G23" i="10" s="1"/>
  <c r="G24" i="10" s="1"/>
  <c r="H14" i="16" l="1"/>
  <c r="F14" i="16"/>
  <c r="F16" i="16"/>
  <c r="E13" i="16"/>
  <c r="J11" i="16"/>
  <c r="J14" i="16"/>
  <c r="F11" i="16"/>
  <c r="E9" i="16"/>
  <c r="H7" i="16"/>
  <c r="G25" i="10"/>
  <c r="J7" i="10" s="1"/>
  <c r="J8" i="10" s="1"/>
  <c r="K8" i="10" s="1"/>
  <c r="J22" i="12"/>
  <c r="J13" i="13" s="1"/>
  <c r="J21" i="12"/>
  <c r="F13" i="13" s="1"/>
  <c r="J20" i="12"/>
  <c r="J9" i="13" s="1"/>
  <c r="J18" i="12"/>
  <c r="J19" i="12"/>
  <c r="F9" i="13" s="1"/>
  <c r="J14" i="13" l="1"/>
  <c r="E13" i="13"/>
  <c r="F16" i="13"/>
  <c r="F14" i="13"/>
  <c r="H14" i="13"/>
  <c r="E9" i="13"/>
  <c r="F11" i="13"/>
  <c r="H7" i="13"/>
  <c r="J11" i="13"/>
  <c r="H11" i="16"/>
  <c r="H16" i="16" s="1"/>
  <c r="E12" i="16"/>
  <c r="D32" i="14" s="1"/>
  <c r="J9" i="10"/>
  <c r="J16" i="10" s="1"/>
  <c r="J19" i="10" s="1"/>
  <c r="F9" i="11" s="1"/>
  <c r="J10" i="10"/>
  <c r="J17" i="10" s="1"/>
  <c r="J21" i="10" s="1"/>
  <c r="F13" i="11" s="1"/>
  <c r="J23" i="12"/>
  <c r="J22" i="10" l="1"/>
  <c r="J13" i="11" s="1"/>
  <c r="H14" i="11" s="1"/>
  <c r="E12" i="13"/>
  <c r="J20" i="10"/>
  <c r="J9" i="11" s="1"/>
  <c r="F16" i="11" s="1"/>
  <c r="H11" i="13"/>
  <c r="K11" i="13" s="1"/>
  <c r="H5" i="16"/>
  <c r="J12" i="16"/>
  <c r="F12" i="16"/>
  <c r="J8" i="16"/>
  <c r="F15" i="16"/>
  <c r="F8" i="16"/>
  <c r="E11" i="16"/>
  <c r="K11" i="16"/>
  <c r="F14" i="11"/>
  <c r="F11" i="11"/>
  <c r="J18" i="10"/>
  <c r="H5" i="13" l="1"/>
  <c r="J14" i="11"/>
  <c r="J11" i="11"/>
  <c r="E13" i="11"/>
  <c r="H16" i="13"/>
  <c r="J12" i="13"/>
  <c r="J8" i="13"/>
  <c r="F15" i="13"/>
  <c r="F12" i="13"/>
  <c r="F8" i="13"/>
  <c r="H7" i="11"/>
  <c r="H11" i="11" s="1"/>
  <c r="H5" i="11" s="1"/>
  <c r="E9" i="11"/>
  <c r="E11" i="13"/>
  <c r="J23" i="10"/>
  <c r="E12" i="11" l="1"/>
  <c r="D33" i="14" s="1"/>
  <c r="E11" i="11"/>
  <c r="J8" i="11"/>
  <c r="J12" i="11"/>
  <c r="F12" i="11"/>
  <c r="H16" i="11"/>
  <c r="K11" i="11"/>
  <c r="F15" i="11"/>
  <c r="F8" i="11"/>
  <c r="G12" i="7"/>
  <c r="G11" i="7"/>
  <c r="G22" i="9" l="1"/>
  <c r="G16" i="9"/>
  <c r="G20" i="9" s="1"/>
  <c r="J15" i="9"/>
  <c r="G15" i="9"/>
  <c r="G19" i="9" s="1"/>
  <c r="J14" i="9"/>
  <c r="G14" i="9"/>
  <c r="G18" i="9" s="1"/>
  <c r="G13" i="9"/>
  <c r="G17" i="9" s="1"/>
  <c r="G12" i="9"/>
  <c r="G11" i="9"/>
  <c r="G7" i="9"/>
  <c r="G6" i="9"/>
  <c r="G9" i="9" s="1"/>
  <c r="G5" i="9"/>
  <c r="G4" i="9"/>
  <c r="J24" i="9" l="1"/>
  <c r="G8" i="9"/>
  <c r="J12" i="9" s="1"/>
  <c r="J5" i="9"/>
  <c r="J4" i="9"/>
  <c r="J13" i="9"/>
  <c r="J27" i="9"/>
  <c r="G22" i="7"/>
  <c r="G16" i="7"/>
  <c r="G20" i="7" s="1"/>
  <c r="J15" i="7"/>
  <c r="G15" i="7"/>
  <c r="G19" i="7" s="1"/>
  <c r="J14" i="7"/>
  <c r="G14" i="7"/>
  <c r="G18" i="7" s="1"/>
  <c r="G13" i="7"/>
  <c r="G17" i="7" s="1"/>
  <c r="J25" i="7"/>
  <c r="G7" i="7"/>
  <c r="G6" i="7"/>
  <c r="G5" i="7"/>
  <c r="G4" i="7"/>
  <c r="G10" i="9" l="1"/>
  <c r="J5" i="7"/>
  <c r="J4" i="7"/>
  <c r="G8" i="7"/>
  <c r="J12" i="7" s="1"/>
  <c r="J6" i="9"/>
  <c r="G9" i="7"/>
  <c r="J13" i="7" s="1"/>
  <c r="J24" i="7"/>
  <c r="G21" i="9" l="1"/>
  <c r="G23" i="9" s="1"/>
  <c r="G24" i="9" s="1"/>
  <c r="D27" i="9"/>
  <c r="G25" i="9" s="1"/>
  <c r="J7" i="9" s="1"/>
  <c r="J8" i="9" s="1"/>
  <c r="J6" i="7"/>
  <c r="G10" i="7"/>
  <c r="D27" i="7" s="1"/>
  <c r="J10" i="9" l="1"/>
  <c r="J17" i="9" s="1"/>
  <c r="K8" i="9"/>
  <c r="J9" i="9"/>
  <c r="J16" i="9" s="1"/>
  <c r="G21" i="7"/>
  <c r="G23" i="7" s="1"/>
  <c r="G24" i="7" s="1"/>
  <c r="G25" i="7" s="1"/>
  <c r="J7" i="7" s="1"/>
  <c r="J8" i="7" s="1"/>
  <c r="J9" i="7" s="1"/>
  <c r="J16" i="7" s="1"/>
  <c r="J20" i="9" l="1"/>
  <c r="J18" i="9"/>
  <c r="J19" i="9"/>
  <c r="J22" i="9"/>
  <c r="J21" i="9"/>
  <c r="K8" i="7"/>
  <c r="J10" i="7"/>
  <c r="J17" i="7" s="1"/>
  <c r="J22" i="7" s="1"/>
  <c r="J13" i="8" s="1"/>
  <c r="J20" i="7"/>
  <c r="J9" i="8" s="1"/>
  <c r="J19" i="7"/>
  <c r="J18" i="7" l="1"/>
  <c r="J21" i="7"/>
  <c r="F13" i="8" s="1"/>
  <c r="H14" i="8" s="1"/>
  <c r="J23" i="9"/>
  <c r="F9" i="8"/>
  <c r="J11" i="8"/>
  <c r="J14" i="8"/>
  <c r="F16" i="8" l="1"/>
  <c r="E13" i="8"/>
  <c r="F14" i="8"/>
  <c r="J23" i="7"/>
  <c r="H7" i="8"/>
  <c r="F11" i="8"/>
  <c r="E9" i="8"/>
  <c r="E12" i="8" l="1"/>
  <c r="H11" i="8"/>
  <c r="H5" i="8" s="1"/>
  <c r="E11" i="8" l="1"/>
  <c r="J12" i="8"/>
  <c r="J8" i="8"/>
  <c r="F15" i="8"/>
  <c r="F12" i="8"/>
  <c r="K11" i="8"/>
  <c r="H16" i="8"/>
  <c r="F8" i="8"/>
</calcChain>
</file>

<file path=xl/sharedStrings.xml><?xml version="1.0" encoding="utf-8"?>
<sst xmlns="http://schemas.openxmlformats.org/spreadsheetml/2006/main" count="805" uniqueCount="185">
  <si>
    <t>Ms rr</t>
  </si>
  <si>
    <t>M rr</t>
  </si>
  <si>
    <t>Front Right corner sprung mass [kg]</t>
  </si>
  <si>
    <t>Total front sprung mass [kg]</t>
  </si>
  <si>
    <t>Total rear sprung mass  [kg]</t>
  </si>
  <si>
    <t>Mus rr</t>
  </si>
  <si>
    <t>Ms r</t>
  </si>
  <si>
    <t>Ms f</t>
  </si>
  <si>
    <t xml:space="preserve">Front Track </t>
  </si>
  <si>
    <t xml:space="preserve">Rear track </t>
  </si>
  <si>
    <t>Tf</t>
  </si>
  <si>
    <t>Tr</t>
  </si>
  <si>
    <t>Ts</t>
  </si>
  <si>
    <t xml:space="preserve">Rear Spring Track </t>
  </si>
  <si>
    <t xml:space="preserve">Wheel base  </t>
  </si>
  <si>
    <t xml:space="preserve">L </t>
  </si>
  <si>
    <t>WTsf</t>
  </si>
  <si>
    <t>Measured Suspension  Data</t>
  </si>
  <si>
    <t xml:space="preserve">Calculated Suspension Data </t>
  </si>
  <si>
    <t>WTsr</t>
  </si>
  <si>
    <t xml:space="preserve">Results </t>
  </si>
  <si>
    <t xml:space="preserve">hf </t>
  </si>
  <si>
    <t xml:space="preserve">hr </t>
  </si>
  <si>
    <t>Height of Front roll centre above ground  from Win Geo 3</t>
  </si>
  <si>
    <t xml:space="preserve">Height of Rear roll centre above ground  from Win Geo 3 </t>
  </si>
  <si>
    <t>b</t>
  </si>
  <si>
    <t>hr -hf</t>
  </si>
  <si>
    <t>z</t>
  </si>
  <si>
    <t>z+hf</t>
  </si>
  <si>
    <t>Fz rr</t>
  </si>
  <si>
    <t>Kϕr</t>
  </si>
  <si>
    <t>Kϕt</t>
  </si>
  <si>
    <t>Depth  of triangle at CG [m]</t>
  </si>
  <si>
    <t>Height of roll axis at CG [m]</t>
  </si>
  <si>
    <t>Height of CG above roll axis [m]</t>
  </si>
  <si>
    <t>Rear -Front RC Height [m]</t>
  </si>
  <si>
    <t>Mot</t>
  </si>
  <si>
    <t>Overturning moment [Nm]</t>
  </si>
  <si>
    <t>Total Roll Stiffness [Nm/rad]</t>
  </si>
  <si>
    <t>Rear Roll Stiffness [Nm/rad]</t>
  </si>
  <si>
    <t>Front weight transfer due to spung mass [N]</t>
  </si>
  <si>
    <t>Rear  weight transfer due to spung mass [N]</t>
  </si>
  <si>
    <t>Left front  vertical force [N]</t>
  </si>
  <si>
    <t>Front Rightvertical force  [N]</t>
  </si>
  <si>
    <t>Rear Left vertical force [N]</t>
  </si>
  <si>
    <t>Rear Right  vertical force [N]</t>
  </si>
  <si>
    <t>MR rr</t>
  </si>
  <si>
    <t>WTsrcf</t>
  </si>
  <si>
    <t>Wtusf</t>
  </si>
  <si>
    <t>Wtusr</t>
  </si>
  <si>
    <t>WTsrcr</t>
  </si>
  <si>
    <t xml:space="preserve">From WinGeo3 </t>
  </si>
  <si>
    <t>From WinGeo3</t>
  </si>
  <si>
    <t xml:space="preserve">Hs </t>
  </si>
  <si>
    <t xml:space="preserve">Height of CG of sprung mass  above ground </t>
  </si>
  <si>
    <t xml:space="preserve">Height of CG of total mass above ground </t>
  </si>
  <si>
    <t>Kϕf</t>
  </si>
  <si>
    <t xml:space="preserve">WT </t>
  </si>
  <si>
    <t xml:space="preserve">Total WT calculated for 'solid' car </t>
  </si>
  <si>
    <t xml:space="preserve">Htot </t>
  </si>
  <si>
    <t>Hsra</t>
  </si>
  <si>
    <t>Front Left   corner sprung mass [kg]</t>
  </si>
  <si>
    <t>Rear Right corner sprung  mass [kg]</t>
  </si>
  <si>
    <t>Rear Left   corner sprung mass [kg]</t>
  </si>
  <si>
    <t>Front Left Spring rate [N/mm]</t>
  </si>
  <si>
    <t>Front Right rspring rate [N/mm]</t>
  </si>
  <si>
    <t>Rear Left  Spring rate [N/mm]</t>
  </si>
  <si>
    <t>Rear Right  Spring Rate [N/mm]</t>
  </si>
  <si>
    <t>Front Left   wheel rate  [N/mm]</t>
  </si>
  <si>
    <t>Front Left total measured static corner mass [kg]</t>
  </si>
  <si>
    <t>Front Right  measured static corner mass [kg]</t>
  </si>
  <si>
    <t>Rear Left  total measured static corner mass [kg]</t>
  </si>
  <si>
    <t>Rear Right   total measured static corner mass [kg]</t>
  </si>
  <si>
    <t>Front Left  unsprung mass  [kg]</t>
  </si>
  <si>
    <t>Front Right total unsprung mass  [kg]</t>
  </si>
  <si>
    <t>Rear Left unsprung mass  [kg]</t>
  </si>
  <si>
    <t>Rear Right unsprung mass  [kg]</t>
  </si>
  <si>
    <t>MR fl</t>
  </si>
  <si>
    <t>MR fr</t>
  </si>
  <si>
    <t>MR rl</t>
  </si>
  <si>
    <t>M fl</t>
  </si>
  <si>
    <t>M fr</t>
  </si>
  <si>
    <t>M rl</t>
  </si>
  <si>
    <t>Mus fl</t>
  </si>
  <si>
    <t>Mus fr</t>
  </si>
  <si>
    <t>Mus rl</t>
  </si>
  <si>
    <t>Ms fl</t>
  </si>
  <si>
    <t>Ms fr</t>
  </si>
  <si>
    <t>Ms rl</t>
  </si>
  <si>
    <t>Ks rl</t>
  </si>
  <si>
    <t>Ks rr</t>
  </si>
  <si>
    <t>Kw fl</t>
  </si>
  <si>
    <t>Kw fr</t>
  </si>
  <si>
    <t>Front Right wheel rate  [N/mm]</t>
  </si>
  <si>
    <t>Effective rear  left spring rate [N/mm]</t>
  </si>
  <si>
    <t>Effective rear right spring rate [N/mm]</t>
  </si>
  <si>
    <t>Fz fl</t>
  </si>
  <si>
    <t xml:space="preserve">Ks fl  </t>
  </si>
  <si>
    <t xml:space="preserve">Ks fr </t>
  </si>
  <si>
    <t>Front Left Spring rate [lb/in]</t>
  </si>
  <si>
    <t>Front Right Spring rate [lb/in]</t>
  </si>
  <si>
    <t>Rear Left   Spring rate [lb/in]</t>
  </si>
  <si>
    <t>Rear Right  Spring rate [lb/in]</t>
  </si>
  <si>
    <t>Kes rl</t>
  </si>
  <si>
    <t>Kes rr</t>
  </si>
  <si>
    <t>Fz rl</t>
  </si>
  <si>
    <t>Ks fl</t>
  </si>
  <si>
    <t>Ks fr</t>
  </si>
  <si>
    <t>Fz fr</t>
  </si>
  <si>
    <t>Mtot</t>
  </si>
  <si>
    <t>distance of cg of sprung mass from front axle [m]</t>
  </si>
  <si>
    <t xml:space="preserve">Total  sprung mass </t>
  </si>
  <si>
    <t xml:space="preserve">Total Mass </t>
  </si>
  <si>
    <t>Mstot</t>
  </si>
  <si>
    <t>Front Roll Stiffness [Nm/rad]</t>
  </si>
  <si>
    <t>Mustot</t>
  </si>
  <si>
    <t>Total unsprung mass</t>
  </si>
  <si>
    <t>deg</t>
  </si>
  <si>
    <t>Roll angle  (Radians)</t>
  </si>
  <si>
    <t>Rolling  Radius front</t>
  </si>
  <si>
    <t>Rrr</t>
  </si>
  <si>
    <t>Rrf</t>
  </si>
  <si>
    <t>Rolling Radius rear</t>
  </si>
  <si>
    <t>LF+RF</t>
  </si>
  <si>
    <t>LF</t>
  </si>
  <si>
    <t>RF</t>
  </si>
  <si>
    <t xml:space="preserve">Front Split </t>
  </si>
  <si>
    <t xml:space="preserve">LF-RF </t>
  </si>
  <si>
    <t>LF+LR</t>
  </si>
  <si>
    <t xml:space="preserve">   RF+RR</t>
  </si>
  <si>
    <t xml:space="preserve"> (LR-RR) -</t>
  </si>
  <si>
    <t xml:space="preserve">(LF-RF) </t>
  </si>
  <si>
    <t xml:space="preserve">Rear Split </t>
  </si>
  <si>
    <t xml:space="preserve">LR-RR </t>
  </si>
  <si>
    <t>LR</t>
  </si>
  <si>
    <t>RR</t>
  </si>
  <si>
    <t>LR-LF Split</t>
  </si>
  <si>
    <t>RR-RF Split</t>
  </si>
  <si>
    <t>Wedge</t>
  </si>
  <si>
    <t>LR+RR</t>
  </si>
  <si>
    <t>LR-RF Split</t>
  </si>
  <si>
    <t xml:space="preserve">Wheel load distribution </t>
  </si>
  <si>
    <t>Front WT due to sprung mass at RC Height</t>
  </si>
  <si>
    <t>Rear WT due to sprung mass at RC Height</t>
  </si>
  <si>
    <t>Front WT due to Unsprung mass at wheel centre height</t>
  </si>
  <si>
    <t>Rear WT due to Unsprung mass at wheel centre height</t>
  </si>
  <si>
    <t xml:space="preserve">Total front WT </t>
  </si>
  <si>
    <t>Total Rear WT</t>
  </si>
  <si>
    <t xml:space="preserve">Total WT calculated by adding alll Weight Transfers </t>
  </si>
  <si>
    <t xml:space="preserve">Total wheel loads  by individual wheel load check </t>
  </si>
  <si>
    <t xml:space="preserve">Total  wheel load  by static corner weight check </t>
  </si>
  <si>
    <t xml:space="preserve">                                   </t>
  </si>
  <si>
    <t>Front Left Motion Ratio</t>
  </si>
  <si>
    <t>Front Right Motion Ratio</t>
  </si>
  <si>
    <t>Rear Left Motion Ratio</t>
  </si>
  <si>
    <t>Rear Right Motion Ratio</t>
  </si>
  <si>
    <r>
      <rPr>
        <sz val="16"/>
        <rFont val="Calibri"/>
        <family val="2"/>
      </rPr>
      <t>m</t>
    </r>
    <r>
      <rPr>
        <vertAlign val="superscript"/>
        <sz val="16"/>
        <rFont val="Calibri"/>
        <family val="2"/>
      </rPr>
      <t>2</t>
    </r>
  </si>
  <si>
    <t>Rfr</t>
  </si>
  <si>
    <t>Front Track [m]</t>
  </si>
  <si>
    <t>Rear track [m]</t>
  </si>
  <si>
    <t>Rear Spring Track [m]</t>
  </si>
  <si>
    <t>Wheel base  [m]</t>
  </si>
  <si>
    <t>Rolling  Radius front [m]</t>
  </si>
  <si>
    <t>Rolling Radius rear [m]</t>
  </si>
  <si>
    <t>Height of CG of total mass above ground [m]</t>
  </si>
  <si>
    <t>Height of CG of sprung mass  above ground [m]</t>
  </si>
  <si>
    <t>Height of Front roll centre above ground [m]</t>
  </si>
  <si>
    <t>Height of Rear roll centre above ground  [m]</t>
  </si>
  <si>
    <t xml:space="preserve">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</si>
  <si>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</si>
  <si>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Accel</t>
  </si>
  <si>
    <t xml:space="preserve">Accel </t>
  </si>
  <si>
    <t>Accel</t>
  </si>
  <si>
    <t>Rear left wheel rate [N/mm]</t>
  </si>
  <si>
    <t>Rear right wheel rate  [N/mm]</t>
  </si>
  <si>
    <t xml:space="preserve">Independent Suspension </t>
  </si>
  <si>
    <t>Distance of cg of sprung mass from front axle [m]</t>
  </si>
  <si>
    <t>Q3</t>
  </si>
  <si>
    <t xml:space="preserve"> Q2</t>
  </si>
  <si>
    <t>Q4</t>
  </si>
  <si>
    <t xml:space="preserve"> Q4 iii</t>
  </si>
  <si>
    <t>Q4iv</t>
  </si>
  <si>
    <t>Q3.i</t>
  </si>
  <si>
    <t>Q4i</t>
  </si>
  <si>
    <t>Q4ii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</si>
</sst>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000"/>
    <numFmt numFmtId="165" formatCode="0.000"/>
    <numFmt numFmtId="166" formatCode="0.0"/>
    <numFmt numFmtId="167" formatCode="0.0%"/>
  </numFmts>
  <fonts count="15" x14ac:knownFonts="1">
    <font>
      <sz val="10"/>
      <name val="Arial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10"/>
      <name val="Calibri"/>
      <family val="2"/>
    </font>
    <font>
      <sz val="10"/>
      <name val="Arial"/>
      <family val="2"/>
    </font>
    <font>
      <sz val="12"/>
      <name val="Arial"/>
      <family val="2"/>
    </font>
    <font>
      <b/>
      <sz val="20"/>
      <name val="Arial"/>
      <family val="2"/>
    </font>
    <font>
      <i/>
      <sz val="10"/>
      <name val="Arial"/>
      <family val="2"/>
    </font>
    <font>
      <sz val="16"/>
      <name val="Calibri"/>
      <family val="2"/>
    </font>
    <font>
      <vertAlign val="superscript"/>
      <sz val="16"/>
      <name val="Calibri"/>
      <family val="2"/>
    </font>
    <font>
      <sz val="1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175">
    <xf numFmtId="0" fontId="0" fillId="0" borderId="0" xfId="0"/>
    <xf numFmtId="0" fontId="1" fillId="0" borderId="0" xfId="0" applyFont="1"/>
    <xf numFmtId="0" fontId="0" fillId="0" borderId="7" xfId="0" applyBorder="1"/>
    <xf numFmtId="0" fontId="2" fillId="0" borderId="7" xfId="0" applyFont="1" applyBorder="1"/>
    <xf numFmtId="0" fontId="4" fillId="0" borderId="11" xfId="0" applyFont="1" applyBorder="1"/>
    <xf numFmtId="0" fontId="5" fillId="0" borderId="7" xfId="0" applyFont="1" applyBorder="1"/>
    <xf numFmtId="0" fontId="0" fillId="0" borderId="7" xfId="0" applyBorder="1" applyAlignment="1">
      <alignment horizontal="center" vertical="center"/>
    </xf>
    <xf numFmtId="2" fontId="0" fillId="4" borderId="5" xfId="0" applyNumberFormat="1" applyFill="1" applyBorder="1" applyAlignment="1" applyProtection="1">
      <alignment horizontal="center"/>
    </xf>
    <xf numFmtId="2" fontId="0" fillId="0" borderId="7" xfId="0" applyNumberFormat="1" applyBorder="1" applyAlignment="1">
      <alignment horizontal="center" vertical="center"/>
    </xf>
    <xf numFmtId="0" fontId="0" fillId="0" borderId="0" xfId="0" applyBorder="1"/>
    <xf numFmtId="0" fontId="4" fillId="0" borderId="15" xfId="0" applyFont="1" applyBorder="1"/>
    <xf numFmtId="0" fontId="4" fillId="0" borderId="16" xfId="0" applyFont="1" applyBorder="1"/>
    <xf numFmtId="0" fontId="0" fillId="4" borderId="7" xfId="0" applyFill="1" applyBorder="1" applyAlignment="1">
      <alignment horizontal="center" vertical="center"/>
    </xf>
    <xf numFmtId="165" fontId="0" fillId="4" borderId="7" xfId="0" applyNumberFormat="1" applyFill="1" applyBorder="1" applyAlignment="1">
      <alignment horizontal="center" vertical="center"/>
    </xf>
    <xf numFmtId="0" fontId="5" fillId="0" borderId="0" xfId="0" applyFont="1"/>
    <xf numFmtId="0" fontId="0" fillId="0" borderId="17" xfId="0" applyBorder="1"/>
    <xf numFmtId="0" fontId="5" fillId="0" borderId="17" xfId="0" applyFont="1" applyBorder="1"/>
    <xf numFmtId="0" fontId="0" fillId="0" borderId="25" xfId="0" applyBorder="1"/>
    <xf numFmtId="0" fontId="0" fillId="0" borderId="8" xfId="0" applyBorder="1"/>
    <xf numFmtId="0" fontId="0" fillId="0" borderId="27" xfId="0" applyBorder="1"/>
    <xf numFmtId="0" fontId="0" fillId="0" borderId="9" xfId="0" applyBorder="1"/>
    <xf numFmtId="0" fontId="4" fillId="0" borderId="1" xfId="0" applyFont="1" applyFill="1" applyBorder="1" applyAlignment="1">
      <alignment horizontal="left"/>
    </xf>
    <xf numFmtId="0" fontId="0" fillId="0" borderId="2" xfId="0" applyFill="1" applyBorder="1"/>
    <xf numFmtId="167" fontId="9" fillId="5" borderId="28" xfId="1" applyNumberFormat="1" applyFont="1" applyFill="1" applyBorder="1" applyAlignment="1">
      <alignment horizontal="center"/>
    </xf>
    <xf numFmtId="0" fontId="9" fillId="0" borderId="2" xfId="0" applyFont="1" applyFill="1" applyBorder="1"/>
    <xf numFmtId="0" fontId="9" fillId="0" borderId="2" xfId="0" applyFont="1" applyFill="1" applyBorder="1" applyAlignment="1">
      <alignment horizontal="center"/>
    </xf>
    <xf numFmtId="0" fontId="9" fillId="0" borderId="3" xfId="0" applyFont="1" applyFill="1" applyBorder="1"/>
    <xf numFmtId="0" fontId="9" fillId="0" borderId="4" xfId="0" applyFont="1" applyFill="1" applyBorder="1"/>
    <xf numFmtId="0" fontId="4" fillId="0" borderId="0" xfId="0" applyFont="1" applyFill="1" applyBorder="1"/>
    <xf numFmtId="0" fontId="9" fillId="0" borderId="0" xfId="0" applyFont="1" applyFill="1" applyBorder="1"/>
    <xf numFmtId="0" fontId="4" fillId="5" borderId="29" xfId="0" applyFont="1" applyFill="1" applyBorder="1" applyAlignment="1">
      <alignment horizontal="center"/>
    </xf>
    <xf numFmtId="0" fontId="9" fillId="0" borderId="6" xfId="0" applyFont="1" applyFill="1" applyBorder="1"/>
    <xf numFmtId="166" fontId="9" fillId="5" borderId="30" xfId="0" applyNumberFormat="1" applyFont="1" applyFill="1" applyBorder="1" applyAlignment="1">
      <alignment horizontal="center"/>
    </xf>
    <xf numFmtId="167" fontId="9" fillId="0" borderId="0" xfId="1" applyNumberFormat="1" applyFont="1" applyFill="1" applyBorder="1" applyAlignment="1">
      <alignment horizontal="center"/>
    </xf>
    <xf numFmtId="167" fontId="9" fillId="3" borderId="31" xfId="1" applyNumberFormat="1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166" fontId="3" fillId="6" borderId="2" xfId="0" applyNumberFormat="1" applyFont="1" applyFill="1" applyBorder="1" applyAlignment="1">
      <alignment horizontal="center"/>
    </xf>
    <xf numFmtId="0" fontId="4" fillId="6" borderId="3" xfId="0" applyFont="1" applyFill="1" applyBorder="1" applyAlignment="1">
      <alignment horizontal="center"/>
    </xf>
    <xf numFmtId="167" fontId="9" fillId="3" borderId="32" xfId="1" applyNumberFormat="1" applyFont="1" applyFill="1" applyBorder="1" applyAlignment="1">
      <alignment horizontal="center"/>
    </xf>
    <xf numFmtId="0" fontId="4" fillId="5" borderId="21" xfId="0" applyFont="1" applyFill="1" applyBorder="1"/>
    <xf numFmtId="0" fontId="4" fillId="5" borderId="11" xfId="0" applyFont="1" applyFill="1" applyBorder="1" applyAlignment="1">
      <alignment horizontal="right"/>
    </xf>
    <xf numFmtId="166" fontId="9" fillId="5" borderId="23" xfId="0" applyNumberFormat="1" applyFont="1" applyFill="1" applyBorder="1" applyAlignment="1">
      <alignment horizontal="center"/>
    </xf>
    <xf numFmtId="0" fontId="3" fillId="6" borderId="4" xfId="0" applyFont="1" applyFill="1" applyBorder="1"/>
    <xf numFmtId="0" fontId="4" fillId="6" borderId="0" xfId="0" applyFont="1" applyFill="1" applyBorder="1"/>
    <xf numFmtId="0" fontId="3" fillId="6" borderId="6" xfId="0" applyFont="1" applyFill="1" applyBorder="1"/>
    <xf numFmtId="0" fontId="9" fillId="0" borderId="0" xfId="0" applyFont="1" applyFill="1" applyBorder="1" applyAlignment="1">
      <alignment horizontal="center"/>
    </xf>
    <xf numFmtId="0" fontId="4" fillId="6" borderId="4" xfId="0" applyFont="1" applyFill="1" applyBorder="1" applyAlignment="1">
      <alignment horizontal="center"/>
    </xf>
    <xf numFmtId="0" fontId="4" fillId="6" borderId="6" xfId="0" applyFont="1" applyFill="1" applyBorder="1" applyAlignment="1">
      <alignment horizontal="center"/>
    </xf>
    <xf numFmtId="166" fontId="9" fillId="0" borderId="0" xfId="0" applyNumberFormat="1" applyFont="1" applyFill="1" applyBorder="1" applyAlignment="1">
      <alignment horizontal="center"/>
    </xf>
    <xf numFmtId="166" fontId="4" fillId="5" borderId="35" xfId="0" applyNumberFormat="1" applyFont="1" applyFill="1" applyBorder="1" applyAlignment="1">
      <alignment horizontal="center"/>
    </xf>
    <xf numFmtId="167" fontId="9" fillId="5" borderId="11" xfId="0" applyNumberFormat="1" applyFont="1" applyFill="1" applyBorder="1" applyAlignment="1">
      <alignment horizontal="center"/>
    </xf>
    <xf numFmtId="0" fontId="9" fillId="5" borderId="12" xfId="0" applyFont="1" applyFill="1" applyBorder="1" applyAlignment="1">
      <alignment horizontal="center"/>
    </xf>
    <xf numFmtId="0" fontId="4" fillId="6" borderId="0" xfId="0" applyFont="1" applyFill="1" applyBorder="1" applyAlignment="1">
      <alignment horizontal="center"/>
    </xf>
    <xf numFmtId="166" fontId="9" fillId="5" borderId="35" xfId="0" applyNumberFormat="1" applyFont="1" applyFill="1" applyBorder="1" applyAlignment="1">
      <alignment horizontal="center"/>
    </xf>
    <xf numFmtId="167" fontId="9" fillId="5" borderId="36" xfId="0" applyNumberFormat="1" applyFont="1" applyFill="1" applyBorder="1" applyAlignment="1">
      <alignment horizontal="center"/>
    </xf>
    <xf numFmtId="0" fontId="4" fillId="5" borderId="23" xfId="0" applyFont="1" applyFill="1" applyBorder="1" applyAlignment="1">
      <alignment horizontal="left"/>
    </xf>
    <xf numFmtId="0" fontId="4" fillId="7" borderId="37" xfId="0" applyFont="1" applyFill="1" applyBorder="1" applyAlignment="1">
      <alignment horizontal="right"/>
    </xf>
    <xf numFmtId="0" fontId="4" fillId="7" borderId="20" xfId="0" applyFont="1" applyFill="1" applyBorder="1" applyAlignment="1"/>
    <xf numFmtId="166" fontId="4" fillId="7" borderId="0" xfId="0" applyNumberFormat="1" applyFont="1" applyFill="1" applyBorder="1" applyAlignment="1">
      <alignment horizontal="center"/>
    </xf>
    <xf numFmtId="167" fontId="9" fillId="3" borderId="38" xfId="1" applyNumberFormat="1" applyFont="1" applyFill="1" applyBorder="1" applyAlignment="1">
      <alignment horizontal="center"/>
    </xf>
    <xf numFmtId="167" fontId="9" fillId="3" borderId="39" xfId="1" applyNumberFormat="1" applyFont="1" applyFill="1" applyBorder="1" applyAlignment="1">
      <alignment horizontal="center"/>
    </xf>
    <xf numFmtId="0" fontId="4" fillId="5" borderId="40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4" fillId="6" borderId="27" xfId="0" applyFont="1" applyFill="1" applyBorder="1"/>
    <xf numFmtId="0" fontId="4" fillId="6" borderId="41" xfId="0" applyFont="1" applyFill="1" applyBorder="1" applyAlignment="1">
      <alignment horizontal="center"/>
    </xf>
    <xf numFmtId="0" fontId="9" fillId="0" borderId="21" xfId="0" applyFont="1" applyFill="1" applyBorder="1" applyAlignment="1">
      <alignment horizontal="center"/>
    </xf>
    <xf numFmtId="0" fontId="4" fillId="0" borderId="22" xfId="0" applyFont="1" applyFill="1" applyBorder="1" applyAlignment="1">
      <alignment horizontal="right"/>
    </xf>
    <xf numFmtId="166" fontId="9" fillId="0" borderId="23" xfId="0" applyNumberFormat="1" applyFont="1" applyFill="1" applyBorder="1" applyAlignment="1">
      <alignment horizontal="center"/>
    </xf>
    <xf numFmtId="166" fontId="9" fillId="5" borderId="43" xfId="0" applyNumberFormat="1" applyFont="1" applyFill="1" applyBorder="1" applyAlignment="1">
      <alignment horizontal="center"/>
    </xf>
    <xf numFmtId="166" fontId="9" fillId="5" borderId="21" xfId="0" applyNumberFormat="1" applyFont="1" applyFill="1" applyBorder="1" applyAlignment="1">
      <alignment horizontal="center"/>
    </xf>
    <xf numFmtId="0" fontId="4" fillId="5" borderId="22" xfId="0" applyFont="1" applyFill="1" applyBorder="1" applyAlignment="1">
      <alignment horizontal="left"/>
    </xf>
    <xf numFmtId="0" fontId="4" fillId="5" borderId="4" xfId="0" applyFont="1" applyFill="1" applyBorder="1" applyAlignment="1">
      <alignment horizontal="right"/>
    </xf>
    <xf numFmtId="167" fontId="9" fillId="5" borderId="6" xfId="1" applyNumberFormat="1" applyFont="1" applyFill="1" applyBorder="1" applyAlignment="1">
      <alignment horizontal="center"/>
    </xf>
    <xf numFmtId="0" fontId="4" fillId="5" borderId="44" xfId="0" applyFont="1" applyFill="1" applyBorder="1" applyAlignment="1">
      <alignment horizontal="center"/>
    </xf>
    <xf numFmtId="0" fontId="9" fillId="0" borderId="8" xfId="0" applyFont="1" applyFill="1" applyBorder="1"/>
    <xf numFmtId="166" fontId="9" fillId="0" borderId="23" xfId="1" applyNumberFormat="1" applyFont="1" applyFill="1" applyBorder="1" applyAlignment="1">
      <alignment horizontal="center"/>
    </xf>
    <xf numFmtId="0" fontId="9" fillId="0" borderId="27" xfId="0" applyFont="1" applyFill="1" applyBorder="1"/>
    <xf numFmtId="167" fontId="9" fillId="5" borderId="45" xfId="1" applyNumberFormat="1" applyFont="1" applyFill="1" applyBorder="1" applyAlignment="1">
      <alignment horizontal="center"/>
    </xf>
    <xf numFmtId="2" fontId="4" fillId="4" borderId="27" xfId="0" applyNumberFormat="1" applyFont="1" applyFill="1" applyBorder="1"/>
    <xf numFmtId="0" fontId="3" fillId="4" borderId="41" xfId="0" applyFont="1" applyFill="1" applyBorder="1"/>
    <xf numFmtId="0" fontId="10" fillId="0" borderId="0" xfId="0" applyFont="1"/>
    <xf numFmtId="2" fontId="0" fillId="4" borderId="17" xfId="0" applyNumberFormat="1" applyFill="1" applyBorder="1" applyAlignment="1" applyProtection="1">
      <alignment horizontal="center"/>
    </xf>
    <xf numFmtId="2" fontId="0" fillId="0" borderId="17" xfId="0" applyNumberFormat="1" applyBorder="1" applyAlignment="1">
      <alignment horizontal="center" vertical="center"/>
    </xf>
    <xf numFmtId="0" fontId="5" fillId="0" borderId="19" xfId="0" applyFont="1" applyFill="1" applyBorder="1"/>
    <xf numFmtId="1" fontId="0" fillId="8" borderId="13" xfId="0" applyNumberFormat="1" applyFill="1" applyBorder="1" applyAlignment="1">
      <alignment horizontal="center" vertical="center"/>
    </xf>
    <xf numFmtId="0" fontId="5" fillId="4" borderId="25" xfId="0" applyFont="1" applyFill="1" applyBorder="1"/>
    <xf numFmtId="0" fontId="5" fillId="4" borderId="7" xfId="0" applyFont="1" applyFill="1" applyBorder="1"/>
    <xf numFmtId="0" fontId="0" fillId="4" borderId="26" xfId="0" applyFont="1" applyFill="1" applyBorder="1"/>
    <xf numFmtId="0" fontId="5" fillId="4" borderId="14" xfId="0" applyFont="1" applyFill="1" applyBorder="1"/>
    <xf numFmtId="0" fontId="0" fillId="4" borderId="7" xfId="0" applyFill="1" applyBorder="1" applyAlignment="1">
      <alignment horizontal="center"/>
    </xf>
    <xf numFmtId="0" fontId="0" fillId="4" borderId="7" xfId="0" applyFill="1" applyBorder="1"/>
    <xf numFmtId="0" fontId="5" fillId="4" borderId="17" xfId="0" applyFont="1" applyFill="1" applyBorder="1"/>
    <xf numFmtId="0" fontId="0" fillId="4" borderId="47" xfId="0" applyFill="1" applyBorder="1" applyAlignment="1">
      <alignment horizontal="center" vertical="center"/>
    </xf>
    <xf numFmtId="0" fontId="0" fillId="4" borderId="46" xfId="0" applyFill="1" applyBorder="1" applyAlignment="1">
      <alignment horizontal="center" vertical="center"/>
    </xf>
    <xf numFmtId="0" fontId="0" fillId="4" borderId="5" xfId="0" applyFill="1" applyBorder="1"/>
    <xf numFmtId="0" fontId="0" fillId="4" borderId="10" xfId="0" applyFill="1" applyBorder="1"/>
    <xf numFmtId="0" fontId="0" fillId="4" borderId="18" xfId="0" applyFill="1" applyBorder="1"/>
    <xf numFmtId="2" fontId="0" fillId="4" borderId="7" xfId="0" applyNumberFormat="1" applyFill="1" applyBorder="1" applyAlignment="1">
      <alignment horizontal="center" vertical="center"/>
    </xf>
    <xf numFmtId="0" fontId="7" fillId="4" borderId="7" xfId="0" applyFont="1" applyFill="1" applyBorder="1"/>
    <xf numFmtId="0" fontId="11" fillId="0" borderId="24" xfId="0" applyFont="1" applyBorder="1"/>
    <xf numFmtId="0" fontId="11" fillId="0" borderId="0" xfId="0" applyFont="1"/>
    <xf numFmtId="0" fontId="2" fillId="0" borderId="17" xfId="0" applyFont="1" applyBorder="1"/>
    <xf numFmtId="0" fontId="4" fillId="4" borderId="48" xfId="0" applyFont="1" applyFill="1" applyBorder="1"/>
    <xf numFmtId="166" fontId="0" fillId="4" borderId="7" xfId="0" applyNumberFormat="1" applyFill="1" applyBorder="1" applyAlignment="1">
      <alignment horizontal="center" vertical="center"/>
    </xf>
    <xf numFmtId="164" fontId="0" fillId="4" borderId="7" xfId="0" applyNumberFormat="1" applyFill="1" applyBorder="1" applyAlignment="1">
      <alignment horizontal="center" vertical="center"/>
    </xf>
    <xf numFmtId="166" fontId="2" fillId="4" borderId="7" xfId="0" applyNumberFormat="1" applyFont="1" applyFill="1" applyBorder="1" applyAlignment="1">
      <alignment horizontal="center" vertical="center"/>
    </xf>
    <xf numFmtId="166" fontId="0" fillId="4" borderId="7" xfId="0" applyNumberFormat="1" applyFill="1" applyBorder="1" applyAlignment="1">
      <alignment horizontal="center"/>
    </xf>
    <xf numFmtId="1" fontId="0" fillId="4" borderId="7" xfId="0" applyNumberFormat="1" applyFill="1" applyBorder="1" applyAlignment="1">
      <alignment horizontal="center" vertical="center"/>
    </xf>
    <xf numFmtId="1" fontId="0" fillId="4" borderId="7" xfId="0" applyNumberFormat="1" applyFill="1" applyBorder="1" applyAlignment="1">
      <alignment horizontal="center"/>
    </xf>
    <xf numFmtId="1" fontId="0" fillId="8" borderId="7" xfId="0" applyNumberFormat="1" applyFill="1" applyBorder="1" applyAlignment="1">
      <alignment horizontal="center" vertical="center"/>
    </xf>
    <xf numFmtId="166" fontId="0" fillId="0" borderId="0" xfId="0" applyNumberFormat="1"/>
    <xf numFmtId="0" fontId="4" fillId="0" borderId="35" xfId="0" applyFont="1" applyBorder="1"/>
    <xf numFmtId="0" fontId="4" fillId="4" borderId="12" xfId="0" applyFont="1" applyFill="1" applyBorder="1"/>
    <xf numFmtId="0" fontId="5" fillId="4" borderId="24" xfId="0" applyFont="1" applyFill="1" applyBorder="1"/>
    <xf numFmtId="0" fontId="6" fillId="3" borderId="21" xfId="0" applyFont="1" applyFill="1" applyBorder="1" applyAlignment="1">
      <alignment horizontal="right"/>
    </xf>
    <xf numFmtId="0" fontId="12" fillId="3" borderId="23" xfId="0" applyFont="1" applyFill="1" applyBorder="1" applyAlignment="1">
      <alignment vertical="center"/>
    </xf>
    <xf numFmtId="0" fontId="0" fillId="0" borderId="49" xfId="0" applyBorder="1"/>
    <xf numFmtId="0" fontId="5" fillId="0" borderId="50" xfId="0" applyFont="1" applyBorder="1"/>
    <xf numFmtId="0" fontId="0" fillId="0" borderId="50" xfId="0" applyBorder="1"/>
    <xf numFmtId="1" fontId="0" fillId="4" borderId="51" xfId="0" applyNumberFormat="1" applyFill="1" applyBorder="1" applyAlignment="1">
      <alignment horizontal="center" vertical="center"/>
    </xf>
    <xf numFmtId="1" fontId="0" fillId="4" borderId="5" xfId="0" applyNumberFormat="1" applyFill="1" applyBorder="1" applyAlignment="1">
      <alignment horizontal="center" vertical="center"/>
    </xf>
    <xf numFmtId="164" fontId="0" fillId="4" borderId="5" xfId="0" applyNumberFormat="1" applyFill="1" applyBorder="1" applyAlignment="1">
      <alignment horizontal="center" vertical="center"/>
    </xf>
    <xf numFmtId="166" fontId="0" fillId="4" borderId="5" xfId="0" applyNumberFormat="1" applyFill="1" applyBorder="1" applyAlignment="1">
      <alignment horizontal="center" vertical="center"/>
    </xf>
    <xf numFmtId="166" fontId="2" fillId="4" borderId="5" xfId="0" applyNumberFormat="1" applyFont="1" applyFill="1" applyBorder="1" applyAlignment="1">
      <alignment horizontal="center" vertical="center"/>
    </xf>
    <xf numFmtId="1" fontId="0" fillId="4" borderId="5" xfId="0" applyNumberFormat="1" applyFill="1" applyBorder="1" applyAlignment="1">
      <alignment horizontal="center"/>
    </xf>
    <xf numFmtId="1" fontId="0" fillId="8" borderId="5" xfId="0" applyNumberFormat="1" applyFill="1" applyBorder="1" applyAlignment="1">
      <alignment horizontal="center" vertical="center"/>
    </xf>
    <xf numFmtId="0" fontId="0" fillId="0" borderId="52" xfId="0" applyBorder="1"/>
    <xf numFmtId="0" fontId="4" fillId="0" borderId="40" xfId="0" applyFont="1" applyBorder="1"/>
    <xf numFmtId="0" fontId="0" fillId="4" borderId="51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0" fillId="4" borderId="53" xfId="0" applyFill="1" applyBorder="1" applyAlignment="1">
      <alignment horizontal="center" vertical="center"/>
    </xf>
    <xf numFmtId="165" fontId="0" fillId="4" borderId="5" xfId="0" applyNumberForma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25" xfId="0" applyFont="1" applyBorder="1"/>
    <xf numFmtId="0" fontId="0" fillId="4" borderId="5" xfId="0" applyFill="1" applyBorder="1" applyAlignment="1">
      <alignment horizontal="center"/>
    </xf>
    <xf numFmtId="0" fontId="0" fillId="4" borderId="25" xfId="0" applyFill="1" applyBorder="1"/>
    <xf numFmtId="2" fontId="0" fillId="0" borderId="5" xfId="0" applyNumberForma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0" fontId="0" fillId="0" borderId="4" xfId="0" applyBorder="1"/>
    <xf numFmtId="0" fontId="0" fillId="0" borderId="10" xfId="0" applyBorder="1"/>
    <xf numFmtId="0" fontId="5" fillId="0" borderId="54" xfId="0" applyFont="1" applyBorder="1"/>
    <xf numFmtId="0" fontId="0" fillId="0" borderId="24" xfId="0" applyBorder="1"/>
    <xf numFmtId="0" fontId="7" fillId="4" borderId="24" xfId="0" applyFont="1" applyFill="1" applyBorder="1"/>
    <xf numFmtId="0" fontId="5" fillId="0" borderId="24" xfId="0" applyFont="1" applyBorder="1"/>
    <xf numFmtId="0" fontId="2" fillId="0" borderId="24" xfId="0" applyFont="1" applyBorder="1"/>
    <xf numFmtId="0" fontId="0" fillId="0" borderId="55" xfId="0" applyBorder="1"/>
    <xf numFmtId="0" fontId="5" fillId="0" borderId="31" xfId="0" applyFont="1" applyBorder="1"/>
    <xf numFmtId="0" fontId="0" fillId="0" borderId="56" xfId="0" applyBorder="1"/>
    <xf numFmtId="0" fontId="5" fillId="0" borderId="56" xfId="0" applyFont="1" applyBorder="1"/>
    <xf numFmtId="0" fontId="2" fillId="0" borderId="56" xfId="0" applyFont="1" applyBorder="1"/>
    <xf numFmtId="0" fontId="5" fillId="4" borderId="56" xfId="0" applyFont="1" applyFill="1" applyBorder="1"/>
    <xf numFmtId="0" fontId="5" fillId="0" borderId="4" xfId="0" applyFont="1" applyFill="1" applyBorder="1"/>
    <xf numFmtId="0" fontId="5" fillId="0" borderId="9" xfId="0" applyFont="1" applyBorder="1"/>
    <xf numFmtId="166" fontId="4" fillId="2" borderId="33" xfId="0" applyNumberFormat="1" applyFont="1" applyFill="1" applyBorder="1" applyAlignment="1">
      <alignment horizontal="center"/>
    </xf>
    <xf numFmtId="166" fontId="4" fillId="2" borderId="34" xfId="0" applyNumberFormat="1" applyFont="1" applyFill="1" applyBorder="1" applyAlignment="1">
      <alignment horizontal="center"/>
    </xf>
    <xf numFmtId="166" fontId="4" fillId="2" borderId="42" xfId="0" applyNumberFormat="1" applyFont="1" applyFill="1" applyBorder="1" applyAlignment="1">
      <alignment horizontal="center"/>
    </xf>
    <xf numFmtId="166" fontId="4" fillId="9" borderId="13" xfId="0" applyNumberFormat="1" applyFont="1" applyFill="1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6" xfId="0" applyBorder="1"/>
    <xf numFmtId="0" fontId="0" fillId="0" borderId="41" xfId="0" applyBorder="1"/>
    <xf numFmtId="0" fontId="6" fillId="3" borderId="22" xfId="0" applyFont="1" applyFill="1" applyBorder="1" applyAlignment="1">
      <alignment horizontal="right"/>
    </xf>
    <xf numFmtId="0" fontId="6" fillId="3" borderId="21" xfId="0" applyFont="1" applyFill="1" applyBorder="1"/>
    <xf numFmtId="165" fontId="5" fillId="4" borderId="7" xfId="0" applyNumberFormat="1" applyFont="1" applyFill="1" applyBorder="1" applyAlignment="1">
      <alignment horizontal="center" vertical="center"/>
    </xf>
    <xf numFmtId="0" fontId="4" fillId="4" borderId="16" xfId="0" applyFont="1" applyFill="1" applyBorder="1"/>
    <xf numFmtId="0" fontId="5" fillId="4" borderId="7" xfId="0" applyFont="1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14" fillId="4" borderId="24" xfId="0" applyFont="1" applyFill="1" applyBorder="1"/>
    <xf numFmtId="165" fontId="5" fillId="4" borderId="5" xfId="0" applyNumberFormat="1" applyFont="1" applyFill="1" applyBorder="1" applyAlignment="1">
      <alignment horizontal="center" vertical="center"/>
    </xf>
    <xf numFmtId="166" fontId="5" fillId="0" borderId="0" xfId="0" applyNumberFormat="1" applyFont="1"/>
    <xf numFmtId="0" fontId="0" fillId="3" borderId="5" xfId="0" applyFill="1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colors>
    <mruColors>
      <color rgb="FFCCFFFF"/>
      <color rgb="FF00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0"/>
  <sheetViews>
    <sheetView topLeftCell="G1" workbookViewId="0">
      <selection activeCell="L36" sqref="L36"/>
    </sheetView>
  </sheetViews>
  <sheetFormatPr defaultRowHeight="12.5" x14ac:dyDescent="0.25"/>
  <cols>
    <col min="3" max="3" width="49.81640625" customWidth="1"/>
    <col min="6" max="6" width="41.7265625" customWidth="1"/>
    <col min="7" max="7" width="13.7265625" customWidth="1"/>
    <col min="9" max="9" width="53.453125" customWidth="1"/>
    <col min="10" max="10" width="12.1796875" customWidth="1"/>
    <col min="11" max="11" width="7.453125" customWidth="1"/>
  </cols>
  <sheetData>
    <row r="1" spans="2:12" ht="24.5" thickBot="1" x14ac:dyDescent="0.4">
      <c r="B1" s="114" t="s">
        <v>170</v>
      </c>
      <c r="C1" s="165">
        <v>5</v>
      </c>
      <c r="D1" s="115" t="s">
        <v>156</v>
      </c>
      <c r="F1" s="113"/>
      <c r="G1" s="96"/>
    </row>
    <row r="2" spans="2:12" ht="13" thickBot="1" x14ac:dyDescent="0.3"/>
    <row r="3" spans="2:12" ht="16" thickBot="1" x14ac:dyDescent="0.4">
      <c r="B3" s="10" t="s">
        <v>17</v>
      </c>
      <c r="C3" s="11"/>
      <c r="D3" s="168"/>
      <c r="E3" s="4" t="s">
        <v>18</v>
      </c>
      <c r="F3" s="4"/>
      <c r="G3" s="4"/>
      <c r="H3" s="4" t="s">
        <v>20</v>
      </c>
      <c r="I3" s="4"/>
      <c r="J3" s="102"/>
    </row>
    <row r="4" spans="2:12" x14ac:dyDescent="0.25">
      <c r="B4" s="17" t="s">
        <v>77</v>
      </c>
      <c r="C4" s="2" t="s">
        <v>51</v>
      </c>
      <c r="D4" s="12">
        <v>1</v>
      </c>
      <c r="E4" s="2" t="s">
        <v>86</v>
      </c>
      <c r="F4" s="2" t="s">
        <v>61</v>
      </c>
      <c r="G4" s="6">
        <f>D8-D12</f>
        <v>225</v>
      </c>
      <c r="H4" s="5" t="s">
        <v>56</v>
      </c>
      <c r="I4" s="16" t="s">
        <v>114</v>
      </c>
      <c r="J4" s="103">
        <f>(D20^2*AVERAGE(G17:G18)*1000)/2</f>
        <v>49254.406875000001</v>
      </c>
    </row>
    <row r="5" spans="2:12" ht="12" customHeight="1" x14ac:dyDescent="0.25">
      <c r="B5" s="17" t="s">
        <v>78</v>
      </c>
      <c r="C5" s="2" t="s">
        <v>51</v>
      </c>
      <c r="D5" s="12">
        <v>1</v>
      </c>
      <c r="E5" s="2" t="s">
        <v>87</v>
      </c>
      <c r="F5" s="2" t="s">
        <v>2</v>
      </c>
      <c r="G5" s="6">
        <f>D9-D13</f>
        <v>225</v>
      </c>
      <c r="H5" s="2" t="s">
        <v>30</v>
      </c>
      <c r="I5" s="15" t="s">
        <v>39</v>
      </c>
      <c r="J5" s="103">
        <f>(D22^2*AVERAGE(G19:G20)*1000)/2</f>
        <v>21890.8475</v>
      </c>
    </row>
    <row r="6" spans="2:12" x14ac:dyDescent="0.25">
      <c r="B6" s="17" t="s">
        <v>79</v>
      </c>
      <c r="C6" s="2" t="s">
        <v>52</v>
      </c>
      <c r="D6" s="12">
        <v>1</v>
      </c>
      <c r="E6" s="2" t="s">
        <v>88</v>
      </c>
      <c r="F6" s="2" t="s">
        <v>63</v>
      </c>
      <c r="G6" s="6">
        <f>D10-D14</f>
        <v>225</v>
      </c>
      <c r="H6" s="2" t="s">
        <v>31</v>
      </c>
      <c r="I6" s="15" t="s">
        <v>38</v>
      </c>
      <c r="J6" s="103">
        <f>SUM(J4:J5)</f>
        <v>71145.254375000004</v>
      </c>
    </row>
    <row r="7" spans="2:12" x14ac:dyDescent="0.25">
      <c r="B7" s="17" t="s">
        <v>46</v>
      </c>
      <c r="C7" s="2" t="s">
        <v>52</v>
      </c>
      <c r="D7" s="12">
        <v>1</v>
      </c>
      <c r="E7" s="2" t="s">
        <v>0</v>
      </c>
      <c r="F7" s="2" t="s">
        <v>62</v>
      </c>
      <c r="G7" s="6">
        <f>D11-D15</f>
        <v>225</v>
      </c>
      <c r="H7" s="2" t="s">
        <v>36</v>
      </c>
      <c r="I7" s="15" t="s">
        <v>37</v>
      </c>
      <c r="J7" s="103">
        <f>G10*C1*G25</f>
        <v>1187.4999999999998</v>
      </c>
    </row>
    <row r="8" spans="2:12" ht="13" x14ac:dyDescent="0.3">
      <c r="B8" s="17" t="s">
        <v>80</v>
      </c>
      <c r="C8" s="2" t="s">
        <v>69</v>
      </c>
      <c r="D8" s="12">
        <v>250</v>
      </c>
      <c r="E8" s="5" t="s">
        <v>7</v>
      </c>
      <c r="F8" s="2" t="s">
        <v>3</v>
      </c>
      <c r="G8" s="6">
        <f>G4+G5</f>
        <v>450</v>
      </c>
      <c r="H8" s="98" t="s">
        <v>151</v>
      </c>
      <c r="I8" s="16" t="s">
        <v>118</v>
      </c>
      <c r="J8" s="104">
        <f>J7/J6</f>
        <v>1.6691204640871728E-2</v>
      </c>
      <c r="K8" s="99">
        <f>J8*180/3.142</f>
        <v>0.9562115962307165</v>
      </c>
      <c r="L8" s="100" t="s">
        <v>117</v>
      </c>
    </row>
    <row r="9" spans="2:12" x14ac:dyDescent="0.25">
      <c r="B9" s="17" t="s">
        <v>81</v>
      </c>
      <c r="C9" s="2" t="s">
        <v>70</v>
      </c>
      <c r="D9" s="12">
        <v>250</v>
      </c>
      <c r="E9" s="2" t="s">
        <v>6</v>
      </c>
      <c r="F9" s="2" t="s">
        <v>4</v>
      </c>
      <c r="G9" s="6">
        <f>G6+G7</f>
        <v>450</v>
      </c>
      <c r="H9" s="2" t="s">
        <v>16</v>
      </c>
      <c r="I9" s="15" t="s">
        <v>40</v>
      </c>
      <c r="J9" s="103">
        <f>J8*AVERAGE(G17:G18)*D20*1000/2</f>
        <v>548.07692307692287</v>
      </c>
    </row>
    <row r="10" spans="2:12" ht="13" x14ac:dyDescent="0.3">
      <c r="B10" s="17" t="s">
        <v>82</v>
      </c>
      <c r="C10" s="2" t="s">
        <v>71</v>
      </c>
      <c r="D10" s="12">
        <v>250</v>
      </c>
      <c r="E10" s="86" t="s">
        <v>113</v>
      </c>
      <c r="F10" s="86" t="s">
        <v>111</v>
      </c>
      <c r="G10" s="12">
        <f>G8+G9</f>
        <v>900</v>
      </c>
      <c r="H10" s="3" t="s">
        <v>19</v>
      </c>
      <c r="I10" s="101" t="s">
        <v>41</v>
      </c>
      <c r="J10" s="103">
        <f>J8*AVERAGE(G19:G20)*(D22^2)*1000/(2*D21)</f>
        <v>243.58974358974351</v>
      </c>
    </row>
    <row r="11" spans="2:12" ht="13" x14ac:dyDescent="0.3">
      <c r="B11" s="17" t="s">
        <v>1</v>
      </c>
      <c r="C11" s="2" t="s">
        <v>72</v>
      </c>
      <c r="D11" s="12">
        <v>250</v>
      </c>
      <c r="E11" s="86" t="s">
        <v>109</v>
      </c>
      <c r="F11" s="86" t="s">
        <v>112</v>
      </c>
      <c r="G11" s="89">
        <f>SUM(D8:D11)</f>
        <v>1000</v>
      </c>
      <c r="H11" s="3"/>
      <c r="I11" s="101"/>
      <c r="J11" s="105"/>
      <c r="K11" s="1"/>
    </row>
    <row r="12" spans="2:12" x14ac:dyDescent="0.25">
      <c r="B12" s="17" t="s">
        <v>83</v>
      </c>
      <c r="C12" s="2" t="s">
        <v>73</v>
      </c>
      <c r="D12" s="169">
        <v>25</v>
      </c>
      <c r="E12" s="90" t="s">
        <v>115</v>
      </c>
      <c r="F12" s="90" t="s">
        <v>116</v>
      </c>
      <c r="G12" s="89">
        <f>SUM(D12:D15)</f>
        <v>100</v>
      </c>
      <c r="H12" s="2" t="s">
        <v>47</v>
      </c>
      <c r="I12" s="16" t="s">
        <v>142</v>
      </c>
      <c r="J12" s="103">
        <f>G8*C1*D28/D20</f>
        <v>150</v>
      </c>
    </row>
    <row r="13" spans="2:12" x14ac:dyDescent="0.25">
      <c r="B13" s="17" t="s">
        <v>84</v>
      </c>
      <c r="C13" s="2" t="s">
        <v>74</v>
      </c>
      <c r="D13" s="12">
        <v>25</v>
      </c>
      <c r="E13" s="5" t="s">
        <v>106</v>
      </c>
      <c r="F13" s="2" t="s">
        <v>64</v>
      </c>
      <c r="G13" s="7">
        <f>0.17512678*D16</f>
        <v>43.781694999999999</v>
      </c>
      <c r="H13" s="2" t="s">
        <v>50</v>
      </c>
      <c r="I13" s="16" t="s">
        <v>143</v>
      </c>
      <c r="J13" s="103">
        <f>G9*C1*D29/D21</f>
        <v>300</v>
      </c>
    </row>
    <row r="14" spans="2:12" x14ac:dyDescent="0.25">
      <c r="B14" s="17" t="s">
        <v>85</v>
      </c>
      <c r="C14" s="2" t="s">
        <v>75</v>
      </c>
      <c r="D14" s="12">
        <v>25</v>
      </c>
      <c r="E14" s="5" t="s">
        <v>107</v>
      </c>
      <c r="F14" s="2" t="s">
        <v>65</v>
      </c>
      <c r="G14" s="7">
        <f>0.17512678*D17</f>
        <v>43.781694999999999</v>
      </c>
      <c r="H14" s="2" t="s">
        <v>48</v>
      </c>
      <c r="I14" s="16" t="s">
        <v>144</v>
      </c>
      <c r="J14" s="103">
        <f xml:space="preserve"> (SUM(D12:D13)*C1*D24)/D20</f>
        <v>45.833333333333336</v>
      </c>
    </row>
    <row r="15" spans="2:12" x14ac:dyDescent="0.25">
      <c r="B15" s="17" t="s">
        <v>5</v>
      </c>
      <c r="C15" s="2" t="s">
        <v>76</v>
      </c>
      <c r="D15" s="12">
        <v>25</v>
      </c>
      <c r="E15" s="2" t="s">
        <v>89</v>
      </c>
      <c r="F15" s="2" t="s">
        <v>66</v>
      </c>
      <c r="G15" s="7">
        <f>0.17512678*D18</f>
        <v>43.781694999999999</v>
      </c>
      <c r="H15" s="2" t="s">
        <v>49</v>
      </c>
      <c r="I15" s="16" t="s">
        <v>145</v>
      </c>
      <c r="J15" s="103">
        <f xml:space="preserve"> (SUM(D14:D15)*C1*D25)/D21</f>
        <v>45.833333333333336</v>
      </c>
    </row>
    <row r="16" spans="2:12" x14ac:dyDescent="0.25">
      <c r="B16" s="17" t="s">
        <v>97</v>
      </c>
      <c r="C16" s="2" t="s">
        <v>99</v>
      </c>
      <c r="D16" s="12">
        <v>250</v>
      </c>
      <c r="E16" s="2" t="s">
        <v>90</v>
      </c>
      <c r="F16" s="2" t="s">
        <v>67</v>
      </c>
      <c r="G16" s="81">
        <f>0.17512678*D19</f>
        <v>43.781694999999999</v>
      </c>
      <c r="H16" s="2"/>
      <c r="I16" s="91" t="s">
        <v>146</v>
      </c>
      <c r="J16" s="106">
        <f>J9+J12+J14</f>
        <v>743.91025641025624</v>
      </c>
    </row>
    <row r="17" spans="2:10" x14ac:dyDescent="0.25">
      <c r="B17" s="17" t="s">
        <v>98</v>
      </c>
      <c r="C17" s="2" t="s">
        <v>100</v>
      </c>
      <c r="D17" s="12">
        <v>250</v>
      </c>
      <c r="E17" s="2" t="s">
        <v>91</v>
      </c>
      <c r="F17" s="2" t="s">
        <v>68</v>
      </c>
      <c r="G17" s="82">
        <f>G13*D4^2</f>
        <v>43.781694999999999</v>
      </c>
      <c r="H17" s="2"/>
      <c r="I17" s="91" t="s">
        <v>147</v>
      </c>
      <c r="J17" s="106">
        <f>J10+J13+J15</f>
        <v>589.42307692307691</v>
      </c>
    </row>
    <row r="18" spans="2:10" x14ac:dyDescent="0.25">
      <c r="B18" s="17" t="s">
        <v>89</v>
      </c>
      <c r="C18" s="2" t="s">
        <v>101</v>
      </c>
      <c r="D18" s="12">
        <v>250</v>
      </c>
      <c r="E18" s="2" t="s">
        <v>92</v>
      </c>
      <c r="F18" s="2" t="s">
        <v>93</v>
      </c>
      <c r="G18" s="82">
        <f>G14*D5^2</f>
        <v>43.781694999999999</v>
      </c>
      <c r="H18" s="2"/>
      <c r="I18" s="91" t="s">
        <v>148</v>
      </c>
      <c r="J18" s="109">
        <f>J16+J17</f>
        <v>1333.333333333333</v>
      </c>
    </row>
    <row r="19" spans="2:10" x14ac:dyDescent="0.25">
      <c r="B19" s="17" t="s">
        <v>90</v>
      </c>
      <c r="C19" s="2" t="s">
        <v>102</v>
      </c>
      <c r="D19" s="12">
        <v>250</v>
      </c>
      <c r="E19" s="2" t="s">
        <v>103</v>
      </c>
      <c r="F19" s="2" t="s">
        <v>94</v>
      </c>
      <c r="G19" s="8">
        <f>G15*D6^2</f>
        <v>43.781694999999999</v>
      </c>
      <c r="H19" s="2" t="s">
        <v>96</v>
      </c>
      <c r="I19" s="15" t="s">
        <v>42</v>
      </c>
      <c r="J19" s="107">
        <f>(D8*9.81)+J16</f>
        <v>3196.4102564102564</v>
      </c>
    </row>
    <row r="20" spans="2:10" x14ac:dyDescent="0.25">
      <c r="B20" s="17" t="s">
        <v>10</v>
      </c>
      <c r="C20" s="2" t="s">
        <v>8</v>
      </c>
      <c r="D20" s="12">
        <v>1.5</v>
      </c>
      <c r="E20" s="2" t="s">
        <v>104</v>
      </c>
      <c r="F20" s="2" t="s">
        <v>95</v>
      </c>
      <c r="G20" s="97">
        <f>G16*D7^2</f>
        <v>43.781694999999999</v>
      </c>
      <c r="H20" s="5" t="s">
        <v>108</v>
      </c>
      <c r="I20" s="15" t="s">
        <v>43</v>
      </c>
      <c r="J20" s="107">
        <f>(D9*9.81)-J16</f>
        <v>1708.5897435897436</v>
      </c>
    </row>
    <row r="21" spans="2:10" x14ac:dyDescent="0.25">
      <c r="B21" s="17" t="s">
        <v>11</v>
      </c>
      <c r="C21" s="2" t="s">
        <v>9</v>
      </c>
      <c r="D21" s="12">
        <v>1.5</v>
      </c>
      <c r="E21" s="2" t="s">
        <v>25</v>
      </c>
      <c r="F21" s="5" t="s">
        <v>110</v>
      </c>
      <c r="G21" s="12">
        <f>(G9*D23)/G10</f>
        <v>1.25</v>
      </c>
      <c r="H21" s="5" t="s">
        <v>105</v>
      </c>
      <c r="I21" s="15" t="s">
        <v>44</v>
      </c>
      <c r="J21" s="107">
        <f>(D10*9.81)+J17</f>
        <v>3041.9230769230771</v>
      </c>
    </row>
    <row r="22" spans="2:10" x14ac:dyDescent="0.25">
      <c r="B22" s="17" t="s">
        <v>12</v>
      </c>
      <c r="C22" s="2" t="s">
        <v>13</v>
      </c>
      <c r="D22" s="12">
        <v>1</v>
      </c>
      <c r="E22" s="2" t="s">
        <v>26</v>
      </c>
      <c r="F22" s="2" t="s">
        <v>35</v>
      </c>
      <c r="G22" s="12">
        <f>D29-D28</f>
        <v>0.1</v>
      </c>
      <c r="H22" s="2" t="s">
        <v>29</v>
      </c>
      <c r="I22" s="15" t="s">
        <v>45</v>
      </c>
      <c r="J22" s="107">
        <f>(D11 *9.81)-J17</f>
        <v>1863.0769230769231</v>
      </c>
    </row>
    <row r="23" spans="2:10" x14ac:dyDescent="0.25">
      <c r="B23" s="17" t="s">
        <v>15</v>
      </c>
      <c r="C23" s="2" t="s">
        <v>14</v>
      </c>
      <c r="D23" s="12">
        <v>2.5</v>
      </c>
      <c r="E23" s="2" t="s">
        <v>27</v>
      </c>
      <c r="F23" s="2" t="s">
        <v>32</v>
      </c>
      <c r="G23" s="12">
        <f>G22*G21/D23</f>
        <v>0.05</v>
      </c>
      <c r="H23" s="2"/>
      <c r="I23" s="83" t="s">
        <v>149</v>
      </c>
      <c r="J23" s="108">
        <f>SUM(J19:J22)</f>
        <v>9810</v>
      </c>
    </row>
    <row r="24" spans="2:10" x14ac:dyDescent="0.25">
      <c r="B24" s="85" t="s">
        <v>121</v>
      </c>
      <c r="C24" s="86" t="s">
        <v>119</v>
      </c>
      <c r="D24" s="12">
        <v>0.27500000000000002</v>
      </c>
      <c r="E24" s="2" t="s">
        <v>28</v>
      </c>
      <c r="F24" s="2" t="s">
        <v>33</v>
      </c>
      <c r="G24" s="12">
        <f>G23+D28</f>
        <v>0.15000000000000002</v>
      </c>
      <c r="H24" s="2"/>
      <c r="I24" s="16" t="s">
        <v>150</v>
      </c>
      <c r="J24" s="12">
        <f>G11*9.81</f>
        <v>9810</v>
      </c>
    </row>
    <row r="25" spans="2:10" x14ac:dyDescent="0.25">
      <c r="B25" s="87" t="s">
        <v>120</v>
      </c>
      <c r="C25" s="88" t="s">
        <v>122</v>
      </c>
      <c r="D25" s="170">
        <v>0.27500000000000002</v>
      </c>
      <c r="E25" s="9"/>
      <c r="F25" s="2" t="s">
        <v>34</v>
      </c>
      <c r="G25" s="13">
        <f>D27-G24</f>
        <v>0.26388888888888884</v>
      </c>
      <c r="H25" s="2"/>
      <c r="I25" s="2"/>
      <c r="J25" s="92"/>
    </row>
    <row r="26" spans="2:10" ht="13" thickBot="1" x14ac:dyDescent="0.3">
      <c r="B26" s="17" t="s">
        <v>59</v>
      </c>
      <c r="C26" s="2" t="s">
        <v>55</v>
      </c>
      <c r="D26" s="12">
        <v>0.4</v>
      </c>
      <c r="E26" s="2" t="s">
        <v>60</v>
      </c>
      <c r="F26" s="2"/>
      <c r="G26" s="6"/>
      <c r="H26" s="2"/>
      <c r="I26" s="2"/>
      <c r="J26" s="93"/>
    </row>
    <row r="27" spans="2:10" ht="13" thickBot="1" x14ac:dyDescent="0.3">
      <c r="B27" s="17" t="s">
        <v>53</v>
      </c>
      <c r="C27" s="2" t="s">
        <v>54</v>
      </c>
      <c r="D27" s="167">
        <f>((D26*G11)-(SUM(D12:D13)*D24)-( SUM(D14:D15)*D25))/G10</f>
        <v>0.41388888888888886</v>
      </c>
      <c r="E27" s="2"/>
      <c r="F27" s="2"/>
      <c r="G27" s="6"/>
      <c r="H27" s="2" t="s">
        <v>57</v>
      </c>
      <c r="I27" s="15" t="s">
        <v>58</v>
      </c>
      <c r="J27" s="84">
        <f>G11*C1*D26/ AVERAGE(D20:D21)</f>
        <v>1333.3333333333333</v>
      </c>
    </row>
    <row r="28" spans="2:10" x14ac:dyDescent="0.25">
      <c r="B28" s="17" t="s">
        <v>21</v>
      </c>
      <c r="C28" s="2" t="s">
        <v>23</v>
      </c>
      <c r="D28" s="12">
        <v>0.1</v>
      </c>
      <c r="E28" s="2"/>
      <c r="F28" s="2"/>
      <c r="G28" s="6"/>
      <c r="H28" s="2"/>
      <c r="I28" s="2"/>
      <c r="J28" s="92"/>
    </row>
    <row r="29" spans="2:10" x14ac:dyDescent="0.25">
      <c r="B29" s="17" t="s">
        <v>22</v>
      </c>
      <c r="C29" s="2" t="s">
        <v>24</v>
      </c>
      <c r="D29" s="12">
        <v>0.2</v>
      </c>
      <c r="E29" s="2"/>
      <c r="F29" s="2"/>
      <c r="G29" s="2"/>
      <c r="H29" s="2"/>
      <c r="I29" s="2"/>
      <c r="J29" s="94"/>
    </row>
    <row r="30" spans="2:10" ht="13" thickBot="1" x14ac:dyDescent="0.3">
      <c r="B30" s="18"/>
      <c r="C30" s="19"/>
      <c r="D30" s="19"/>
      <c r="E30" s="19"/>
      <c r="F30" s="20"/>
      <c r="G30" s="20"/>
      <c r="H30" s="20"/>
      <c r="I30" s="20"/>
      <c r="J30" s="9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44"/>
  <sheetViews>
    <sheetView topLeftCell="D5" workbookViewId="0">
      <selection activeCell="F27" sqref="F27"/>
    </sheetView>
  </sheetViews>
  <sheetFormatPr defaultRowHeight="12.5" x14ac:dyDescent="0.25"/>
  <cols>
    <col min="3" max="3" width="49.81640625" customWidth="1"/>
    <col min="5" max="5" width="7.453125" customWidth="1"/>
    <col min="6" max="6" width="41.7265625" customWidth="1"/>
    <col min="7" max="7" width="13.7265625" customWidth="1"/>
    <col min="8" max="8" width="7.1796875" customWidth="1"/>
    <col min="9" max="9" width="53.453125" customWidth="1"/>
    <col min="10" max="10" width="12.1796875" customWidth="1"/>
    <col min="11" max="11" width="7.453125" customWidth="1"/>
  </cols>
  <sheetData>
    <row r="1" spans="2:12" ht="24.5" thickBot="1" x14ac:dyDescent="0.4">
      <c r="B1" s="166" t="s">
        <v>171</v>
      </c>
      <c r="C1" s="165">
        <v>7.2</v>
      </c>
      <c r="D1" s="115" t="s">
        <v>156</v>
      </c>
      <c r="E1" s="14" t="s">
        <v>178</v>
      </c>
      <c r="F1" s="113"/>
      <c r="G1" s="96"/>
    </row>
    <row r="2" spans="2:12" ht="13" thickBot="1" x14ac:dyDescent="0.3"/>
    <row r="3" spans="2:12" ht="16" thickBot="1" x14ac:dyDescent="0.4">
      <c r="B3" s="111" t="s">
        <v>17</v>
      </c>
      <c r="C3" s="4"/>
      <c r="D3" s="112"/>
      <c r="E3" s="127" t="s">
        <v>18</v>
      </c>
      <c r="F3" s="4"/>
      <c r="G3" s="4"/>
      <c r="H3" s="4" t="s">
        <v>20</v>
      </c>
      <c r="I3" s="4"/>
      <c r="J3" s="112"/>
    </row>
    <row r="4" spans="2:12" x14ac:dyDescent="0.25">
      <c r="B4" s="116" t="s">
        <v>77</v>
      </c>
      <c r="C4" s="117" t="s">
        <v>152</v>
      </c>
      <c r="D4" s="128">
        <v>0.87</v>
      </c>
      <c r="E4" s="116" t="s">
        <v>86</v>
      </c>
      <c r="F4" s="118" t="s">
        <v>61</v>
      </c>
      <c r="G4" s="134">
        <f>D8-D12</f>
        <v>156.80000000000001</v>
      </c>
      <c r="H4" s="143" t="s">
        <v>56</v>
      </c>
      <c r="I4" s="149" t="s">
        <v>114</v>
      </c>
      <c r="J4" s="119">
        <f>(D20^2*AVERAGE(G17:G18)*1000)/2</f>
        <v>28882.106541489502</v>
      </c>
    </row>
    <row r="5" spans="2:12" ht="12" customHeight="1" x14ac:dyDescent="0.25">
      <c r="B5" s="17" t="s">
        <v>78</v>
      </c>
      <c r="C5" s="5" t="s">
        <v>153</v>
      </c>
      <c r="D5" s="129">
        <v>0.82</v>
      </c>
      <c r="E5" s="17" t="s">
        <v>87</v>
      </c>
      <c r="F5" s="2" t="s">
        <v>2</v>
      </c>
      <c r="G5" s="135">
        <f>D9-D13</f>
        <v>177.2</v>
      </c>
      <c r="H5" s="144" t="s">
        <v>30</v>
      </c>
      <c r="I5" s="150" t="s">
        <v>39</v>
      </c>
      <c r="J5" s="120">
        <f>(D22^2*AVERAGE(G19:G20)*1000)/2</f>
        <v>40541.859070627805</v>
      </c>
    </row>
    <row r="6" spans="2:12" x14ac:dyDescent="0.25">
      <c r="B6" s="17" t="s">
        <v>79</v>
      </c>
      <c r="C6" s="5" t="s">
        <v>154</v>
      </c>
      <c r="D6" s="129">
        <v>1.02</v>
      </c>
      <c r="E6" s="17" t="s">
        <v>88</v>
      </c>
      <c r="F6" s="2" t="s">
        <v>63</v>
      </c>
      <c r="G6" s="135">
        <f>D10-D14</f>
        <v>163.80000000000001</v>
      </c>
      <c r="H6" s="144" t="s">
        <v>31</v>
      </c>
      <c r="I6" s="150" t="s">
        <v>38</v>
      </c>
      <c r="J6" s="120">
        <f>SUM(J4:J5)</f>
        <v>69423.965612117303</v>
      </c>
    </row>
    <row r="7" spans="2:12" x14ac:dyDescent="0.25">
      <c r="B7" s="17" t="s">
        <v>46</v>
      </c>
      <c r="C7" s="5" t="s">
        <v>155</v>
      </c>
      <c r="D7" s="129">
        <v>1.02</v>
      </c>
      <c r="E7" s="17" t="s">
        <v>0</v>
      </c>
      <c r="F7" s="2" t="s">
        <v>62</v>
      </c>
      <c r="G7" s="135">
        <f>D11-D15</f>
        <v>184.2</v>
      </c>
      <c r="H7" s="144" t="s">
        <v>36</v>
      </c>
      <c r="I7" s="150" t="s">
        <v>37</v>
      </c>
      <c r="J7" s="120">
        <f>G10*C1*G25</f>
        <v>1796.1119999999999</v>
      </c>
    </row>
    <row r="8" spans="2:12" ht="13" x14ac:dyDescent="0.3">
      <c r="B8" s="17" t="s">
        <v>80</v>
      </c>
      <c r="C8" s="2" t="s">
        <v>69</v>
      </c>
      <c r="D8" s="129">
        <v>185.8</v>
      </c>
      <c r="E8" s="136" t="s">
        <v>7</v>
      </c>
      <c r="F8" s="2" t="s">
        <v>3</v>
      </c>
      <c r="G8" s="135">
        <f>G4+G5</f>
        <v>334</v>
      </c>
      <c r="H8" s="145" t="s">
        <v>151</v>
      </c>
      <c r="I8" s="151" t="s">
        <v>118</v>
      </c>
      <c r="J8" s="121">
        <f>J7/J6</f>
        <v>2.5871642222732742E-2</v>
      </c>
      <c r="K8" s="99">
        <f>J8*180/3.142</f>
        <v>1.4821437301374583</v>
      </c>
      <c r="L8" s="100" t="s">
        <v>117</v>
      </c>
    </row>
    <row r="9" spans="2:12" x14ac:dyDescent="0.25">
      <c r="B9" s="17" t="s">
        <v>81</v>
      </c>
      <c r="C9" s="2" t="s">
        <v>70</v>
      </c>
      <c r="D9" s="129">
        <v>206.2</v>
      </c>
      <c r="E9" s="17" t="s">
        <v>6</v>
      </c>
      <c r="F9" s="2" t="s">
        <v>4</v>
      </c>
      <c r="G9" s="135">
        <f>G6+G7</f>
        <v>348</v>
      </c>
      <c r="H9" s="144" t="s">
        <v>16</v>
      </c>
      <c r="I9" s="150" t="s">
        <v>40</v>
      </c>
      <c r="J9" s="122">
        <f>J8*AVERAGE(G17:G18)*D20*1000/2</f>
        <v>508.31804563283367</v>
      </c>
    </row>
    <row r="10" spans="2:12" x14ac:dyDescent="0.25">
      <c r="B10" s="17" t="s">
        <v>82</v>
      </c>
      <c r="C10" s="2" t="s">
        <v>71</v>
      </c>
      <c r="D10" s="129">
        <v>198.8</v>
      </c>
      <c r="E10" s="85" t="s">
        <v>113</v>
      </c>
      <c r="F10" s="86" t="s">
        <v>111</v>
      </c>
      <c r="G10" s="129">
        <f>G8+G9</f>
        <v>682</v>
      </c>
      <c r="H10" s="146" t="s">
        <v>19</v>
      </c>
      <c r="I10" s="151" t="s">
        <v>41</v>
      </c>
      <c r="J10" s="122">
        <f>J8*AVERAGE(G19:G20)*(D22^2)*1000/(2*D21)</f>
        <v>690.05557428929922</v>
      </c>
    </row>
    <row r="11" spans="2:12" ht="13" x14ac:dyDescent="0.3">
      <c r="B11" s="17" t="s">
        <v>1</v>
      </c>
      <c r="C11" s="2" t="s">
        <v>72</v>
      </c>
      <c r="D11" s="129">
        <v>219.2</v>
      </c>
      <c r="E11" s="85" t="s">
        <v>109</v>
      </c>
      <c r="F11" s="86" t="s">
        <v>112</v>
      </c>
      <c r="G11" s="137">
        <f>SUM(D8:D11)</f>
        <v>810</v>
      </c>
      <c r="H11" s="147"/>
      <c r="I11" s="152"/>
      <c r="J11" s="123"/>
      <c r="K11" s="1"/>
    </row>
    <row r="12" spans="2:12" x14ac:dyDescent="0.25">
      <c r="B12" s="17" t="s">
        <v>83</v>
      </c>
      <c r="C12" s="2" t="s">
        <v>73</v>
      </c>
      <c r="D12" s="130">
        <v>29</v>
      </c>
      <c r="E12" s="138" t="s">
        <v>115</v>
      </c>
      <c r="F12" s="90" t="s">
        <v>116</v>
      </c>
      <c r="G12" s="137">
        <f>SUM(D12:D15)</f>
        <v>128</v>
      </c>
      <c r="H12" s="144" t="s">
        <v>47</v>
      </c>
      <c r="I12" s="151" t="s">
        <v>142</v>
      </c>
      <c r="J12" s="120">
        <f>G8*C1*D28/D20</f>
        <v>98.155102040816331</v>
      </c>
    </row>
    <row r="13" spans="2:12" x14ac:dyDescent="0.25">
      <c r="B13" s="17" t="s">
        <v>84</v>
      </c>
      <c r="C13" s="2" t="s">
        <v>74</v>
      </c>
      <c r="D13" s="129">
        <v>29</v>
      </c>
      <c r="E13" s="136" t="s">
        <v>106</v>
      </c>
      <c r="F13" s="2" t="s">
        <v>64</v>
      </c>
      <c r="G13" s="7">
        <f>0.17512678*D16</f>
        <v>37.6522577</v>
      </c>
      <c r="H13" s="144" t="s">
        <v>50</v>
      </c>
      <c r="I13" s="151" t="s">
        <v>143</v>
      </c>
      <c r="J13" s="120">
        <f>G9*C1*D29/D21</f>
        <v>280.2315789473684</v>
      </c>
    </row>
    <row r="14" spans="2:12" x14ac:dyDescent="0.25">
      <c r="B14" s="17" t="s">
        <v>85</v>
      </c>
      <c r="C14" s="2" t="s">
        <v>75</v>
      </c>
      <c r="D14" s="129">
        <v>35</v>
      </c>
      <c r="E14" s="136" t="s">
        <v>107</v>
      </c>
      <c r="F14" s="2" t="s">
        <v>65</v>
      </c>
      <c r="G14" s="7">
        <f>0.17512678*D17</f>
        <v>37.126877360000002</v>
      </c>
      <c r="H14" s="144" t="s">
        <v>48</v>
      </c>
      <c r="I14" s="151" t="s">
        <v>144</v>
      </c>
      <c r="J14" s="120">
        <f xml:space="preserve"> (SUM(D12:D13)*C1*D24)/D20</f>
        <v>79.542857142857159</v>
      </c>
    </row>
    <row r="15" spans="2:12" x14ac:dyDescent="0.25">
      <c r="B15" s="17" t="s">
        <v>5</v>
      </c>
      <c r="C15" s="2" t="s">
        <v>76</v>
      </c>
      <c r="D15" s="129">
        <v>35</v>
      </c>
      <c r="E15" s="17" t="s">
        <v>89</v>
      </c>
      <c r="F15" s="2" t="s">
        <v>66</v>
      </c>
      <c r="G15" s="7">
        <f>0.17512678*D18</f>
        <v>58.842598080000002</v>
      </c>
      <c r="H15" s="144" t="s">
        <v>49</v>
      </c>
      <c r="I15" s="151" t="s">
        <v>145</v>
      </c>
      <c r="J15" s="120">
        <f xml:space="preserve"> (SUM(D14:D15)*C1*D25)/D21</f>
        <v>92.84210526315789</v>
      </c>
    </row>
    <row r="16" spans="2:12" x14ac:dyDescent="0.25">
      <c r="B16" s="17" t="s">
        <v>97</v>
      </c>
      <c r="C16" s="2" t="s">
        <v>99</v>
      </c>
      <c r="D16" s="129">
        <v>215</v>
      </c>
      <c r="E16" s="17" t="s">
        <v>90</v>
      </c>
      <c r="F16" s="2" t="s">
        <v>67</v>
      </c>
      <c r="G16" s="7">
        <f>0.17512678*D19</f>
        <v>59.017724860000001</v>
      </c>
      <c r="H16" s="144"/>
      <c r="I16" s="153" t="s">
        <v>146</v>
      </c>
      <c r="J16" s="124">
        <f>J9+J12+J14</f>
        <v>686.01600481650723</v>
      </c>
    </row>
    <row r="17" spans="2:10" x14ac:dyDescent="0.25">
      <c r="B17" s="17" t="s">
        <v>98</v>
      </c>
      <c r="C17" s="2" t="s">
        <v>100</v>
      </c>
      <c r="D17" s="129">
        <v>212</v>
      </c>
      <c r="E17" s="17" t="s">
        <v>91</v>
      </c>
      <c r="F17" s="2" t="s">
        <v>68</v>
      </c>
      <c r="G17" s="139">
        <f>G13*D4^2</f>
        <v>28.498993853129999</v>
      </c>
      <c r="H17" s="144"/>
      <c r="I17" s="153" t="s">
        <v>147</v>
      </c>
      <c r="J17" s="124">
        <f>J10+J13+J15</f>
        <v>1063.1292584998255</v>
      </c>
    </row>
    <row r="18" spans="2:10" x14ac:dyDescent="0.25">
      <c r="B18" s="17" t="s">
        <v>89</v>
      </c>
      <c r="C18" s="2" t="s">
        <v>101</v>
      </c>
      <c r="D18" s="129">
        <v>336</v>
      </c>
      <c r="E18" s="17" t="s">
        <v>92</v>
      </c>
      <c r="F18" s="2" t="s">
        <v>93</v>
      </c>
      <c r="G18" s="139">
        <f>G14*D5^2</f>
        <v>24.964112336863998</v>
      </c>
      <c r="H18" s="144"/>
      <c r="I18" s="153" t="s">
        <v>148</v>
      </c>
      <c r="J18" s="125">
        <f>J16+J17</f>
        <v>1749.1452633163326</v>
      </c>
    </row>
    <row r="19" spans="2:10" x14ac:dyDescent="0.25">
      <c r="B19" s="17" t="s">
        <v>90</v>
      </c>
      <c r="C19" s="2" t="s">
        <v>102</v>
      </c>
      <c r="D19" s="129">
        <v>337</v>
      </c>
      <c r="E19" s="17" t="s">
        <v>103</v>
      </c>
      <c r="F19" s="2" t="s">
        <v>94</v>
      </c>
      <c r="G19" s="140">
        <f>G15*D6^2</f>
        <v>61.219839042432</v>
      </c>
      <c r="H19" s="144" t="s">
        <v>96</v>
      </c>
      <c r="I19" s="150" t="s">
        <v>42</v>
      </c>
      <c r="J19" s="120">
        <f>(D8*9.81)+J16</f>
        <v>2508.7140048165074</v>
      </c>
    </row>
    <row r="20" spans="2:10" x14ac:dyDescent="0.25">
      <c r="B20" s="17" t="s">
        <v>10</v>
      </c>
      <c r="C20" s="5" t="s">
        <v>158</v>
      </c>
      <c r="D20" s="129">
        <v>1.47</v>
      </c>
      <c r="E20" s="17" t="s">
        <v>104</v>
      </c>
      <c r="F20" s="2" t="s">
        <v>95</v>
      </c>
      <c r="G20" s="120">
        <f>G16*D7^2</f>
        <v>61.402040944344002</v>
      </c>
      <c r="H20" s="146" t="s">
        <v>108</v>
      </c>
      <c r="I20" s="150" t="s">
        <v>43</v>
      </c>
      <c r="J20" s="120">
        <f>(D9*9.81)-J16</f>
        <v>1336.8059951834925</v>
      </c>
    </row>
    <row r="21" spans="2:10" x14ac:dyDescent="0.25">
      <c r="B21" s="17" t="s">
        <v>11</v>
      </c>
      <c r="C21" s="5" t="s">
        <v>159</v>
      </c>
      <c r="D21" s="129">
        <v>1.52</v>
      </c>
      <c r="E21" s="17" t="s">
        <v>25</v>
      </c>
      <c r="F21" s="5" t="s">
        <v>110</v>
      </c>
      <c r="G21" s="132">
        <f>(G9*D23)/G10</f>
        <v>1.3011730205278591</v>
      </c>
      <c r="H21" s="146" t="s">
        <v>105</v>
      </c>
      <c r="I21" s="150" t="s">
        <v>44</v>
      </c>
      <c r="J21" s="120">
        <f>(D10*9.81)+J17</f>
        <v>3013.3572584998255</v>
      </c>
    </row>
    <row r="22" spans="2:10" x14ac:dyDescent="0.25">
      <c r="B22" s="17" t="s">
        <v>12</v>
      </c>
      <c r="C22" s="5" t="s">
        <v>160</v>
      </c>
      <c r="D22" s="129">
        <v>1.1499999999999999</v>
      </c>
      <c r="E22" s="17" t="s">
        <v>26</v>
      </c>
      <c r="F22" s="2" t="s">
        <v>35</v>
      </c>
      <c r="G22" s="129">
        <f>D29-D28</f>
        <v>0.11000000000000001</v>
      </c>
      <c r="H22" s="144" t="s">
        <v>29</v>
      </c>
      <c r="I22" s="150" t="s">
        <v>45</v>
      </c>
      <c r="J22" s="120">
        <f>(D11 *9.81)-J17</f>
        <v>1087.2227415001744</v>
      </c>
    </row>
    <row r="23" spans="2:10" x14ac:dyDescent="0.25">
      <c r="B23" s="17" t="s">
        <v>15</v>
      </c>
      <c r="C23" s="5" t="s">
        <v>161</v>
      </c>
      <c r="D23" s="129">
        <v>2.5499999999999998</v>
      </c>
      <c r="E23" s="17" t="s">
        <v>27</v>
      </c>
      <c r="F23" s="2" t="s">
        <v>32</v>
      </c>
      <c r="G23" s="132">
        <f>G22*G21/D23</f>
        <v>5.6129032258064523E-2</v>
      </c>
      <c r="H23" s="144"/>
      <c r="I23" s="154" t="s">
        <v>149</v>
      </c>
      <c r="J23" s="124">
        <f>SUM(J19:J22)</f>
        <v>7946.1</v>
      </c>
    </row>
    <row r="24" spans="2:10" ht="13" thickBot="1" x14ac:dyDescent="0.3">
      <c r="B24" s="85" t="s">
        <v>157</v>
      </c>
      <c r="C24" s="86" t="s">
        <v>162</v>
      </c>
      <c r="D24" s="129">
        <v>0.28000000000000003</v>
      </c>
      <c r="E24" s="17" t="s">
        <v>28</v>
      </c>
      <c r="F24" s="2" t="s">
        <v>33</v>
      </c>
      <c r="G24" s="132">
        <f>G23+D28</f>
        <v>0.11612903225806452</v>
      </c>
      <c r="H24" s="144"/>
      <c r="I24" s="151" t="s">
        <v>150</v>
      </c>
      <c r="J24" s="120">
        <f>G11*9.81</f>
        <v>7946.1</v>
      </c>
    </row>
    <row r="25" spans="2:10" ht="13" thickBot="1" x14ac:dyDescent="0.3">
      <c r="B25" s="87" t="s">
        <v>120</v>
      </c>
      <c r="C25" s="88" t="s">
        <v>163</v>
      </c>
      <c r="D25" s="131">
        <v>0.28000000000000003</v>
      </c>
      <c r="E25" s="17" t="s">
        <v>60</v>
      </c>
      <c r="F25" s="2" t="s">
        <v>34</v>
      </c>
      <c r="G25" s="132">
        <f>D27-G24</f>
        <v>0.3657771260997067</v>
      </c>
      <c r="H25" s="144" t="s">
        <v>57</v>
      </c>
      <c r="I25" s="150" t="s">
        <v>58</v>
      </c>
      <c r="J25" s="84">
        <f>G11*C1*D26/ AVERAGE(D20:D21)</f>
        <v>1755.4515050167224</v>
      </c>
    </row>
    <row r="26" spans="2:10" x14ac:dyDescent="0.25">
      <c r="B26" s="17" t="s">
        <v>59</v>
      </c>
      <c r="C26" s="5" t="s">
        <v>164</v>
      </c>
      <c r="D26" s="129">
        <v>0.45</v>
      </c>
      <c r="E26" s="141"/>
      <c r="F26" s="2"/>
      <c r="G26" s="135"/>
      <c r="H26" s="144"/>
      <c r="I26" s="17"/>
      <c r="J26" s="93"/>
    </row>
    <row r="27" spans="2:10" x14ac:dyDescent="0.25">
      <c r="B27" s="17" t="s">
        <v>53</v>
      </c>
      <c r="C27" s="5" t="s">
        <v>165</v>
      </c>
      <c r="D27" s="172">
        <f>((D26*G11)-(SUM(D12:D13)*D24)-( SUM(D14:D15)*D25))/G10</f>
        <v>0.48190615835777123</v>
      </c>
      <c r="E27" s="17"/>
      <c r="F27" s="2"/>
      <c r="G27" s="135"/>
      <c r="I27" s="141"/>
      <c r="J27" s="163"/>
    </row>
    <row r="28" spans="2:10" x14ac:dyDescent="0.25">
      <c r="B28" s="17" t="s">
        <v>21</v>
      </c>
      <c r="C28" s="5" t="s">
        <v>166</v>
      </c>
      <c r="D28" s="129">
        <v>0.06</v>
      </c>
      <c r="E28" s="17"/>
      <c r="F28" s="2"/>
      <c r="G28" s="135"/>
      <c r="H28" s="144"/>
      <c r="I28" s="17"/>
      <c r="J28" s="92"/>
    </row>
    <row r="29" spans="2:10" ht="13" thickBot="1" x14ac:dyDescent="0.3">
      <c r="B29" s="126" t="s">
        <v>22</v>
      </c>
      <c r="C29" s="155" t="s">
        <v>167</v>
      </c>
      <c r="D29" s="133">
        <v>0.17</v>
      </c>
      <c r="E29" s="126"/>
      <c r="F29" s="20"/>
      <c r="G29" s="142"/>
      <c r="H29" s="148"/>
      <c r="I29" s="126"/>
      <c r="J29" s="95"/>
    </row>
    <row r="31" spans="2:10" x14ac:dyDescent="0.25">
      <c r="F31" s="14" t="s">
        <v>168</v>
      </c>
    </row>
    <row r="32" spans="2:10" x14ac:dyDescent="0.25">
      <c r="D32" s="110"/>
      <c r="E32" s="110"/>
    </row>
    <row r="33" spans="4:7" x14ac:dyDescent="0.25">
      <c r="D33" s="110"/>
      <c r="E33" s="110"/>
    </row>
    <row r="44" spans="4:7" x14ac:dyDescent="0.25">
      <c r="G44" s="14" t="s">
        <v>169</v>
      </c>
    </row>
  </sheetData>
  <pageMargins left="0.7" right="0.7" top="0.75" bottom="0.75" header="0.3" footer="0.3"/>
  <pageSetup paperSize="9" orientation="portrait" r:id="rId1"/>
  <ignoredErrors>
    <ignoredError sqref="G11:G12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23"/>
  <sheetViews>
    <sheetView workbookViewId="0">
      <selection activeCell="M17" sqref="B2:M17"/>
    </sheetView>
  </sheetViews>
  <sheetFormatPr defaultRowHeight="12.5" x14ac:dyDescent="0.25"/>
  <cols>
    <col min="2" max="2" width="3.81640625" customWidth="1"/>
    <col min="3" max="3" width="19.7265625" customWidth="1"/>
    <col min="8" max="8" width="12.26953125" customWidth="1"/>
    <col min="12" max="12" width="21.1796875" customWidth="1"/>
    <col min="13" max="13" width="3.81640625" customWidth="1"/>
  </cols>
  <sheetData>
    <row r="2" spans="2:13" ht="25" x14ac:dyDescent="0.5">
      <c r="C2" s="80" t="s">
        <v>141</v>
      </c>
      <c r="D2" s="80"/>
      <c r="E2" s="80"/>
      <c r="G2" s="14" t="s">
        <v>178</v>
      </c>
    </row>
    <row r="3" spans="2:13" ht="13" thickBot="1" x14ac:dyDescent="0.3"/>
    <row r="4" spans="2:13" ht="13" thickBot="1" x14ac:dyDescent="0.3">
      <c r="B4" s="160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2"/>
    </row>
    <row r="5" spans="2:13" ht="15.5" x14ac:dyDescent="0.35">
      <c r="B5" s="141"/>
      <c r="C5" s="21"/>
      <c r="D5" s="22"/>
      <c r="E5" s="22"/>
      <c r="F5" s="22"/>
      <c r="G5" s="22"/>
      <c r="H5" s="23">
        <f>H7/H11</f>
        <v>0.48395061728395061</v>
      </c>
      <c r="I5" s="24"/>
      <c r="J5" s="25"/>
      <c r="K5" s="24"/>
      <c r="L5" s="26"/>
      <c r="M5" s="163"/>
    </row>
    <row r="6" spans="2:13" ht="15.5" x14ac:dyDescent="0.35">
      <c r="B6" s="141"/>
      <c r="C6" s="27"/>
      <c r="D6" s="28"/>
      <c r="E6" s="29"/>
      <c r="F6" s="29"/>
      <c r="G6" s="29"/>
      <c r="H6" s="30" t="s">
        <v>123</v>
      </c>
      <c r="I6" s="29"/>
      <c r="J6" s="29"/>
      <c r="K6" s="29"/>
      <c r="L6" s="31"/>
      <c r="M6" s="163"/>
    </row>
    <row r="7" spans="2:13" ht="16" thickBot="1" x14ac:dyDescent="0.4">
      <c r="B7" s="141"/>
      <c r="C7" s="27"/>
      <c r="D7" s="29"/>
      <c r="E7" s="29"/>
      <c r="F7" s="29"/>
      <c r="G7" s="29"/>
      <c r="H7" s="32">
        <f>F9+J9</f>
        <v>3845.52</v>
      </c>
      <c r="I7" s="29"/>
      <c r="J7" s="29"/>
      <c r="K7" s="29"/>
      <c r="L7" s="31"/>
      <c r="M7" s="163"/>
    </row>
    <row r="8" spans="2:13" ht="16" thickBot="1" x14ac:dyDescent="0.4">
      <c r="B8" s="141"/>
      <c r="C8" s="27"/>
      <c r="D8" s="29"/>
      <c r="E8" s="33"/>
      <c r="F8" s="34">
        <f>F9/H11</f>
        <v>0.315716389778194</v>
      </c>
      <c r="G8" s="35" t="s">
        <v>124</v>
      </c>
      <c r="H8" s="36"/>
      <c r="I8" s="37" t="s">
        <v>125</v>
      </c>
      <c r="J8" s="38">
        <f>J9/H11</f>
        <v>0.16823422750575659</v>
      </c>
      <c r="K8" s="29"/>
      <c r="L8" s="31"/>
      <c r="M8" s="163"/>
    </row>
    <row r="9" spans="2:13" ht="16" thickBot="1" x14ac:dyDescent="0.4">
      <c r="B9" s="141"/>
      <c r="C9" s="39" t="s">
        <v>126</v>
      </c>
      <c r="D9" s="40" t="s">
        <v>127</v>
      </c>
      <c r="E9" s="41">
        <f>F9-J9</f>
        <v>1171.9080096330149</v>
      </c>
      <c r="F9" s="156">
        <f>' Q2 Live calc'!J19</f>
        <v>2508.7140048165074</v>
      </c>
      <c r="G9" s="42"/>
      <c r="H9" s="43"/>
      <c r="I9" s="44"/>
      <c r="J9" s="157">
        <f>' Q2 Live calc'!J20</f>
        <v>1336.8059951834925</v>
      </c>
      <c r="K9" s="29"/>
      <c r="L9" s="31"/>
      <c r="M9" s="163"/>
    </row>
    <row r="10" spans="2:13" ht="16" thickBot="1" x14ac:dyDescent="0.4">
      <c r="B10" s="141"/>
      <c r="C10" s="27"/>
      <c r="D10" s="45"/>
      <c r="E10" s="29"/>
      <c r="F10" s="45"/>
      <c r="G10" s="46"/>
      <c r="H10" s="43"/>
      <c r="I10" s="47"/>
      <c r="J10" s="48"/>
      <c r="K10" s="29"/>
      <c r="L10" s="31"/>
      <c r="M10" s="163"/>
    </row>
    <row r="11" spans="2:13" ht="16" thickBot="1" x14ac:dyDescent="0.4">
      <c r="B11" s="141"/>
      <c r="C11" s="27"/>
      <c r="D11" s="49" t="s">
        <v>128</v>
      </c>
      <c r="E11" s="50">
        <f>F11/H11</f>
        <v>0.69494107339655087</v>
      </c>
      <c r="F11" s="51">
        <f>F9+F13</f>
        <v>5522.071263316333</v>
      </c>
      <c r="G11" s="52"/>
      <c r="H11" s="159">
        <f>H7+H14</f>
        <v>7946.1</v>
      </c>
      <c r="I11" s="52"/>
      <c r="J11" s="53">
        <f>J9+J13</f>
        <v>2424.0287366836669</v>
      </c>
      <c r="K11" s="54">
        <f>J11/H11</f>
        <v>0.30505892660344908</v>
      </c>
      <c r="L11" s="55" t="s">
        <v>129</v>
      </c>
      <c r="M11" s="163"/>
    </row>
    <row r="12" spans="2:13" ht="16" thickBot="1" x14ac:dyDescent="0.4">
      <c r="B12" s="141"/>
      <c r="C12" s="56" t="s">
        <v>130</v>
      </c>
      <c r="D12" s="57" t="s">
        <v>131</v>
      </c>
      <c r="E12" s="58">
        <f>E13-E9</f>
        <v>754.22650736663627</v>
      </c>
      <c r="F12" s="59">
        <f>F13/H11</f>
        <v>0.37922468361835687</v>
      </c>
      <c r="G12" s="46"/>
      <c r="H12" s="43"/>
      <c r="I12" s="47"/>
      <c r="J12" s="60">
        <f>J13/H11</f>
        <v>0.13682469909769249</v>
      </c>
      <c r="K12" s="29"/>
      <c r="L12" s="31"/>
      <c r="M12" s="163"/>
    </row>
    <row r="13" spans="2:13" ht="16" thickBot="1" x14ac:dyDescent="0.4">
      <c r="B13" s="141"/>
      <c r="C13" s="39" t="s">
        <v>132</v>
      </c>
      <c r="D13" s="61" t="s">
        <v>133</v>
      </c>
      <c r="E13" s="41">
        <f>F13-J13</f>
        <v>1926.1345169996512</v>
      </c>
      <c r="F13" s="156">
        <f>' Q2 Live calc'!J21</f>
        <v>3013.3572584998255</v>
      </c>
      <c r="G13" s="62" t="s">
        <v>134</v>
      </c>
      <c r="H13" s="63"/>
      <c r="I13" s="64" t="s">
        <v>135</v>
      </c>
      <c r="J13" s="158">
        <f>' Q2 Live calc'!J22</f>
        <v>1087.2227415001744</v>
      </c>
      <c r="K13" s="29"/>
      <c r="L13" s="31"/>
      <c r="M13" s="163"/>
    </row>
    <row r="14" spans="2:13" ht="16" thickBot="1" x14ac:dyDescent="0.4">
      <c r="B14" s="141"/>
      <c r="C14" s="27"/>
      <c r="D14" s="65"/>
      <c r="E14" s="66" t="s">
        <v>136</v>
      </c>
      <c r="F14" s="67">
        <f>F13-F9</f>
        <v>504.64325368331811</v>
      </c>
      <c r="G14" s="33"/>
      <c r="H14" s="68">
        <f>F13+J13</f>
        <v>4100.58</v>
      </c>
      <c r="I14" s="33"/>
      <c r="J14" s="69">
        <f>J13-J9</f>
        <v>-249.58325368331816</v>
      </c>
      <c r="K14" s="70" t="s">
        <v>137</v>
      </c>
      <c r="L14" s="55"/>
      <c r="M14" s="163"/>
    </row>
    <row r="15" spans="2:13" ht="16" thickBot="1" x14ac:dyDescent="0.4">
      <c r="B15" s="141"/>
      <c r="C15" s="27"/>
      <c r="D15" s="45"/>
      <c r="E15" s="71" t="s">
        <v>138</v>
      </c>
      <c r="F15" s="72">
        <f>(F13+J9)/H11</f>
        <v>0.54745891112411349</v>
      </c>
      <c r="G15" s="29"/>
      <c r="H15" s="73" t="s">
        <v>139</v>
      </c>
      <c r="I15" s="29"/>
      <c r="J15" s="29"/>
      <c r="K15" s="29"/>
      <c r="L15" s="31"/>
      <c r="M15" s="163"/>
    </row>
    <row r="16" spans="2:13" ht="16" thickBot="1" x14ac:dyDescent="0.4">
      <c r="B16" s="141"/>
      <c r="C16" s="74"/>
      <c r="D16" s="65"/>
      <c r="E16" s="66" t="s">
        <v>140</v>
      </c>
      <c r="F16" s="75">
        <f>F13-J9</f>
        <v>1676.551263316333</v>
      </c>
      <c r="G16" s="76"/>
      <c r="H16" s="77">
        <f>H14/H11</f>
        <v>0.51604938271604939</v>
      </c>
      <c r="I16" s="76"/>
      <c r="J16" s="76"/>
      <c r="K16" s="78"/>
      <c r="L16" s="79"/>
      <c r="M16" s="163"/>
    </row>
    <row r="17" spans="2:13" ht="13" thickBot="1" x14ac:dyDescent="0.3">
      <c r="B17" s="18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64"/>
    </row>
    <row r="23" spans="2:13" x14ac:dyDescent="0.25">
      <c r="J23" s="1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44"/>
  <sheetViews>
    <sheetView tabSelected="1" topLeftCell="B1" workbookViewId="0">
      <selection activeCell="R46" sqref="R46"/>
    </sheetView>
  </sheetViews>
  <sheetFormatPr defaultRowHeight="12.5" x14ac:dyDescent="0.25"/>
  <cols>
    <col min="3" max="3" width="49.81640625" customWidth="1"/>
    <col min="5" max="5" width="7.453125" customWidth="1"/>
    <col min="6" max="6" width="41.7265625" customWidth="1"/>
    <col min="7" max="7" width="13.7265625" customWidth="1"/>
    <col min="8" max="8" width="7.1796875" customWidth="1"/>
    <col min="9" max="9" width="53.453125" customWidth="1"/>
    <col min="10" max="10" width="12.1796875" customWidth="1"/>
    <col min="11" max="11" width="7.453125" customWidth="1"/>
  </cols>
  <sheetData>
    <row r="1" spans="2:12" ht="24.5" thickBot="1" x14ac:dyDescent="0.4">
      <c r="B1" s="166" t="s">
        <v>172</v>
      </c>
      <c r="C1" s="165">
        <v>7.2</v>
      </c>
      <c r="D1" s="115" t="s">
        <v>156</v>
      </c>
      <c r="F1" s="113"/>
      <c r="G1" s="96"/>
    </row>
    <row r="2" spans="2:12" ht="13" thickBot="1" x14ac:dyDescent="0.3"/>
    <row r="3" spans="2:12" ht="16" thickBot="1" x14ac:dyDescent="0.4">
      <c r="B3" s="111" t="s">
        <v>17</v>
      </c>
      <c r="C3" s="4"/>
      <c r="D3" s="112"/>
      <c r="E3" s="127" t="s">
        <v>18</v>
      </c>
      <c r="F3" s="4"/>
      <c r="G3" s="4"/>
      <c r="H3" s="4" t="s">
        <v>20</v>
      </c>
      <c r="I3" s="4"/>
      <c r="J3" s="112"/>
    </row>
    <row r="4" spans="2:12" x14ac:dyDescent="0.25">
      <c r="B4" s="116" t="s">
        <v>77</v>
      </c>
      <c r="C4" s="117" t="s">
        <v>152</v>
      </c>
      <c r="D4" s="128">
        <v>0.87</v>
      </c>
      <c r="E4" s="116" t="s">
        <v>86</v>
      </c>
      <c r="F4" s="118" t="s">
        <v>61</v>
      </c>
      <c r="G4" s="134">
        <f>D8-D12</f>
        <v>146.6</v>
      </c>
      <c r="H4" s="143" t="s">
        <v>56</v>
      </c>
      <c r="I4" s="149" t="s">
        <v>114</v>
      </c>
      <c r="J4" s="119">
        <f>(D20^2*AVERAGE(G17:G18)*1000)/2</f>
        <v>28882.106541489502</v>
      </c>
    </row>
    <row r="5" spans="2:12" ht="12" customHeight="1" x14ac:dyDescent="0.25">
      <c r="B5" s="17" t="s">
        <v>78</v>
      </c>
      <c r="C5" s="5" t="s">
        <v>153</v>
      </c>
      <c r="D5" s="129">
        <v>0.82</v>
      </c>
      <c r="E5" s="17" t="s">
        <v>87</v>
      </c>
      <c r="F5" s="2" t="s">
        <v>2</v>
      </c>
      <c r="G5" s="135">
        <f>D9-D13</f>
        <v>167.6</v>
      </c>
      <c r="H5" s="144" t="s">
        <v>30</v>
      </c>
      <c r="I5" s="150" t="s">
        <v>39</v>
      </c>
      <c r="J5" s="120">
        <f>(D22^2*AVERAGE(G19:G20)*1000)/2</f>
        <v>40541.859070627805</v>
      </c>
    </row>
    <row r="6" spans="2:12" x14ac:dyDescent="0.25">
      <c r="B6" s="17" t="s">
        <v>79</v>
      </c>
      <c r="C6" s="5" t="s">
        <v>154</v>
      </c>
      <c r="D6" s="129">
        <v>1.02</v>
      </c>
      <c r="E6" s="17" t="s">
        <v>88</v>
      </c>
      <c r="F6" s="2" t="s">
        <v>63</v>
      </c>
      <c r="G6" s="135">
        <f>D10-D14</f>
        <v>143.69999999999999</v>
      </c>
      <c r="H6" s="144" t="s">
        <v>31</v>
      </c>
      <c r="I6" s="150" t="s">
        <v>38</v>
      </c>
      <c r="J6" s="120">
        <f>SUM(J4:J5)</f>
        <v>69423.965612117303</v>
      </c>
    </row>
    <row r="7" spans="2:12" x14ac:dyDescent="0.25">
      <c r="B7" s="17" t="s">
        <v>46</v>
      </c>
      <c r="C7" s="5" t="s">
        <v>155</v>
      </c>
      <c r="D7" s="129">
        <v>1.02</v>
      </c>
      <c r="E7" s="17" t="s">
        <v>0</v>
      </c>
      <c r="F7" s="2" t="s">
        <v>62</v>
      </c>
      <c r="G7" s="135">
        <f>D11-D15</f>
        <v>173.2</v>
      </c>
      <c r="H7" s="144" t="s">
        <v>36</v>
      </c>
      <c r="I7" s="150" t="s">
        <v>37</v>
      </c>
      <c r="J7" s="120">
        <f>G10*C1*G25</f>
        <v>1677.8159999999996</v>
      </c>
    </row>
    <row r="8" spans="2:12" ht="13" x14ac:dyDescent="0.3">
      <c r="B8" s="17" t="s">
        <v>80</v>
      </c>
      <c r="C8" s="2" t="s">
        <v>69</v>
      </c>
      <c r="D8" s="129">
        <v>175.6</v>
      </c>
      <c r="E8" s="136" t="s">
        <v>7</v>
      </c>
      <c r="F8" s="2" t="s">
        <v>3</v>
      </c>
      <c r="G8" s="135">
        <f>G4+G5</f>
        <v>314.2</v>
      </c>
      <c r="H8" s="145" t="s">
        <v>151</v>
      </c>
      <c r="I8" s="151" t="s">
        <v>118</v>
      </c>
      <c r="J8" s="121">
        <f>J7/J6</f>
        <v>2.4167677331690087E-2</v>
      </c>
      <c r="K8" s="99">
        <f>J8*180/3.142</f>
        <v>1.3845263907397249</v>
      </c>
      <c r="L8" s="100" t="s">
        <v>117</v>
      </c>
    </row>
    <row r="9" spans="2:12" x14ac:dyDescent="0.25">
      <c r="B9" s="17" t="s">
        <v>81</v>
      </c>
      <c r="C9" s="2" t="s">
        <v>70</v>
      </c>
      <c r="D9" s="129">
        <v>196.6</v>
      </c>
      <c r="E9" s="17" t="s">
        <v>6</v>
      </c>
      <c r="F9" s="2" t="s">
        <v>4</v>
      </c>
      <c r="G9" s="135">
        <f>G6+G7</f>
        <v>316.89999999999998</v>
      </c>
      <c r="H9" s="144" t="s">
        <v>16</v>
      </c>
      <c r="I9" s="150" t="s">
        <v>40</v>
      </c>
      <c r="J9" s="122">
        <f>J8*AVERAGE(G17:G18)*D20*1000/2</f>
        <v>474.83906908449922</v>
      </c>
    </row>
    <row r="10" spans="2:12" x14ac:dyDescent="0.25">
      <c r="B10" s="17" t="s">
        <v>82</v>
      </c>
      <c r="C10" s="2" t="s">
        <v>71</v>
      </c>
      <c r="D10" s="129">
        <v>178.7</v>
      </c>
      <c r="E10" s="85" t="s">
        <v>113</v>
      </c>
      <c r="F10" s="86" t="s">
        <v>111</v>
      </c>
      <c r="G10" s="129">
        <f>G8+G9</f>
        <v>631.09999999999991</v>
      </c>
      <c r="H10" s="146" t="s">
        <v>19</v>
      </c>
      <c r="I10" s="151" t="s">
        <v>41</v>
      </c>
      <c r="J10" s="122">
        <f>J8*AVERAGE(G19:G20)*(D22^2)*1000/(2*D21)</f>
        <v>644.60695292485912</v>
      </c>
    </row>
    <row r="11" spans="2:12" ht="13" x14ac:dyDescent="0.3">
      <c r="B11" s="17" t="s">
        <v>1</v>
      </c>
      <c r="C11" s="2" t="s">
        <v>72</v>
      </c>
      <c r="D11" s="129">
        <v>208.2</v>
      </c>
      <c r="E11" s="85" t="s">
        <v>109</v>
      </c>
      <c r="F11" s="86" t="s">
        <v>112</v>
      </c>
      <c r="G11" s="137">
        <f>SUM(D8:D11)</f>
        <v>759.09999999999991</v>
      </c>
      <c r="H11" s="147"/>
      <c r="I11" s="152"/>
      <c r="J11" s="123"/>
      <c r="K11" s="1"/>
    </row>
    <row r="12" spans="2:12" x14ac:dyDescent="0.25">
      <c r="B12" s="17" t="s">
        <v>83</v>
      </c>
      <c r="C12" s="2" t="s">
        <v>73</v>
      </c>
      <c r="D12" s="130">
        <v>29</v>
      </c>
      <c r="E12" s="138" t="s">
        <v>115</v>
      </c>
      <c r="F12" s="90" t="s">
        <v>116</v>
      </c>
      <c r="G12" s="137">
        <f>SUM(D12:D15)</f>
        <v>128</v>
      </c>
      <c r="H12" s="144" t="s">
        <v>47</v>
      </c>
      <c r="I12" s="151" t="s">
        <v>142</v>
      </c>
      <c r="J12" s="120">
        <f>G8*C1*D28/D20</f>
        <v>92.33632653061224</v>
      </c>
    </row>
    <row r="13" spans="2:12" x14ac:dyDescent="0.25">
      <c r="B13" s="17" t="s">
        <v>84</v>
      </c>
      <c r="C13" s="2" t="s">
        <v>74</v>
      </c>
      <c r="D13" s="129">
        <v>29</v>
      </c>
      <c r="E13" s="136" t="s">
        <v>106</v>
      </c>
      <c r="F13" s="2" t="s">
        <v>64</v>
      </c>
      <c r="G13" s="7">
        <f>0.17512678*D16</f>
        <v>37.6522577</v>
      </c>
      <c r="H13" s="144" t="s">
        <v>50</v>
      </c>
      <c r="I13" s="151" t="s">
        <v>143</v>
      </c>
      <c r="J13" s="120">
        <f>G9*C1*D29/D21</f>
        <v>255.18789473684211</v>
      </c>
    </row>
    <row r="14" spans="2:12" x14ac:dyDescent="0.25">
      <c r="B14" s="17" t="s">
        <v>85</v>
      </c>
      <c r="C14" s="2" t="s">
        <v>75</v>
      </c>
      <c r="D14" s="129">
        <v>35</v>
      </c>
      <c r="E14" s="136" t="s">
        <v>107</v>
      </c>
      <c r="F14" s="2" t="s">
        <v>65</v>
      </c>
      <c r="G14" s="7">
        <f>0.17512678*D17</f>
        <v>37.126877360000002</v>
      </c>
      <c r="H14" s="144" t="s">
        <v>48</v>
      </c>
      <c r="I14" s="151" t="s">
        <v>144</v>
      </c>
      <c r="J14" s="120">
        <f xml:space="preserve"> (SUM(D12:D13)*C1*D24)/D20</f>
        <v>79.542857142857159</v>
      </c>
    </row>
    <row r="15" spans="2:12" x14ac:dyDescent="0.25">
      <c r="B15" s="17" t="s">
        <v>5</v>
      </c>
      <c r="C15" s="2" t="s">
        <v>76</v>
      </c>
      <c r="D15" s="129">
        <v>35</v>
      </c>
      <c r="E15" s="17" t="s">
        <v>89</v>
      </c>
      <c r="F15" s="2" t="s">
        <v>66</v>
      </c>
      <c r="G15" s="7">
        <f>0.17512678*D18</f>
        <v>58.842598080000002</v>
      </c>
      <c r="H15" s="144" t="s">
        <v>49</v>
      </c>
      <c r="I15" s="151" t="s">
        <v>145</v>
      </c>
      <c r="J15" s="120">
        <f xml:space="preserve"> (SUM(D14:D15)*C1*D25)/D21</f>
        <v>92.84210526315789</v>
      </c>
    </row>
    <row r="16" spans="2:12" x14ac:dyDescent="0.25">
      <c r="B16" s="17" t="s">
        <v>97</v>
      </c>
      <c r="C16" s="2" t="s">
        <v>99</v>
      </c>
      <c r="D16" s="129">
        <v>215</v>
      </c>
      <c r="E16" s="17" t="s">
        <v>90</v>
      </c>
      <c r="F16" s="2" t="s">
        <v>67</v>
      </c>
      <c r="G16" s="7">
        <f>0.17512678*D19</f>
        <v>59.017724860000001</v>
      </c>
      <c r="H16" s="144"/>
      <c r="I16" s="153" t="s">
        <v>146</v>
      </c>
      <c r="J16" s="124">
        <f>J9+J12+J14</f>
        <v>646.71825275796868</v>
      </c>
    </row>
    <row r="17" spans="2:10" x14ac:dyDescent="0.25">
      <c r="B17" s="17" t="s">
        <v>98</v>
      </c>
      <c r="C17" s="2" t="s">
        <v>100</v>
      </c>
      <c r="D17" s="129">
        <v>212</v>
      </c>
      <c r="E17" s="17" t="s">
        <v>91</v>
      </c>
      <c r="F17" s="2" t="s">
        <v>68</v>
      </c>
      <c r="G17" s="139">
        <f>G13*D4^2</f>
        <v>28.498993853129999</v>
      </c>
      <c r="H17" s="144"/>
      <c r="I17" s="153" t="s">
        <v>147</v>
      </c>
      <c r="J17" s="124">
        <f>J10+J13+J15</f>
        <v>992.63695292485909</v>
      </c>
    </row>
    <row r="18" spans="2:10" x14ac:dyDescent="0.25">
      <c r="B18" s="17" t="s">
        <v>89</v>
      </c>
      <c r="C18" s="2" t="s">
        <v>101</v>
      </c>
      <c r="D18" s="129">
        <v>336</v>
      </c>
      <c r="E18" s="17" t="s">
        <v>92</v>
      </c>
      <c r="F18" s="2" t="s">
        <v>93</v>
      </c>
      <c r="G18" s="139">
        <f>G14*D5^2</f>
        <v>24.964112336863998</v>
      </c>
      <c r="H18" s="144"/>
      <c r="I18" s="153" t="s">
        <v>148</v>
      </c>
      <c r="J18" s="125">
        <f>J16+J17</f>
        <v>1639.3552056828278</v>
      </c>
    </row>
    <row r="19" spans="2:10" x14ac:dyDescent="0.25">
      <c r="B19" s="17" t="s">
        <v>90</v>
      </c>
      <c r="C19" s="2" t="s">
        <v>102</v>
      </c>
      <c r="D19" s="129">
        <v>337</v>
      </c>
      <c r="E19" s="17" t="s">
        <v>103</v>
      </c>
      <c r="F19" s="2" t="s">
        <v>94</v>
      </c>
      <c r="G19" s="140">
        <f>G15*D6^2</f>
        <v>61.219839042432</v>
      </c>
      <c r="H19" s="144" t="s">
        <v>96</v>
      </c>
      <c r="I19" s="150" t="s">
        <v>42</v>
      </c>
      <c r="J19" s="120">
        <f>(D8*9.81)+J16</f>
        <v>2369.3542527579684</v>
      </c>
    </row>
    <row r="20" spans="2:10" x14ac:dyDescent="0.25">
      <c r="B20" s="17" t="s">
        <v>10</v>
      </c>
      <c r="C20" s="5" t="s">
        <v>158</v>
      </c>
      <c r="D20" s="129">
        <v>1.47</v>
      </c>
      <c r="E20" s="17" t="s">
        <v>104</v>
      </c>
      <c r="F20" s="2" t="s">
        <v>95</v>
      </c>
      <c r="G20" s="120">
        <f>G16*D7^2</f>
        <v>61.402040944344002</v>
      </c>
      <c r="H20" s="146" t="s">
        <v>108</v>
      </c>
      <c r="I20" s="150" t="s">
        <v>43</v>
      </c>
      <c r="J20" s="120">
        <f>(D9*9.81)-J16</f>
        <v>1281.9277472420313</v>
      </c>
    </row>
    <row r="21" spans="2:10" x14ac:dyDescent="0.25">
      <c r="B21" s="17" t="s">
        <v>11</v>
      </c>
      <c r="C21" s="5" t="s">
        <v>159</v>
      </c>
      <c r="D21" s="129">
        <v>1.52</v>
      </c>
      <c r="E21" s="17" t="s">
        <v>25</v>
      </c>
      <c r="F21" s="5" t="s">
        <v>110</v>
      </c>
      <c r="G21" s="132">
        <f>(G9*D23)/G10</f>
        <v>1.2804547615274917</v>
      </c>
      <c r="H21" s="146" t="s">
        <v>105</v>
      </c>
      <c r="I21" s="150" t="s">
        <v>44</v>
      </c>
      <c r="J21" s="120">
        <f>(D10*9.81)+J17</f>
        <v>2745.6839529248591</v>
      </c>
    </row>
    <row r="22" spans="2:10" x14ac:dyDescent="0.25">
      <c r="B22" s="17" t="s">
        <v>12</v>
      </c>
      <c r="C22" s="5" t="s">
        <v>160</v>
      </c>
      <c r="D22" s="129">
        <v>1.1499999999999999</v>
      </c>
      <c r="E22" s="17" t="s">
        <v>26</v>
      </c>
      <c r="F22" s="2" t="s">
        <v>35</v>
      </c>
      <c r="G22" s="129">
        <f>D29-D28</f>
        <v>0.11000000000000001</v>
      </c>
      <c r="H22" s="144" t="s">
        <v>29</v>
      </c>
      <c r="I22" s="150" t="s">
        <v>45</v>
      </c>
      <c r="J22" s="120">
        <f>(D11 *9.81)-J17</f>
        <v>1049.8050470751409</v>
      </c>
    </row>
    <row r="23" spans="2:10" x14ac:dyDescent="0.25">
      <c r="B23" s="17" t="s">
        <v>15</v>
      </c>
      <c r="C23" s="5" t="s">
        <v>161</v>
      </c>
      <c r="D23" s="129">
        <v>2.5499999999999998</v>
      </c>
      <c r="E23" s="17" t="s">
        <v>27</v>
      </c>
      <c r="F23" s="2" t="s">
        <v>32</v>
      </c>
      <c r="G23" s="132">
        <f>G22*G21/D23</f>
        <v>5.5235303438440832E-2</v>
      </c>
      <c r="H23" s="144"/>
      <c r="I23" s="154" t="s">
        <v>149</v>
      </c>
      <c r="J23" s="124">
        <f>SUM(J19:J22)</f>
        <v>7446.7709999999988</v>
      </c>
    </row>
    <row r="24" spans="2:10" ht="13" thickBot="1" x14ac:dyDescent="0.3">
      <c r="B24" s="85" t="s">
        <v>157</v>
      </c>
      <c r="C24" s="86" t="s">
        <v>162</v>
      </c>
      <c r="D24" s="129">
        <v>0.28000000000000003</v>
      </c>
      <c r="E24" s="17" t="s">
        <v>28</v>
      </c>
      <c r="F24" s="2" t="s">
        <v>33</v>
      </c>
      <c r="G24" s="132">
        <f>G23+D28</f>
        <v>0.11523530343844082</v>
      </c>
      <c r="H24" s="144"/>
      <c r="I24" s="151" t="s">
        <v>150</v>
      </c>
      <c r="J24" s="120">
        <f>G11*9.81</f>
        <v>7446.7709999999997</v>
      </c>
    </row>
    <row r="25" spans="2:10" ht="13" thickBot="1" x14ac:dyDescent="0.3">
      <c r="B25" s="87" t="s">
        <v>120</v>
      </c>
      <c r="C25" s="88" t="s">
        <v>163</v>
      </c>
      <c r="D25" s="131">
        <v>0.28000000000000003</v>
      </c>
      <c r="E25" s="17" t="s">
        <v>60</v>
      </c>
      <c r="F25" s="2" t="s">
        <v>34</v>
      </c>
      <c r="G25" s="132">
        <f>D27-G24</f>
        <v>0.36924417683409916</v>
      </c>
      <c r="H25" s="144" t="s">
        <v>57</v>
      </c>
      <c r="I25" s="150" t="s">
        <v>58</v>
      </c>
      <c r="J25" s="84">
        <f>G11*C1*D26/ AVERAGE(D20:D21)</f>
        <v>1645.1397993311034</v>
      </c>
    </row>
    <row r="26" spans="2:10" x14ac:dyDescent="0.25">
      <c r="B26" s="17" t="s">
        <v>59</v>
      </c>
      <c r="C26" s="5" t="s">
        <v>164</v>
      </c>
      <c r="D26" s="129">
        <v>0.45</v>
      </c>
      <c r="E26" s="141"/>
      <c r="F26" s="2"/>
      <c r="G26" s="135"/>
      <c r="H26" s="144"/>
      <c r="I26" s="17"/>
      <c r="J26" s="93"/>
    </row>
    <row r="27" spans="2:10" x14ac:dyDescent="0.25">
      <c r="B27" s="17" t="s">
        <v>53</v>
      </c>
      <c r="C27" s="5" t="s">
        <v>165</v>
      </c>
      <c r="D27" s="172">
        <f>((D26*G11)-(SUM(D12:D13)*D24)-( SUM(D14:D15)*D25))/G10</f>
        <v>0.48447948027254001</v>
      </c>
      <c r="E27" s="17"/>
      <c r="F27" s="2"/>
      <c r="G27" s="135"/>
    </row>
    <row r="28" spans="2:10" x14ac:dyDescent="0.25">
      <c r="B28" s="17" t="s">
        <v>21</v>
      </c>
      <c r="C28" s="5" t="s">
        <v>166</v>
      </c>
      <c r="D28" s="129">
        <v>0.06</v>
      </c>
      <c r="E28" s="17"/>
      <c r="F28" s="2"/>
      <c r="G28" s="135"/>
      <c r="H28" s="144"/>
      <c r="I28" s="17"/>
      <c r="J28" s="92"/>
    </row>
    <row r="29" spans="2:10" ht="13" thickBot="1" x14ac:dyDescent="0.3">
      <c r="B29" s="126" t="s">
        <v>22</v>
      </c>
      <c r="C29" s="155" t="s">
        <v>167</v>
      </c>
      <c r="D29" s="133">
        <v>0.17</v>
      </c>
      <c r="E29" s="126"/>
      <c r="F29" s="20"/>
      <c r="G29" s="142"/>
      <c r="H29" s="148"/>
      <c r="I29" s="126"/>
      <c r="J29" s="95"/>
    </row>
    <row r="31" spans="2:10" x14ac:dyDescent="0.25">
      <c r="F31" s="14" t="s">
        <v>168</v>
      </c>
    </row>
    <row r="32" spans="2:10" x14ac:dyDescent="0.25">
      <c r="D32" s="110"/>
      <c r="E32" s="110"/>
    </row>
    <row r="33" spans="4:7" x14ac:dyDescent="0.25">
      <c r="D33" s="110"/>
      <c r="E33" s="110"/>
    </row>
    <row r="44" spans="4:7" x14ac:dyDescent="0.25">
      <c r="G44" s="14" t="s">
        <v>169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23"/>
  <sheetViews>
    <sheetView workbookViewId="0">
      <selection activeCell="D19" sqref="D19"/>
    </sheetView>
  </sheetViews>
  <sheetFormatPr defaultRowHeight="12.5" x14ac:dyDescent="0.25"/>
  <cols>
    <col min="2" max="2" width="3.81640625" customWidth="1"/>
    <col min="3" max="3" width="19.7265625" customWidth="1"/>
    <col min="8" max="8" width="12.26953125" customWidth="1"/>
    <col min="12" max="12" width="21.1796875" customWidth="1"/>
    <col min="13" max="13" width="3.81640625" customWidth="1"/>
  </cols>
  <sheetData>
    <row r="2" spans="2:13" ht="25" x14ac:dyDescent="0.5">
      <c r="C2" s="80" t="s">
        <v>141</v>
      </c>
      <c r="D2" s="80"/>
      <c r="E2" s="80"/>
      <c r="G2" s="14" t="s">
        <v>182</v>
      </c>
    </row>
    <row r="3" spans="2:13" ht="13" thickBot="1" x14ac:dyDescent="0.3"/>
    <row r="4" spans="2:13" ht="13" thickBot="1" x14ac:dyDescent="0.3">
      <c r="B4" s="160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2"/>
    </row>
    <row r="5" spans="2:13" ht="15.5" x14ac:dyDescent="0.35">
      <c r="B5" s="141"/>
      <c r="C5" s="21"/>
      <c r="D5" s="22"/>
      <c r="E5" s="22"/>
      <c r="F5" s="22"/>
      <c r="G5" s="22"/>
      <c r="H5" s="23">
        <f>H7/H11</f>
        <v>0.49031748122776969</v>
      </c>
      <c r="I5" s="24"/>
      <c r="J5" s="25"/>
      <c r="K5" s="24"/>
      <c r="L5" s="26"/>
      <c r="M5" s="163"/>
    </row>
    <row r="6" spans="2:13" ht="15.5" x14ac:dyDescent="0.35">
      <c r="B6" s="141"/>
      <c r="C6" s="27"/>
      <c r="D6" s="28"/>
      <c r="E6" s="29"/>
      <c r="F6" s="29"/>
      <c r="G6" s="29"/>
      <c r="H6" s="30" t="s">
        <v>123</v>
      </c>
      <c r="I6" s="29"/>
      <c r="J6" s="29"/>
      <c r="K6" s="29"/>
      <c r="L6" s="31"/>
      <c r="M6" s="163"/>
    </row>
    <row r="7" spans="2:13" ht="16" thickBot="1" x14ac:dyDescent="0.4">
      <c r="B7" s="141"/>
      <c r="C7" s="27"/>
      <c r="D7" s="29"/>
      <c r="E7" s="29"/>
      <c r="F7" s="29"/>
      <c r="G7" s="29"/>
      <c r="H7" s="32">
        <f>F9+J9</f>
        <v>3651.2819999999997</v>
      </c>
      <c r="I7" s="29"/>
      <c r="J7" s="29"/>
      <c r="K7" s="29"/>
      <c r="L7" s="31"/>
      <c r="M7" s="163"/>
    </row>
    <row r="8" spans="2:13" ht="16" thickBot="1" x14ac:dyDescent="0.4">
      <c r="B8" s="141"/>
      <c r="C8" s="27"/>
      <c r="D8" s="29"/>
      <c r="E8" s="33"/>
      <c r="F8" s="34">
        <f>F9/H11</f>
        <v>0.31817203090547147</v>
      </c>
      <c r="G8" s="35" t="s">
        <v>124</v>
      </c>
      <c r="H8" s="36"/>
      <c r="I8" s="37" t="s">
        <v>125</v>
      </c>
      <c r="J8" s="38">
        <f>J9/H11</f>
        <v>0.17214545032229825</v>
      </c>
      <c r="K8" s="29"/>
      <c r="L8" s="31"/>
      <c r="M8" s="163"/>
    </row>
    <row r="9" spans="2:13" ht="16" thickBot="1" x14ac:dyDescent="0.4">
      <c r="B9" s="141"/>
      <c r="C9" s="39" t="s">
        <v>126</v>
      </c>
      <c r="D9" s="40" t="s">
        <v>127</v>
      </c>
      <c r="E9" s="41">
        <f>F9-J9</f>
        <v>1087.4265055159372</v>
      </c>
      <c r="F9" s="156">
        <f>' Q3 Live calc '!J19</f>
        <v>2369.3542527579684</v>
      </c>
      <c r="G9" s="42"/>
      <c r="H9" s="43"/>
      <c r="I9" s="44"/>
      <c r="J9" s="157">
        <f>' Q3 Live calc '!J20</f>
        <v>1281.9277472420313</v>
      </c>
      <c r="K9" s="29"/>
      <c r="L9" s="31"/>
      <c r="M9" s="163"/>
    </row>
    <row r="10" spans="2:13" ht="16" thickBot="1" x14ac:dyDescent="0.4">
      <c r="B10" s="141"/>
      <c r="C10" s="27"/>
      <c r="D10" s="45"/>
      <c r="E10" s="29"/>
      <c r="F10" s="45"/>
      <c r="G10" s="46"/>
      <c r="H10" s="43"/>
      <c r="I10" s="47"/>
      <c r="J10" s="48"/>
      <c r="K10" s="29"/>
      <c r="L10" s="31"/>
      <c r="M10" s="163"/>
    </row>
    <row r="11" spans="2:13" ht="16" thickBot="1" x14ac:dyDescent="0.4">
      <c r="B11" s="141"/>
      <c r="C11" s="27"/>
      <c r="D11" s="49" t="s">
        <v>128</v>
      </c>
      <c r="E11" s="50">
        <f>F11/H11</f>
        <v>0.6868800189616181</v>
      </c>
      <c r="F11" s="51">
        <f>F9+F13</f>
        <v>5115.0382056828275</v>
      </c>
      <c r="G11" s="52"/>
      <c r="H11" s="159">
        <f>H7+H14</f>
        <v>7446.7709999999997</v>
      </c>
      <c r="I11" s="52"/>
      <c r="J11" s="53">
        <f>J9+J13</f>
        <v>2331.7327943171722</v>
      </c>
      <c r="K11" s="54">
        <f>J11/H11</f>
        <v>0.3131199810383819</v>
      </c>
      <c r="L11" s="55" t="s">
        <v>129</v>
      </c>
      <c r="M11" s="163"/>
    </row>
    <row r="12" spans="2:13" ht="16" thickBot="1" x14ac:dyDescent="0.4">
      <c r="B12" s="141"/>
      <c r="C12" s="56" t="s">
        <v>130</v>
      </c>
      <c r="D12" s="57" t="s">
        <v>131</v>
      </c>
      <c r="E12" s="58">
        <f>E13-E9</f>
        <v>608.45240033378104</v>
      </c>
      <c r="F12" s="59">
        <f>F13/H11</f>
        <v>0.36870798805614663</v>
      </c>
      <c r="G12" s="46"/>
      <c r="H12" s="43"/>
      <c r="I12" s="47"/>
      <c r="J12" s="60">
        <f>J13/H11</f>
        <v>0.14097453071608365</v>
      </c>
      <c r="K12" s="29"/>
      <c r="L12" s="31"/>
      <c r="M12" s="163"/>
    </row>
    <row r="13" spans="2:13" ht="16" thickBot="1" x14ac:dyDescent="0.4">
      <c r="B13" s="141"/>
      <c r="C13" s="39" t="s">
        <v>132</v>
      </c>
      <c r="D13" s="61" t="s">
        <v>133</v>
      </c>
      <c r="E13" s="41">
        <f>F13-J13</f>
        <v>1695.8789058497182</v>
      </c>
      <c r="F13" s="156">
        <f>' Q3 Live calc '!J21</f>
        <v>2745.6839529248591</v>
      </c>
      <c r="G13" s="62" t="s">
        <v>134</v>
      </c>
      <c r="H13" s="63"/>
      <c r="I13" s="64" t="s">
        <v>135</v>
      </c>
      <c r="J13" s="158">
        <f>' Q3 Live calc '!J22</f>
        <v>1049.8050470751409</v>
      </c>
      <c r="K13" s="29"/>
      <c r="L13" s="31"/>
      <c r="M13" s="163"/>
    </row>
    <row r="14" spans="2:13" ht="16" thickBot="1" x14ac:dyDescent="0.4">
      <c r="B14" s="141"/>
      <c r="C14" s="27"/>
      <c r="D14" s="65"/>
      <c r="E14" s="66" t="s">
        <v>136</v>
      </c>
      <c r="F14" s="67">
        <f>F13-F9</f>
        <v>376.32970016689069</v>
      </c>
      <c r="G14" s="33"/>
      <c r="H14" s="68">
        <f>F13+J13</f>
        <v>3795.489</v>
      </c>
      <c r="I14" s="33"/>
      <c r="J14" s="69">
        <f>J13-J9</f>
        <v>-232.12270016689035</v>
      </c>
      <c r="K14" s="70" t="s">
        <v>137</v>
      </c>
      <c r="L14" s="55"/>
      <c r="M14" s="163"/>
    </row>
    <row r="15" spans="2:13" ht="16" thickBot="1" x14ac:dyDescent="0.4">
      <c r="B15" s="141"/>
      <c r="C15" s="27"/>
      <c r="D15" s="45"/>
      <c r="E15" s="71" t="s">
        <v>138</v>
      </c>
      <c r="F15" s="72">
        <f>(F13+J9)/H11</f>
        <v>0.54085343837844491</v>
      </c>
      <c r="G15" s="29"/>
      <c r="H15" s="73" t="s">
        <v>139</v>
      </c>
      <c r="I15" s="29"/>
      <c r="J15" s="29"/>
      <c r="K15" s="29"/>
      <c r="L15" s="31"/>
      <c r="M15" s="163"/>
    </row>
    <row r="16" spans="2:13" ht="16" thickBot="1" x14ac:dyDescent="0.4">
      <c r="B16" s="141"/>
      <c r="C16" s="74"/>
      <c r="D16" s="65"/>
      <c r="E16" s="66" t="s">
        <v>140</v>
      </c>
      <c r="F16" s="75">
        <f>F13-J9</f>
        <v>1463.7562056828278</v>
      </c>
      <c r="G16" s="76"/>
      <c r="H16" s="77">
        <f>H14/H11</f>
        <v>0.50968251877223025</v>
      </c>
      <c r="I16" s="76"/>
      <c r="J16" s="76"/>
      <c r="K16" s="78"/>
      <c r="L16" s="79"/>
      <c r="M16" s="163"/>
    </row>
    <row r="17" spans="2:13" ht="13" thickBot="1" x14ac:dyDescent="0.3">
      <c r="B17" s="18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64"/>
    </row>
    <row r="23" spans="2:13" x14ac:dyDescent="0.25">
      <c r="J23" s="14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44"/>
  <sheetViews>
    <sheetView topLeftCell="D2" workbookViewId="0">
      <selection activeCell="J18" sqref="J18"/>
    </sheetView>
  </sheetViews>
  <sheetFormatPr defaultRowHeight="12.5" x14ac:dyDescent="0.25"/>
  <cols>
    <col min="3" max="3" width="49.81640625" customWidth="1"/>
    <col min="5" max="5" width="7.453125" customWidth="1"/>
    <col min="6" max="6" width="41.7265625" customWidth="1"/>
    <col min="7" max="7" width="13.7265625" customWidth="1"/>
    <col min="8" max="8" width="7.1796875" customWidth="1"/>
    <col min="9" max="9" width="53.453125" customWidth="1"/>
    <col min="10" max="10" width="12.1796875" customWidth="1"/>
    <col min="11" max="11" width="7.453125" customWidth="1"/>
  </cols>
  <sheetData>
    <row r="1" spans="2:12" ht="24.5" thickBot="1" x14ac:dyDescent="0.5">
      <c r="B1" s="166" t="s">
        <v>172</v>
      </c>
      <c r="C1" s="165">
        <v>7.2</v>
      </c>
      <c r="D1" s="115" t="s">
        <v>156</v>
      </c>
      <c r="F1" s="171" t="s">
        <v>175</v>
      </c>
      <c r="G1" s="96"/>
      <c r="H1" s="14" t="s">
        <v>183</v>
      </c>
    </row>
    <row r="2" spans="2:12" ht="13" thickBot="1" x14ac:dyDescent="0.3"/>
    <row r="3" spans="2:12" ht="16" thickBot="1" x14ac:dyDescent="0.4">
      <c r="B3" s="111" t="s">
        <v>17</v>
      </c>
      <c r="C3" s="4"/>
      <c r="D3" s="112"/>
      <c r="E3" s="127" t="s">
        <v>18</v>
      </c>
      <c r="F3" s="4"/>
      <c r="G3" s="4"/>
      <c r="H3" s="4" t="s">
        <v>20</v>
      </c>
      <c r="I3" s="4"/>
      <c r="J3" s="112"/>
    </row>
    <row r="4" spans="2:12" x14ac:dyDescent="0.25">
      <c r="B4" s="116" t="s">
        <v>77</v>
      </c>
      <c r="C4" s="117" t="s">
        <v>152</v>
      </c>
      <c r="D4" s="128">
        <v>0.87</v>
      </c>
      <c r="E4" s="116" t="s">
        <v>86</v>
      </c>
      <c r="F4" s="118" t="s">
        <v>61</v>
      </c>
      <c r="G4" s="134">
        <f>D8-D12</f>
        <v>146.6</v>
      </c>
      <c r="H4" s="143" t="s">
        <v>56</v>
      </c>
      <c r="I4" s="149" t="s">
        <v>114</v>
      </c>
      <c r="J4" s="119">
        <f>(D20^2*AVERAGE(G17:G18)*1000)/2</f>
        <v>28882.106541489502</v>
      </c>
    </row>
    <row r="5" spans="2:12" ht="12" customHeight="1" x14ac:dyDescent="0.25">
      <c r="B5" s="17" t="s">
        <v>78</v>
      </c>
      <c r="C5" s="5" t="s">
        <v>153</v>
      </c>
      <c r="D5" s="129">
        <v>0.82</v>
      </c>
      <c r="E5" s="17" t="s">
        <v>87</v>
      </c>
      <c r="F5" s="2" t="s">
        <v>2</v>
      </c>
      <c r="G5" s="135">
        <f>D9-D13</f>
        <v>167.6</v>
      </c>
      <c r="H5" s="144" t="s">
        <v>30</v>
      </c>
      <c r="I5" s="150" t="s">
        <v>39</v>
      </c>
      <c r="J5" s="120">
        <f>(D21^2*AVERAGE(G19:G20)*1000)/2</f>
        <v>33357.300039770555</v>
      </c>
    </row>
    <row r="6" spans="2:12" x14ac:dyDescent="0.25">
      <c r="B6" s="17" t="s">
        <v>79</v>
      </c>
      <c r="C6" s="5" t="s">
        <v>154</v>
      </c>
      <c r="D6" s="129">
        <v>0.7</v>
      </c>
      <c r="E6" s="17" t="s">
        <v>88</v>
      </c>
      <c r="F6" s="2" t="s">
        <v>63</v>
      </c>
      <c r="G6" s="135">
        <f>D10-D14</f>
        <v>143.69999999999999</v>
      </c>
      <c r="H6" s="144" t="s">
        <v>31</v>
      </c>
      <c r="I6" s="150" t="s">
        <v>38</v>
      </c>
      <c r="J6" s="120">
        <f>SUM(J4:J5)</f>
        <v>62239.40658126006</v>
      </c>
    </row>
    <row r="7" spans="2:12" x14ac:dyDescent="0.25">
      <c r="B7" s="17" t="s">
        <v>46</v>
      </c>
      <c r="C7" s="5" t="s">
        <v>155</v>
      </c>
      <c r="D7" s="129">
        <v>0.7</v>
      </c>
      <c r="E7" s="17" t="s">
        <v>0</v>
      </c>
      <c r="F7" s="2" t="s">
        <v>62</v>
      </c>
      <c r="G7" s="135">
        <f>D11-D15</f>
        <v>173.2</v>
      </c>
      <c r="H7" s="144" t="s">
        <v>36</v>
      </c>
      <c r="I7" s="150" t="s">
        <v>37</v>
      </c>
      <c r="J7" s="120">
        <f>G10*C1*G25</f>
        <v>1883.1671999999996</v>
      </c>
    </row>
    <row r="8" spans="2:12" ht="13" x14ac:dyDescent="0.3">
      <c r="B8" s="17" t="s">
        <v>80</v>
      </c>
      <c r="C8" s="2" t="s">
        <v>69</v>
      </c>
      <c r="D8" s="129">
        <v>175.6</v>
      </c>
      <c r="E8" s="136" t="s">
        <v>7</v>
      </c>
      <c r="F8" s="2" t="s">
        <v>3</v>
      </c>
      <c r="G8" s="135">
        <f>G4+G5</f>
        <v>314.2</v>
      </c>
      <c r="H8" s="145" t="s">
        <v>151</v>
      </c>
      <c r="I8" s="151" t="s">
        <v>118</v>
      </c>
      <c r="J8" s="121">
        <f>J7/J6</f>
        <v>3.025683089605502E-2</v>
      </c>
      <c r="K8" s="99">
        <f>J8*180/3.142</f>
        <v>1.7333639596721528</v>
      </c>
      <c r="L8" s="100" t="s">
        <v>117</v>
      </c>
    </row>
    <row r="9" spans="2:12" x14ac:dyDescent="0.25">
      <c r="B9" s="17" t="s">
        <v>81</v>
      </c>
      <c r="C9" s="2" t="s">
        <v>70</v>
      </c>
      <c r="D9" s="129">
        <v>196.6</v>
      </c>
      <c r="E9" s="17" t="s">
        <v>6</v>
      </c>
      <c r="F9" s="2" t="s">
        <v>4</v>
      </c>
      <c r="G9" s="135">
        <f>G6+G7</f>
        <v>316.89999999999998</v>
      </c>
      <c r="H9" s="144" t="s">
        <v>16</v>
      </c>
      <c r="I9" s="150" t="s">
        <v>40</v>
      </c>
      <c r="J9" s="122">
        <f>J8*AVERAGE(G17:G18)*D20*1000/2</f>
        <v>594.47687996441664</v>
      </c>
    </row>
    <row r="10" spans="2:12" x14ac:dyDescent="0.25">
      <c r="B10" s="17" t="s">
        <v>82</v>
      </c>
      <c r="C10" s="2" t="s">
        <v>71</v>
      </c>
      <c r="D10" s="129">
        <v>178.7</v>
      </c>
      <c r="E10" s="85" t="s">
        <v>113</v>
      </c>
      <c r="F10" s="86" t="s">
        <v>111</v>
      </c>
      <c r="G10" s="129">
        <f>G8+G9</f>
        <v>631.09999999999991</v>
      </c>
      <c r="H10" s="146" t="s">
        <v>19</v>
      </c>
      <c r="I10" s="151" t="s">
        <v>41</v>
      </c>
      <c r="J10" s="122">
        <f>J8*AVERAGE(G19:G20)*D21*1000/2</f>
        <v>664.00407003441251</v>
      </c>
    </row>
    <row r="11" spans="2:12" ht="13" x14ac:dyDescent="0.3">
      <c r="B11" s="17" t="s">
        <v>1</v>
      </c>
      <c r="C11" s="2" t="s">
        <v>72</v>
      </c>
      <c r="D11" s="129">
        <v>208.2</v>
      </c>
      <c r="E11" s="85" t="s">
        <v>109</v>
      </c>
      <c r="F11" s="86" t="s">
        <v>112</v>
      </c>
      <c r="G11" s="137">
        <f>SUM(D8:D11)</f>
        <v>759.09999999999991</v>
      </c>
      <c r="H11" s="147"/>
      <c r="I11" s="152"/>
      <c r="J11" s="123"/>
      <c r="K11" s="1"/>
    </row>
    <row r="12" spans="2:12" x14ac:dyDescent="0.25">
      <c r="B12" s="17" t="s">
        <v>83</v>
      </c>
      <c r="C12" s="2" t="s">
        <v>73</v>
      </c>
      <c r="D12" s="130">
        <v>29</v>
      </c>
      <c r="E12" s="138" t="s">
        <v>115</v>
      </c>
      <c r="F12" s="90" t="s">
        <v>116</v>
      </c>
      <c r="G12" s="137">
        <f>SUM(D12:D15)</f>
        <v>128</v>
      </c>
      <c r="H12" s="144" t="s">
        <v>47</v>
      </c>
      <c r="I12" s="151" t="s">
        <v>142</v>
      </c>
      <c r="J12" s="120">
        <f>G8*C1*D28/D20</f>
        <v>92.33632653061224</v>
      </c>
    </row>
    <row r="13" spans="2:12" x14ac:dyDescent="0.25">
      <c r="B13" s="17" t="s">
        <v>84</v>
      </c>
      <c r="C13" s="2" t="s">
        <v>74</v>
      </c>
      <c r="D13" s="129">
        <v>29</v>
      </c>
      <c r="E13" s="136" t="s">
        <v>106</v>
      </c>
      <c r="F13" s="2" t="s">
        <v>64</v>
      </c>
      <c r="G13" s="7">
        <f>0.17512678*D16</f>
        <v>37.6522577</v>
      </c>
      <c r="H13" s="144" t="s">
        <v>50</v>
      </c>
      <c r="I13" s="151" t="s">
        <v>143</v>
      </c>
      <c r="J13" s="120">
        <f>G9*C1*D29/D21</f>
        <v>120.08842105263156</v>
      </c>
    </row>
    <row r="14" spans="2:12" x14ac:dyDescent="0.25">
      <c r="B14" s="17" t="s">
        <v>85</v>
      </c>
      <c r="C14" s="2" t="s">
        <v>75</v>
      </c>
      <c r="D14" s="129">
        <v>35</v>
      </c>
      <c r="E14" s="136" t="s">
        <v>107</v>
      </c>
      <c r="F14" s="2" t="s">
        <v>65</v>
      </c>
      <c r="G14" s="7">
        <f>0.17512678*D17</f>
        <v>37.126877360000002</v>
      </c>
      <c r="H14" s="144" t="s">
        <v>48</v>
      </c>
      <c r="I14" s="151" t="s">
        <v>144</v>
      </c>
      <c r="J14" s="120">
        <f xml:space="preserve"> (SUM(D12:D13)*C1*D24)/D20</f>
        <v>79.542857142857159</v>
      </c>
    </row>
    <row r="15" spans="2:12" x14ac:dyDescent="0.25">
      <c r="B15" s="17" t="s">
        <v>5</v>
      </c>
      <c r="C15" s="2" t="s">
        <v>76</v>
      </c>
      <c r="D15" s="129">
        <v>35</v>
      </c>
      <c r="E15" s="17" t="s">
        <v>89</v>
      </c>
      <c r="F15" s="2" t="s">
        <v>66</v>
      </c>
      <c r="G15" s="7">
        <f>0.17512678*D18</f>
        <v>58.842598080000002</v>
      </c>
      <c r="H15" s="144" t="s">
        <v>49</v>
      </c>
      <c r="I15" s="151" t="s">
        <v>145</v>
      </c>
      <c r="J15" s="120">
        <f xml:space="preserve"> (SUM(D14:D15)*C1*D25)/D21</f>
        <v>92.84210526315789</v>
      </c>
    </row>
    <row r="16" spans="2:12" x14ac:dyDescent="0.25">
      <c r="B16" s="17" t="s">
        <v>97</v>
      </c>
      <c r="C16" s="2" t="s">
        <v>99</v>
      </c>
      <c r="D16" s="129">
        <v>215</v>
      </c>
      <c r="E16" s="17" t="s">
        <v>90</v>
      </c>
      <c r="F16" s="2" t="s">
        <v>67</v>
      </c>
      <c r="G16" s="7">
        <f>0.17512678*D19</f>
        <v>59.017724860000001</v>
      </c>
      <c r="H16" s="144"/>
      <c r="I16" s="153" t="s">
        <v>146</v>
      </c>
      <c r="J16" s="124">
        <f>J9+J12+J14</f>
        <v>766.35606363788611</v>
      </c>
    </row>
    <row r="17" spans="2:10" x14ac:dyDescent="0.25">
      <c r="B17" s="17" t="s">
        <v>98</v>
      </c>
      <c r="C17" s="2" t="s">
        <v>100</v>
      </c>
      <c r="D17" s="129">
        <v>212</v>
      </c>
      <c r="E17" s="17" t="s">
        <v>91</v>
      </c>
      <c r="F17" s="2" t="s">
        <v>68</v>
      </c>
      <c r="G17" s="139">
        <f>G13*D4^2</f>
        <v>28.498993853129999</v>
      </c>
      <c r="H17" s="144"/>
      <c r="I17" s="153" t="s">
        <v>147</v>
      </c>
      <c r="J17" s="124">
        <f>J10+J13+J15</f>
        <v>876.93459635020201</v>
      </c>
    </row>
    <row r="18" spans="2:10" x14ac:dyDescent="0.25">
      <c r="B18" s="17" t="s">
        <v>89</v>
      </c>
      <c r="C18" s="2" t="s">
        <v>101</v>
      </c>
      <c r="D18" s="129">
        <v>336</v>
      </c>
      <c r="E18" s="17" t="s">
        <v>92</v>
      </c>
      <c r="F18" s="2" t="s">
        <v>93</v>
      </c>
      <c r="G18" s="139">
        <f>G14*D5^2</f>
        <v>24.964112336863998</v>
      </c>
      <c r="H18" s="144"/>
      <c r="I18" s="153" t="s">
        <v>148</v>
      </c>
      <c r="J18" s="125">
        <f>J16+J17</f>
        <v>1643.290659988088</v>
      </c>
    </row>
    <row r="19" spans="2:10" x14ac:dyDescent="0.25">
      <c r="B19" s="17" t="s">
        <v>90</v>
      </c>
      <c r="C19" s="2" t="s">
        <v>102</v>
      </c>
      <c r="D19" s="129">
        <v>337</v>
      </c>
      <c r="E19" s="17" t="s">
        <v>103</v>
      </c>
      <c r="F19" s="5" t="s">
        <v>173</v>
      </c>
      <c r="G19" s="140">
        <f>G15*D6^2</f>
        <v>28.832873059199997</v>
      </c>
      <c r="H19" s="144" t="s">
        <v>96</v>
      </c>
      <c r="I19" s="150" t="s">
        <v>42</v>
      </c>
      <c r="J19" s="120">
        <f>(D8*9.81)+J16</f>
        <v>2488.9920636378861</v>
      </c>
    </row>
    <row r="20" spans="2:10" x14ac:dyDescent="0.25">
      <c r="B20" s="17" t="s">
        <v>10</v>
      </c>
      <c r="C20" s="5" t="s">
        <v>158</v>
      </c>
      <c r="D20" s="129">
        <v>1.47</v>
      </c>
      <c r="E20" s="17" t="s">
        <v>104</v>
      </c>
      <c r="F20" s="5" t="s">
        <v>174</v>
      </c>
      <c r="G20" s="120">
        <f>G16*D7^2</f>
        <v>28.918685181399997</v>
      </c>
      <c r="H20" s="146" t="s">
        <v>108</v>
      </c>
      <c r="I20" s="150" t="s">
        <v>43</v>
      </c>
      <c r="J20" s="120">
        <f>(D9*9.81)-J16</f>
        <v>1162.2899363621138</v>
      </c>
    </row>
    <row r="21" spans="2:10" x14ac:dyDescent="0.25">
      <c r="B21" s="17" t="s">
        <v>11</v>
      </c>
      <c r="C21" s="5" t="s">
        <v>159</v>
      </c>
      <c r="D21" s="129">
        <v>1.52</v>
      </c>
      <c r="E21" s="17" t="s">
        <v>25</v>
      </c>
      <c r="F21" s="5" t="s">
        <v>176</v>
      </c>
      <c r="G21" s="132">
        <f>(G9*D23)/G10</f>
        <v>1.2804547615274917</v>
      </c>
      <c r="H21" s="146" t="s">
        <v>105</v>
      </c>
      <c r="I21" s="150" t="s">
        <v>44</v>
      </c>
      <c r="J21" s="120">
        <f>(D10*9.81)+J17</f>
        <v>2629.9815963502019</v>
      </c>
    </row>
    <row r="22" spans="2:10" x14ac:dyDescent="0.25">
      <c r="B22" s="138"/>
      <c r="C22" s="86"/>
      <c r="D22" s="129"/>
      <c r="E22" s="17" t="s">
        <v>26</v>
      </c>
      <c r="F22" s="2" t="s">
        <v>35</v>
      </c>
      <c r="G22" s="129">
        <f>D29-D28</f>
        <v>2.0000000000000004E-2</v>
      </c>
      <c r="H22" s="144" t="s">
        <v>29</v>
      </c>
      <c r="I22" s="150" t="s">
        <v>45</v>
      </c>
      <c r="J22" s="120">
        <f>(D11 *9.81)-J17</f>
        <v>1165.5074036497981</v>
      </c>
    </row>
    <row r="23" spans="2:10" x14ac:dyDescent="0.25">
      <c r="B23" s="17" t="s">
        <v>15</v>
      </c>
      <c r="C23" s="5" t="s">
        <v>161</v>
      </c>
      <c r="D23" s="129">
        <v>2.5499999999999998</v>
      </c>
      <c r="E23" s="17" t="s">
        <v>27</v>
      </c>
      <c r="F23" s="2" t="s">
        <v>32</v>
      </c>
      <c r="G23" s="132">
        <f>G22*G21/D23</f>
        <v>1.0042782443352879E-2</v>
      </c>
      <c r="H23" s="144"/>
      <c r="I23" s="154" t="s">
        <v>149</v>
      </c>
      <c r="J23" s="124">
        <f>SUM(J19:J22)</f>
        <v>7446.7709999999997</v>
      </c>
    </row>
    <row r="24" spans="2:10" ht="13" thickBot="1" x14ac:dyDescent="0.3">
      <c r="B24" s="85" t="s">
        <v>157</v>
      </c>
      <c r="C24" s="86" t="s">
        <v>162</v>
      </c>
      <c r="D24" s="129">
        <v>0.28000000000000003</v>
      </c>
      <c r="E24" s="17" t="s">
        <v>28</v>
      </c>
      <c r="F24" s="2" t="s">
        <v>33</v>
      </c>
      <c r="G24" s="132">
        <f>G23+D28</f>
        <v>7.004278244335288E-2</v>
      </c>
      <c r="H24" s="144"/>
      <c r="I24" s="151" t="s">
        <v>150</v>
      </c>
      <c r="J24" s="120">
        <f>G11*9.81</f>
        <v>7446.7709999999997</v>
      </c>
    </row>
    <row r="25" spans="2:10" ht="13" thickBot="1" x14ac:dyDescent="0.3">
      <c r="B25" s="87" t="s">
        <v>120</v>
      </c>
      <c r="C25" s="88" t="s">
        <v>163</v>
      </c>
      <c r="D25" s="131">
        <v>0.28000000000000003</v>
      </c>
      <c r="E25" s="17" t="s">
        <v>60</v>
      </c>
      <c r="F25" s="2" t="s">
        <v>34</v>
      </c>
      <c r="G25" s="132">
        <f>D27-G24</f>
        <v>0.41443669782918713</v>
      </c>
      <c r="H25" s="144" t="s">
        <v>57</v>
      </c>
      <c r="I25" s="150" t="s">
        <v>58</v>
      </c>
      <c r="J25" s="84">
        <f>G11*C1*D26/ AVERAGE(D20:D21)</f>
        <v>1645.1397993311034</v>
      </c>
    </row>
    <row r="26" spans="2:10" x14ac:dyDescent="0.25">
      <c r="B26" s="17" t="s">
        <v>59</v>
      </c>
      <c r="C26" s="5" t="s">
        <v>164</v>
      </c>
      <c r="D26" s="129">
        <v>0.45</v>
      </c>
      <c r="E26" s="141"/>
      <c r="F26" s="2"/>
      <c r="G26" s="135"/>
      <c r="H26" s="144"/>
      <c r="I26" s="17"/>
      <c r="J26" s="93"/>
    </row>
    <row r="27" spans="2:10" x14ac:dyDescent="0.25">
      <c r="B27" s="17" t="s">
        <v>53</v>
      </c>
      <c r="C27" s="5" t="s">
        <v>165</v>
      </c>
      <c r="D27" s="172">
        <f>((D26*G11)-(SUM(D12:D13)*D24)-( SUM(D14:D15)*D25))/G10</f>
        <v>0.48447948027254001</v>
      </c>
      <c r="E27" s="17"/>
      <c r="F27" s="2"/>
      <c r="G27" s="135"/>
      <c r="I27" s="141"/>
      <c r="J27" s="163"/>
    </row>
    <row r="28" spans="2:10" x14ac:dyDescent="0.25">
      <c r="B28" s="17" t="s">
        <v>21</v>
      </c>
      <c r="C28" s="5" t="s">
        <v>166</v>
      </c>
      <c r="D28" s="129">
        <v>0.06</v>
      </c>
      <c r="E28" s="17"/>
      <c r="F28" s="2"/>
      <c r="G28" s="135"/>
      <c r="H28" s="144"/>
      <c r="I28" s="17"/>
      <c r="J28" s="92"/>
    </row>
    <row r="29" spans="2:10" ht="13" thickBot="1" x14ac:dyDescent="0.3">
      <c r="B29" s="126" t="s">
        <v>22</v>
      </c>
      <c r="C29" s="155" t="s">
        <v>167</v>
      </c>
      <c r="D29" s="133">
        <v>0.08</v>
      </c>
      <c r="E29" s="126"/>
      <c r="F29" s="20"/>
      <c r="G29" s="142"/>
      <c r="H29" s="148"/>
      <c r="I29" s="126"/>
      <c r="J29" s="95"/>
    </row>
    <row r="31" spans="2:10" x14ac:dyDescent="0.25">
      <c r="F31" s="14" t="s">
        <v>168</v>
      </c>
    </row>
    <row r="32" spans="2:10" x14ac:dyDescent="0.25">
      <c r="D32" s="110"/>
      <c r="E32" s="110"/>
    </row>
    <row r="33" spans="4:7" x14ac:dyDescent="0.25">
      <c r="D33" s="110"/>
      <c r="E33" s="110"/>
    </row>
    <row r="44" spans="4:7" x14ac:dyDescent="0.25">
      <c r="G44" s="14" t="s">
        <v>169</v>
      </c>
    </row>
  </sheetData>
  <pageMargins left="0.7" right="0.7" top="0.75" bottom="0.75" header="0.3" footer="0.3"/>
  <pageSetup paperSize="9" orientation="portrait" r:id="rId1"/>
  <ignoredErrors>
    <ignoredError sqref="J25 G11:G12" formulaRange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23"/>
  <sheetViews>
    <sheetView workbookViewId="0">
      <selection activeCell="K29" sqref="K29"/>
    </sheetView>
  </sheetViews>
  <sheetFormatPr defaultRowHeight="12.5" x14ac:dyDescent="0.25"/>
  <cols>
    <col min="2" max="2" width="3.81640625" customWidth="1"/>
    <col min="3" max="3" width="19.7265625" customWidth="1"/>
    <col min="8" max="8" width="12.26953125" customWidth="1"/>
    <col min="12" max="12" width="21.1796875" customWidth="1"/>
    <col min="13" max="13" width="3.81640625" customWidth="1"/>
  </cols>
  <sheetData>
    <row r="2" spans="2:16" ht="25" x14ac:dyDescent="0.5">
      <c r="C2" s="80" t="s">
        <v>141</v>
      </c>
      <c r="D2" s="80"/>
      <c r="E2" s="80"/>
      <c r="G2" s="14" t="s">
        <v>184</v>
      </c>
    </row>
    <row r="3" spans="2:16" ht="13" thickBot="1" x14ac:dyDescent="0.3"/>
    <row r="4" spans="2:16" ht="13" thickBot="1" x14ac:dyDescent="0.3">
      <c r="B4" s="160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2"/>
    </row>
    <row r="5" spans="2:16" ht="15.5" x14ac:dyDescent="0.35">
      <c r="B5" s="141"/>
      <c r="C5" s="21"/>
      <c r="D5" s="22"/>
      <c r="E5" s="22"/>
      <c r="F5" s="22"/>
      <c r="G5" s="22"/>
      <c r="H5" s="23">
        <f>H7/H11</f>
        <v>0.49031748122776969</v>
      </c>
      <c r="I5" s="24"/>
      <c r="J5" s="25"/>
      <c r="K5" s="24"/>
      <c r="L5" s="26"/>
      <c r="M5" s="163"/>
    </row>
    <row r="6" spans="2:16" ht="15.5" x14ac:dyDescent="0.35">
      <c r="B6" s="141"/>
      <c r="C6" s="27"/>
      <c r="D6" s="28"/>
      <c r="E6" s="29"/>
      <c r="F6" s="29"/>
      <c r="G6" s="29"/>
      <c r="H6" s="30" t="s">
        <v>123</v>
      </c>
      <c r="I6" s="29"/>
      <c r="J6" s="29"/>
      <c r="K6" s="29"/>
      <c r="L6" s="31"/>
      <c r="M6" s="163"/>
    </row>
    <row r="7" spans="2:16" ht="16" thickBot="1" x14ac:dyDescent="0.4">
      <c r="B7" s="141"/>
      <c r="C7" s="27"/>
      <c r="D7" s="29"/>
      <c r="E7" s="29"/>
      <c r="F7" s="29"/>
      <c r="G7" s="29"/>
      <c r="H7" s="32">
        <f>F9+J9</f>
        <v>3651.2820000000002</v>
      </c>
      <c r="I7" s="29"/>
      <c r="J7" s="29"/>
      <c r="K7" s="29"/>
      <c r="L7" s="31"/>
      <c r="M7" s="163"/>
    </row>
    <row r="8" spans="2:16" ht="16" thickBot="1" x14ac:dyDescent="0.4">
      <c r="B8" s="141"/>
      <c r="C8" s="27"/>
      <c r="D8" s="29"/>
      <c r="E8" s="33"/>
      <c r="F8" s="34">
        <f>F9/H11</f>
        <v>0.33423776072043654</v>
      </c>
      <c r="G8" s="35" t="s">
        <v>124</v>
      </c>
      <c r="H8" s="36"/>
      <c r="I8" s="37" t="s">
        <v>125</v>
      </c>
      <c r="J8" s="38">
        <f>J9/H11</f>
        <v>0.15607972050733315</v>
      </c>
      <c r="K8" s="29"/>
      <c r="L8" s="31"/>
      <c r="M8" s="163"/>
    </row>
    <row r="9" spans="2:16" ht="16" thickBot="1" x14ac:dyDescent="0.4">
      <c r="B9" s="141"/>
      <c r="C9" s="39" t="s">
        <v>126</v>
      </c>
      <c r="D9" s="40" t="s">
        <v>127</v>
      </c>
      <c r="E9" s="41">
        <f>F9-J9</f>
        <v>1326.7021272757722</v>
      </c>
      <c r="F9" s="156">
        <f>' Q4 Indep calc  '!J19</f>
        <v>2488.9920636378861</v>
      </c>
      <c r="G9" s="42"/>
      <c r="H9" s="43"/>
      <c r="I9" s="44"/>
      <c r="J9" s="157">
        <f>' Q4 Indep calc  '!J20</f>
        <v>1162.2899363621138</v>
      </c>
      <c r="K9" s="29"/>
      <c r="L9" s="31"/>
      <c r="M9" s="163"/>
    </row>
    <row r="10" spans="2:16" ht="16" thickBot="1" x14ac:dyDescent="0.4">
      <c r="B10" s="141"/>
      <c r="C10" s="27"/>
      <c r="D10" s="45"/>
      <c r="E10" s="29"/>
      <c r="F10" s="45"/>
      <c r="G10" s="46"/>
      <c r="H10" s="43"/>
      <c r="I10" s="47"/>
      <c r="J10" s="48"/>
      <c r="K10" s="29"/>
      <c r="L10" s="31"/>
      <c r="M10" s="163"/>
    </row>
    <row r="11" spans="2:16" ht="16" thickBot="1" x14ac:dyDescent="0.4">
      <c r="B11" s="141"/>
      <c r="C11" s="27"/>
      <c r="D11" s="49" t="s">
        <v>128</v>
      </c>
      <c r="E11" s="50">
        <f>F11/H11</f>
        <v>0.68740849691605765</v>
      </c>
      <c r="F11" s="51">
        <f>F9+F13</f>
        <v>5118.973659988088</v>
      </c>
      <c r="G11" s="52"/>
      <c r="H11" s="159">
        <f>H7+H14</f>
        <v>7446.7710000000006</v>
      </c>
      <c r="I11" s="52"/>
      <c r="J11" s="53">
        <f>J9+J13</f>
        <v>2327.7973400119117</v>
      </c>
      <c r="K11" s="54">
        <f>J11/H11</f>
        <v>0.31259150308394223</v>
      </c>
      <c r="L11" s="55" t="s">
        <v>129</v>
      </c>
      <c r="M11" s="163"/>
      <c r="P11">
        <v>900.68560118462301</v>
      </c>
    </row>
    <row r="12" spans="2:16" ht="16" thickBot="1" x14ac:dyDescent="0.4">
      <c r="B12" s="141"/>
      <c r="C12" s="56" t="s">
        <v>130</v>
      </c>
      <c r="D12" s="57" t="s">
        <v>131</v>
      </c>
      <c r="E12" s="58">
        <f>E13-E9</f>
        <v>137.77206542463159</v>
      </c>
      <c r="F12" s="59">
        <f>F13/H11</f>
        <v>0.35317073619562112</v>
      </c>
      <c r="G12" s="46"/>
      <c r="H12" s="43"/>
      <c r="I12" s="47"/>
      <c r="J12" s="60">
        <f>J13/H11</f>
        <v>0.15651178257660911</v>
      </c>
      <c r="K12" s="29"/>
      <c r="L12" s="31"/>
      <c r="M12" s="163"/>
    </row>
    <row r="13" spans="2:16" ht="16" thickBot="1" x14ac:dyDescent="0.4">
      <c r="B13" s="141"/>
      <c r="C13" s="39" t="s">
        <v>132</v>
      </c>
      <c r="D13" s="61" t="s">
        <v>133</v>
      </c>
      <c r="E13" s="41">
        <f>F13-J13</f>
        <v>1464.4741927004038</v>
      </c>
      <c r="F13" s="156">
        <f>' Q4 Indep calc  '!J21</f>
        <v>2629.9815963502019</v>
      </c>
      <c r="G13" s="62" t="s">
        <v>134</v>
      </c>
      <c r="H13" s="63"/>
      <c r="I13" s="64" t="s">
        <v>135</v>
      </c>
      <c r="J13" s="158">
        <f>' Q4 Indep calc  '!J22</f>
        <v>1165.5074036497981</v>
      </c>
      <c r="K13" s="29"/>
      <c r="L13" s="31"/>
      <c r="M13" s="163"/>
    </row>
    <row r="14" spans="2:16" ht="16" thickBot="1" x14ac:dyDescent="0.4">
      <c r="B14" s="141"/>
      <c r="C14" s="27"/>
      <c r="D14" s="65"/>
      <c r="E14" s="66" t="s">
        <v>136</v>
      </c>
      <c r="F14" s="67">
        <f>F13-F9</f>
        <v>140.98953271231585</v>
      </c>
      <c r="G14" s="33"/>
      <c r="H14" s="68">
        <f>F13+J13</f>
        <v>3795.489</v>
      </c>
      <c r="I14" s="33"/>
      <c r="J14" s="69">
        <f>J13-J9</f>
        <v>3.2174672876842578</v>
      </c>
      <c r="K14" s="70" t="s">
        <v>137</v>
      </c>
      <c r="L14" s="55"/>
      <c r="M14" s="163"/>
    </row>
    <row r="15" spans="2:16" ht="16" thickBot="1" x14ac:dyDescent="0.4">
      <c r="B15" s="141"/>
      <c r="C15" s="27"/>
      <c r="D15" s="45"/>
      <c r="E15" s="71" t="s">
        <v>138</v>
      </c>
      <c r="F15" s="72">
        <f>(F13+J9)/H11</f>
        <v>0.50925045670295432</v>
      </c>
      <c r="G15" s="29"/>
      <c r="H15" s="73" t="s">
        <v>139</v>
      </c>
      <c r="I15" s="29"/>
      <c r="J15" s="29"/>
      <c r="K15" s="29"/>
      <c r="L15" s="31"/>
      <c r="M15" s="163"/>
    </row>
    <row r="16" spans="2:16" ht="16" thickBot="1" x14ac:dyDescent="0.4">
      <c r="B16" s="141"/>
      <c r="C16" s="74"/>
      <c r="D16" s="65"/>
      <c r="E16" s="66" t="s">
        <v>140</v>
      </c>
      <c r="F16" s="75">
        <f>F13-J9</f>
        <v>1467.6916599880881</v>
      </c>
      <c r="G16" s="76"/>
      <c r="H16" s="77">
        <f>H14/H11</f>
        <v>0.50968251877223025</v>
      </c>
      <c r="I16" s="76"/>
      <c r="J16" s="76"/>
      <c r="K16" s="78"/>
      <c r="L16" s="79"/>
      <c r="M16" s="163"/>
    </row>
    <row r="17" spans="2:13" ht="13" thickBot="1" x14ac:dyDescent="0.3">
      <c r="B17" s="18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64"/>
    </row>
    <row r="23" spans="2:13" x14ac:dyDescent="0.25">
      <c r="J23" s="14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44"/>
  <sheetViews>
    <sheetView workbookViewId="0">
      <selection activeCell="G33" sqref="G33"/>
    </sheetView>
  </sheetViews>
  <sheetFormatPr defaultRowHeight="12.5" x14ac:dyDescent="0.25"/>
  <cols>
    <col min="3" max="3" width="49.81640625" customWidth="1"/>
    <col min="5" max="5" width="7.453125" customWidth="1"/>
    <col min="6" max="6" width="41.7265625" customWidth="1"/>
    <col min="7" max="7" width="13.7265625" customWidth="1"/>
    <col min="8" max="8" width="7.1796875" customWidth="1"/>
    <col min="9" max="9" width="53.453125" customWidth="1"/>
    <col min="10" max="10" width="12.1796875" customWidth="1"/>
    <col min="11" max="11" width="7.453125" customWidth="1"/>
  </cols>
  <sheetData>
    <row r="1" spans="2:12" ht="24.5" thickBot="1" x14ac:dyDescent="0.4">
      <c r="B1" s="166" t="s">
        <v>172</v>
      </c>
      <c r="C1" s="165">
        <v>7.2</v>
      </c>
      <c r="D1" s="115" t="s">
        <v>156</v>
      </c>
      <c r="E1" s="14" t="s">
        <v>180</v>
      </c>
      <c r="F1" s="113"/>
      <c r="G1" s="96"/>
    </row>
    <row r="2" spans="2:12" ht="13" thickBot="1" x14ac:dyDescent="0.3"/>
    <row r="3" spans="2:12" ht="16" thickBot="1" x14ac:dyDescent="0.4">
      <c r="B3" s="111" t="s">
        <v>17</v>
      </c>
      <c r="C3" s="4"/>
      <c r="D3" s="112"/>
      <c r="E3" s="127" t="s">
        <v>18</v>
      </c>
      <c r="F3" s="4"/>
      <c r="G3" s="4"/>
      <c r="H3" s="4" t="s">
        <v>20</v>
      </c>
      <c r="I3" s="4"/>
      <c r="J3" s="112"/>
    </row>
    <row r="4" spans="2:12" x14ac:dyDescent="0.25">
      <c r="B4" s="116" t="s">
        <v>77</v>
      </c>
      <c r="C4" s="117" t="s">
        <v>152</v>
      </c>
      <c r="D4" s="128">
        <v>0.82</v>
      </c>
      <c r="E4" s="116" t="s">
        <v>86</v>
      </c>
      <c r="F4" s="118" t="s">
        <v>61</v>
      </c>
      <c r="G4" s="134">
        <f>D8-D12</f>
        <v>146.6</v>
      </c>
      <c r="H4" s="143" t="s">
        <v>56</v>
      </c>
      <c r="I4" s="149" t="s">
        <v>114</v>
      </c>
      <c r="J4" s="119">
        <f>(D20^2*AVERAGE(G17:G18)*1000)/2</f>
        <v>27163.31815908898</v>
      </c>
    </row>
    <row r="5" spans="2:12" ht="12" customHeight="1" x14ac:dyDescent="0.25">
      <c r="B5" s="17" t="s">
        <v>78</v>
      </c>
      <c r="C5" s="5" t="s">
        <v>153</v>
      </c>
      <c r="D5" s="129">
        <v>0.82</v>
      </c>
      <c r="E5" s="17" t="s">
        <v>87</v>
      </c>
      <c r="F5" s="2" t="s">
        <v>2</v>
      </c>
      <c r="G5" s="135">
        <f>D9-D13</f>
        <v>167.6</v>
      </c>
      <c r="H5" s="144" t="s">
        <v>30</v>
      </c>
      <c r="I5" s="150" t="s">
        <v>39</v>
      </c>
      <c r="J5" s="120">
        <f>(D21^2*AVERAGE(G19:G20)*1000)/2</f>
        <v>46125.265106999228</v>
      </c>
    </row>
    <row r="6" spans="2:12" x14ac:dyDescent="0.25">
      <c r="B6" s="17" t="s">
        <v>79</v>
      </c>
      <c r="C6" s="5" t="s">
        <v>154</v>
      </c>
      <c r="D6" s="129">
        <v>0.7</v>
      </c>
      <c r="E6" s="17" t="s">
        <v>88</v>
      </c>
      <c r="F6" s="2" t="s">
        <v>63</v>
      </c>
      <c r="G6" s="135">
        <f>D10-D14</f>
        <v>143.69999999999999</v>
      </c>
      <c r="H6" s="144" t="s">
        <v>31</v>
      </c>
      <c r="I6" s="150" t="s">
        <v>38</v>
      </c>
      <c r="J6" s="120">
        <f>SUM(J4:J5)</f>
        <v>73288.583266088215</v>
      </c>
    </row>
    <row r="7" spans="2:12" x14ac:dyDescent="0.25">
      <c r="B7" s="17" t="s">
        <v>46</v>
      </c>
      <c r="C7" s="5" t="s">
        <v>155</v>
      </c>
      <c r="D7" s="129">
        <v>0.7</v>
      </c>
      <c r="E7" s="17" t="s">
        <v>0</v>
      </c>
      <c r="F7" s="2" t="s">
        <v>62</v>
      </c>
      <c r="G7" s="135">
        <f>D11-D15</f>
        <v>173.2</v>
      </c>
      <c r="H7" s="144" t="s">
        <v>36</v>
      </c>
      <c r="I7" s="150" t="s">
        <v>37</v>
      </c>
      <c r="J7" s="120">
        <f>G10*C1*G25</f>
        <v>1883.1671999999996</v>
      </c>
    </row>
    <row r="8" spans="2:12" ht="13" x14ac:dyDescent="0.3">
      <c r="B8" s="17" t="s">
        <v>80</v>
      </c>
      <c r="C8" s="2" t="s">
        <v>69</v>
      </c>
      <c r="D8" s="129">
        <v>175.6</v>
      </c>
      <c r="E8" s="136" t="s">
        <v>7</v>
      </c>
      <c r="F8" s="2" t="s">
        <v>3</v>
      </c>
      <c r="G8" s="135">
        <f>G4+G5</f>
        <v>314.2</v>
      </c>
      <c r="H8" s="145" t="s">
        <v>151</v>
      </c>
      <c r="I8" s="151" t="s">
        <v>118</v>
      </c>
      <c r="J8" s="121">
        <f>J7/J6</f>
        <v>2.5695232682596703E-2</v>
      </c>
      <c r="K8" s="99">
        <f>J8*180/3.142</f>
        <v>1.4720375184173797</v>
      </c>
      <c r="L8" s="100" t="s">
        <v>117</v>
      </c>
    </row>
    <row r="9" spans="2:12" x14ac:dyDescent="0.25">
      <c r="B9" s="17" t="s">
        <v>81</v>
      </c>
      <c r="C9" s="2" t="s">
        <v>70</v>
      </c>
      <c r="D9" s="129">
        <v>196.6</v>
      </c>
      <c r="E9" s="17" t="s">
        <v>6</v>
      </c>
      <c r="F9" s="2" t="s">
        <v>4</v>
      </c>
      <c r="G9" s="135">
        <f>G6+G7</f>
        <v>316.89999999999998</v>
      </c>
      <c r="H9" s="144" t="s">
        <v>16</v>
      </c>
      <c r="I9" s="150" t="s">
        <v>40</v>
      </c>
      <c r="J9" s="122">
        <f>J8*AVERAGE(G17:G18)*D20*1000/2</f>
        <v>474.80801396543933</v>
      </c>
    </row>
    <row r="10" spans="2:12" x14ac:dyDescent="0.25">
      <c r="B10" s="17" t="s">
        <v>82</v>
      </c>
      <c r="C10" s="2" t="s">
        <v>71</v>
      </c>
      <c r="D10" s="129">
        <v>178.7</v>
      </c>
      <c r="E10" s="85" t="s">
        <v>113</v>
      </c>
      <c r="F10" s="86" t="s">
        <v>111</v>
      </c>
      <c r="G10" s="129">
        <f>G8+G9</f>
        <v>631.09999999999991</v>
      </c>
      <c r="H10" s="146" t="s">
        <v>19</v>
      </c>
      <c r="I10" s="151" t="s">
        <v>41</v>
      </c>
      <c r="J10" s="122">
        <f>J8*AVERAGE(G19:G20)*D21*1000/2</f>
        <v>779.73646017816043</v>
      </c>
    </row>
    <row r="11" spans="2:12" ht="13" x14ac:dyDescent="0.3">
      <c r="B11" s="17" t="s">
        <v>1</v>
      </c>
      <c r="C11" s="2" t="s">
        <v>72</v>
      </c>
      <c r="D11" s="129">
        <v>208.2</v>
      </c>
      <c r="E11" s="85" t="s">
        <v>109</v>
      </c>
      <c r="F11" s="86" t="s">
        <v>112</v>
      </c>
      <c r="G11" s="137">
        <f>SUM(D8:D11)</f>
        <v>759.09999999999991</v>
      </c>
      <c r="H11" s="147"/>
      <c r="I11" s="152"/>
      <c r="J11" s="123"/>
      <c r="K11" s="1"/>
    </row>
    <row r="12" spans="2:12" x14ac:dyDescent="0.25">
      <c r="B12" s="17" t="s">
        <v>83</v>
      </c>
      <c r="C12" s="2" t="s">
        <v>73</v>
      </c>
      <c r="D12" s="130">
        <v>29</v>
      </c>
      <c r="E12" s="138" t="s">
        <v>115</v>
      </c>
      <c r="F12" s="90" t="s">
        <v>116</v>
      </c>
      <c r="G12" s="137">
        <f>SUM(D12:D15)</f>
        <v>128</v>
      </c>
      <c r="H12" s="144" t="s">
        <v>47</v>
      </c>
      <c r="I12" s="151" t="s">
        <v>142</v>
      </c>
      <c r="J12" s="120">
        <f>G8*C1*D28/D20</f>
        <v>92.33632653061224</v>
      </c>
    </row>
    <row r="13" spans="2:12" x14ac:dyDescent="0.25">
      <c r="B13" s="17" t="s">
        <v>84</v>
      </c>
      <c r="C13" s="2" t="s">
        <v>74</v>
      </c>
      <c r="D13" s="129">
        <v>29</v>
      </c>
      <c r="E13" s="136" t="s">
        <v>106</v>
      </c>
      <c r="F13" s="2" t="s">
        <v>64</v>
      </c>
      <c r="G13" s="7">
        <f>0.17512678*D16</f>
        <v>37.6522577</v>
      </c>
      <c r="H13" s="144" t="s">
        <v>50</v>
      </c>
      <c r="I13" s="151" t="s">
        <v>143</v>
      </c>
      <c r="J13" s="120">
        <f>G9*C1*D29/D21</f>
        <v>120.08842105263156</v>
      </c>
    </row>
    <row r="14" spans="2:12" x14ac:dyDescent="0.25">
      <c r="B14" s="17" t="s">
        <v>85</v>
      </c>
      <c r="C14" s="2" t="s">
        <v>75</v>
      </c>
      <c r="D14" s="129">
        <v>35</v>
      </c>
      <c r="E14" s="136" t="s">
        <v>107</v>
      </c>
      <c r="F14" s="2" t="s">
        <v>65</v>
      </c>
      <c r="G14" s="7">
        <f>0.17512678*D17</f>
        <v>37.126877360000002</v>
      </c>
      <c r="H14" s="144" t="s">
        <v>48</v>
      </c>
      <c r="I14" s="151" t="s">
        <v>144</v>
      </c>
      <c r="J14" s="120">
        <f xml:space="preserve"> (SUM(D12:D13)*C1*D24)/D20</f>
        <v>79.542857142857159</v>
      </c>
    </row>
    <row r="15" spans="2:12" x14ac:dyDescent="0.25">
      <c r="B15" s="17" t="s">
        <v>5</v>
      </c>
      <c r="C15" s="2" t="s">
        <v>76</v>
      </c>
      <c r="D15" s="129">
        <v>35</v>
      </c>
      <c r="E15" s="17" t="s">
        <v>89</v>
      </c>
      <c r="F15" s="2" t="s">
        <v>66</v>
      </c>
      <c r="G15" s="7">
        <f>0.17512678*D18</f>
        <v>81.486490734</v>
      </c>
      <c r="H15" s="144" t="s">
        <v>49</v>
      </c>
      <c r="I15" s="151" t="s">
        <v>145</v>
      </c>
      <c r="J15" s="120">
        <f xml:space="preserve"> (SUM(D14:D15)*C1*D25)/D21</f>
        <v>92.84210526315789</v>
      </c>
    </row>
    <row r="16" spans="2:12" x14ac:dyDescent="0.25">
      <c r="B16" s="17" t="s">
        <v>97</v>
      </c>
      <c r="C16" s="2" t="s">
        <v>99</v>
      </c>
      <c r="D16" s="129">
        <v>215</v>
      </c>
      <c r="E16" s="17" t="s">
        <v>90</v>
      </c>
      <c r="F16" s="2" t="s">
        <v>67</v>
      </c>
      <c r="G16" s="7">
        <f>0.17512678*D19</f>
        <v>81.486490734</v>
      </c>
      <c r="H16" s="144"/>
      <c r="I16" s="153" t="s">
        <v>146</v>
      </c>
      <c r="J16" s="124">
        <f>J9+J12+J14</f>
        <v>646.68719763890874</v>
      </c>
    </row>
    <row r="17" spans="2:10" x14ac:dyDescent="0.25">
      <c r="B17" s="17" t="s">
        <v>98</v>
      </c>
      <c r="C17" s="2" t="s">
        <v>100</v>
      </c>
      <c r="D17" s="129">
        <v>212</v>
      </c>
      <c r="E17" s="17" t="s">
        <v>91</v>
      </c>
      <c r="F17" s="2" t="s">
        <v>68</v>
      </c>
      <c r="G17" s="139">
        <f>G13*D4^2</f>
        <v>25.317378077479997</v>
      </c>
      <c r="H17" s="144"/>
      <c r="I17" s="153" t="s">
        <v>147</v>
      </c>
      <c r="J17" s="124">
        <f>J10+J13+J15</f>
        <v>992.66698649394993</v>
      </c>
    </row>
    <row r="18" spans="2:10" x14ac:dyDescent="0.25">
      <c r="B18" s="17" t="s">
        <v>89</v>
      </c>
      <c r="C18" s="2" t="s">
        <v>101</v>
      </c>
      <c r="D18" s="174">
        <v>465.3</v>
      </c>
      <c r="E18" s="17" t="s">
        <v>92</v>
      </c>
      <c r="F18" s="2" t="s">
        <v>93</v>
      </c>
      <c r="G18" s="139">
        <f>G14*D5^2</f>
        <v>24.964112336863998</v>
      </c>
      <c r="H18" s="144"/>
      <c r="I18" s="153" t="s">
        <v>148</v>
      </c>
      <c r="J18" s="125">
        <f>J16+J17</f>
        <v>1639.3541841328588</v>
      </c>
    </row>
    <row r="19" spans="2:10" x14ac:dyDescent="0.25">
      <c r="B19" s="17" t="s">
        <v>90</v>
      </c>
      <c r="C19" s="2" t="s">
        <v>102</v>
      </c>
      <c r="D19" s="174">
        <f>D18</f>
        <v>465.3</v>
      </c>
      <c r="E19" s="17" t="s">
        <v>103</v>
      </c>
      <c r="F19" s="2" t="s">
        <v>94</v>
      </c>
      <c r="G19" s="140">
        <f>G15*D6^2</f>
        <v>39.928380459659998</v>
      </c>
      <c r="H19" s="144" t="s">
        <v>96</v>
      </c>
      <c r="I19" s="150" t="s">
        <v>42</v>
      </c>
      <c r="J19" s="120">
        <f>(D8*9.81)+J16</f>
        <v>2369.3231976389088</v>
      </c>
    </row>
    <row r="20" spans="2:10" x14ac:dyDescent="0.25">
      <c r="B20" s="17" t="s">
        <v>10</v>
      </c>
      <c r="C20" s="5" t="s">
        <v>158</v>
      </c>
      <c r="D20" s="129">
        <v>1.47</v>
      </c>
      <c r="E20" s="17" t="s">
        <v>104</v>
      </c>
      <c r="F20" s="2" t="s">
        <v>95</v>
      </c>
      <c r="G20" s="120">
        <f>G16*D7^2</f>
        <v>39.928380459659998</v>
      </c>
      <c r="H20" s="146" t="s">
        <v>108</v>
      </c>
      <c r="I20" s="150" t="s">
        <v>43</v>
      </c>
      <c r="J20" s="120">
        <f>(D9*9.81)-J16</f>
        <v>1281.9588023610913</v>
      </c>
    </row>
    <row r="21" spans="2:10" x14ac:dyDescent="0.25">
      <c r="B21" s="17" t="s">
        <v>11</v>
      </c>
      <c r="C21" s="5" t="s">
        <v>159</v>
      </c>
      <c r="D21" s="129">
        <v>1.52</v>
      </c>
      <c r="E21" s="17" t="s">
        <v>25</v>
      </c>
      <c r="F21" s="5" t="s">
        <v>110</v>
      </c>
      <c r="G21" s="132">
        <f>(G9*D23)/G10</f>
        <v>1.2804547615274917</v>
      </c>
      <c r="H21" s="146" t="s">
        <v>105</v>
      </c>
      <c r="I21" s="150" t="s">
        <v>44</v>
      </c>
      <c r="J21" s="120">
        <f>(D10*9.81)+J17</f>
        <v>2745.71398649395</v>
      </c>
    </row>
    <row r="22" spans="2:10" x14ac:dyDescent="0.25">
      <c r="B22" s="17"/>
      <c r="C22" s="5"/>
      <c r="D22" s="129"/>
      <c r="E22" s="17" t="s">
        <v>26</v>
      </c>
      <c r="F22" s="2" t="s">
        <v>35</v>
      </c>
      <c r="G22" s="129">
        <f>D29-D28</f>
        <v>2.0000000000000004E-2</v>
      </c>
      <c r="H22" s="144" t="s">
        <v>29</v>
      </c>
      <c r="I22" s="150" t="s">
        <v>45</v>
      </c>
      <c r="J22" s="120">
        <f>(D11 *9.81)-J17</f>
        <v>1049.7750135060501</v>
      </c>
    </row>
    <row r="23" spans="2:10" x14ac:dyDescent="0.25">
      <c r="B23" s="17" t="s">
        <v>15</v>
      </c>
      <c r="C23" s="5" t="s">
        <v>161</v>
      </c>
      <c r="D23" s="129">
        <v>2.5499999999999998</v>
      </c>
      <c r="E23" s="17" t="s">
        <v>27</v>
      </c>
      <c r="F23" s="2" t="s">
        <v>32</v>
      </c>
      <c r="G23" s="132">
        <f>G22*G21/D23</f>
        <v>1.0042782443352879E-2</v>
      </c>
      <c r="H23" s="144"/>
      <c r="I23" s="154" t="s">
        <v>149</v>
      </c>
      <c r="J23" s="124">
        <f>SUM(J19:J22)</f>
        <v>7446.7710000000006</v>
      </c>
    </row>
    <row r="24" spans="2:10" ht="13" thickBot="1" x14ac:dyDescent="0.3">
      <c r="B24" s="85" t="s">
        <v>157</v>
      </c>
      <c r="C24" s="86" t="s">
        <v>162</v>
      </c>
      <c r="D24" s="129">
        <v>0.28000000000000003</v>
      </c>
      <c r="E24" s="17" t="s">
        <v>28</v>
      </c>
      <c r="F24" s="2" t="s">
        <v>33</v>
      </c>
      <c r="G24" s="132">
        <f>G23+D28</f>
        <v>7.004278244335288E-2</v>
      </c>
      <c r="H24" s="144"/>
      <c r="I24" s="151" t="s">
        <v>150</v>
      </c>
      <c r="J24" s="120">
        <f>G11*9.81</f>
        <v>7446.7709999999997</v>
      </c>
    </row>
    <row r="25" spans="2:10" ht="13" thickBot="1" x14ac:dyDescent="0.3">
      <c r="B25" s="87" t="s">
        <v>120</v>
      </c>
      <c r="C25" s="88" t="s">
        <v>163</v>
      </c>
      <c r="D25" s="131">
        <v>0.28000000000000003</v>
      </c>
      <c r="E25" s="17" t="s">
        <v>60</v>
      </c>
      <c r="F25" s="2" t="s">
        <v>34</v>
      </c>
      <c r="G25" s="132">
        <f>D27-G24</f>
        <v>0.41443669782918713</v>
      </c>
      <c r="H25" s="144" t="s">
        <v>57</v>
      </c>
      <c r="I25" s="150" t="s">
        <v>58</v>
      </c>
      <c r="J25" s="84">
        <f>G11*C1*D26/ AVERAGE(D20:D21)</f>
        <v>1645.1397993311034</v>
      </c>
    </row>
    <row r="26" spans="2:10" x14ac:dyDescent="0.25">
      <c r="B26" s="17" t="s">
        <v>59</v>
      </c>
      <c r="C26" s="5" t="s">
        <v>164</v>
      </c>
      <c r="D26" s="129">
        <v>0.45</v>
      </c>
      <c r="E26" s="141"/>
      <c r="F26" s="2"/>
      <c r="G26" s="135"/>
      <c r="H26" s="144"/>
      <c r="I26" s="17"/>
      <c r="J26" s="93"/>
    </row>
    <row r="27" spans="2:10" x14ac:dyDescent="0.25">
      <c r="B27" s="17" t="s">
        <v>53</v>
      </c>
      <c r="C27" s="5" t="s">
        <v>165</v>
      </c>
      <c r="D27" s="172">
        <f>((D26*G11)-(SUM(D12:D13)*D24)-( SUM(D14:D15)*D25))/G10</f>
        <v>0.48447948027254001</v>
      </c>
      <c r="E27" s="17"/>
      <c r="F27" s="2"/>
      <c r="G27" s="135"/>
    </row>
    <row r="28" spans="2:10" x14ac:dyDescent="0.25">
      <c r="B28" s="17" t="s">
        <v>21</v>
      </c>
      <c r="C28" s="5" t="s">
        <v>166</v>
      </c>
      <c r="D28" s="129">
        <v>0.06</v>
      </c>
      <c r="E28" s="17"/>
      <c r="F28" s="2"/>
      <c r="G28" s="135"/>
      <c r="H28" s="144"/>
      <c r="I28" s="17"/>
      <c r="J28" s="92"/>
    </row>
    <row r="29" spans="2:10" ht="13" thickBot="1" x14ac:dyDescent="0.3">
      <c r="B29" s="126" t="s">
        <v>22</v>
      </c>
      <c r="C29" s="155" t="s">
        <v>167</v>
      </c>
      <c r="D29" s="133">
        <v>0.08</v>
      </c>
      <c r="E29" s="126"/>
      <c r="F29" s="20"/>
      <c r="G29" s="142"/>
      <c r="H29" s="148"/>
      <c r="I29" s="126"/>
      <c r="J29" s="95"/>
    </row>
    <row r="31" spans="2:10" x14ac:dyDescent="0.25">
      <c r="F31" s="14" t="s">
        <v>168</v>
      </c>
    </row>
    <row r="32" spans="2:10" x14ac:dyDescent="0.25">
      <c r="D32" s="110">
        <f>'Load Splits for Q4 Recal'!E12</f>
        <v>608.57457771008239</v>
      </c>
      <c r="E32" s="173" t="s">
        <v>179</v>
      </c>
    </row>
    <row r="33" spans="4:7" x14ac:dyDescent="0.25">
      <c r="D33" s="110">
        <f>'Load Splits for Q3'!E12</f>
        <v>608.45240033378104</v>
      </c>
      <c r="E33" s="173" t="s">
        <v>177</v>
      </c>
    </row>
    <row r="44" spans="4:7" x14ac:dyDescent="0.25">
      <c r="G44" s="14" t="s">
        <v>169</v>
      </c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23"/>
  <sheetViews>
    <sheetView workbookViewId="0">
      <selection activeCell="K35" sqref="K35"/>
    </sheetView>
  </sheetViews>
  <sheetFormatPr defaultRowHeight="12.5" x14ac:dyDescent="0.25"/>
  <cols>
    <col min="2" max="2" width="3.81640625" customWidth="1"/>
    <col min="3" max="3" width="19.7265625" customWidth="1"/>
    <col min="8" max="8" width="12.26953125" customWidth="1"/>
    <col min="12" max="12" width="21.1796875" customWidth="1"/>
    <col min="13" max="13" width="3.81640625" customWidth="1"/>
  </cols>
  <sheetData>
    <row r="2" spans="2:16" ht="25" x14ac:dyDescent="0.5">
      <c r="C2" s="80" t="s">
        <v>141</v>
      </c>
      <c r="D2" s="80"/>
      <c r="E2" s="80"/>
      <c r="G2" s="14" t="s">
        <v>181</v>
      </c>
    </row>
    <row r="3" spans="2:16" ht="13" thickBot="1" x14ac:dyDescent="0.3"/>
    <row r="4" spans="2:16" ht="13" thickBot="1" x14ac:dyDescent="0.3">
      <c r="B4" s="160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2"/>
    </row>
    <row r="5" spans="2:16" ht="15.5" x14ac:dyDescent="0.35">
      <c r="B5" s="141"/>
      <c r="C5" s="21"/>
      <c r="D5" s="22"/>
      <c r="E5" s="22"/>
      <c r="F5" s="22"/>
      <c r="G5" s="22"/>
      <c r="H5" s="23">
        <f>H7/H11</f>
        <v>0.49031748122776969</v>
      </c>
      <c r="I5" s="24"/>
      <c r="J5" s="25"/>
      <c r="K5" s="24"/>
      <c r="L5" s="26"/>
      <c r="M5" s="163"/>
    </row>
    <row r="6" spans="2:16" ht="15.5" x14ac:dyDescent="0.35">
      <c r="B6" s="141"/>
      <c r="C6" s="27"/>
      <c r="D6" s="28"/>
      <c r="E6" s="29"/>
      <c r="F6" s="29"/>
      <c r="G6" s="29"/>
      <c r="H6" s="30" t="s">
        <v>123</v>
      </c>
      <c r="I6" s="29"/>
      <c r="J6" s="29"/>
      <c r="K6" s="29"/>
      <c r="L6" s="31"/>
      <c r="M6" s="163"/>
    </row>
    <row r="7" spans="2:16" ht="16" thickBot="1" x14ac:dyDescent="0.4">
      <c r="B7" s="141"/>
      <c r="C7" s="27"/>
      <c r="D7" s="29"/>
      <c r="E7" s="29"/>
      <c r="F7" s="29"/>
      <c r="G7" s="29"/>
      <c r="H7" s="32">
        <f>F9+J9</f>
        <v>3651.2820000000002</v>
      </c>
      <c r="I7" s="29"/>
      <c r="J7" s="29"/>
      <c r="K7" s="29"/>
      <c r="L7" s="31"/>
      <c r="M7" s="163"/>
    </row>
    <row r="8" spans="2:16" ht="16" thickBot="1" x14ac:dyDescent="0.4">
      <c r="B8" s="141"/>
      <c r="C8" s="27"/>
      <c r="D8" s="29"/>
      <c r="E8" s="33"/>
      <c r="F8" s="34">
        <f>F9/H11</f>
        <v>0.31816786062561997</v>
      </c>
      <c r="G8" s="35" t="s">
        <v>124</v>
      </c>
      <c r="H8" s="36"/>
      <c r="I8" s="37" t="s">
        <v>125</v>
      </c>
      <c r="J8" s="38">
        <f>J9/H11</f>
        <v>0.17214962060214975</v>
      </c>
      <c r="K8" s="29"/>
      <c r="L8" s="31"/>
      <c r="M8" s="163"/>
    </row>
    <row r="9" spans="2:16" ht="16" thickBot="1" x14ac:dyDescent="0.4">
      <c r="B9" s="141"/>
      <c r="C9" s="39" t="s">
        <v>126</v>
      </c>
      <c r="D9" s="40" t="s">
        <v>127</v>
      </c>
      <c r="E9" s="41">
        <f>F9-J9</f>
        <v>1087.3643952778175</v>
      </c>
      <c r="F9" s="156">
        <f>' Q4 Indep calc Recal  '!J19</f>
        <v>2369.3231976389088</v>
      </c>
      <c r="G9" s="42"/>
      <c r="H9" s="43"/>
      <c r="I9" s="44"/>
      <c r="J9" s="157">
        <f>' Q4 Indep calc Recal  '!J20</f>
        <v>1281.9588023610913</v>
      </c>
      <c r="K9" s="29"/>
      <c r="L9" s="31"/>
      <c r="M9" s="163"/>
    </row>
    <row r="10" spans="2:16" ht="16" thickBot="1" x14ac:dyDescent="0.4">
      <c r="B10" s="141"/>
      <c r="C10" s="27"/>
      <c r="D10" s="45"/>
      <c r="E10" s="29"/>
      <c r="F10" s="45"/>
      <c r="G10" s="46"/>
      <c r="H10" s="43"/>
      <c r="I10" s="47"/>
      <c r="J10" s="48"/>
      <c r="K10" s="29"/>
      <c r="L10" s="31"/>
      <c r="M10" s="163"/>
    </row>
    <row r="11" spans="2:16" ht="16" thickBot="1" x14ac:dyDescent="0.4">
      <c r="B11" s="141"/>
      <c r="C11" s="27"/>
      <c r="D11" s="49" t="s">
        <v>128</v>
      </c>
      <c r="E11" s="50">
        <f>F11/H11</f>
        <v>0.68687988178135972</v>
      </c>
      <c r="F11" s="51">
        <f>F9+F13</f>
        <v>5115.0371841328588</v>
      </c>
      <c r="G11" s="52"/>
      <c r="H11" s="159">
        <f>H7+H14</f>
        <v>7446.7710000000006</v>
      </c>
      <c r="I11" s="52"/>
      <c r="J11" s="53">
        <f>J9+J13</f>
        <v>2331.7338158671414</v>
      </c>
      <c r="K11" s="54">
        <f>J11/H11</f>
        <v>0.31312011821864016</v>
      </c>
      <c r="L11" s="55" t="s">
        <v>129</v>
      </c>
      <c r="M11" s="163"/>
      <c r="P11">
        <v>900.68560118462301</v>
      </c>
    </row>
    <row r="12" spans="2:16" ht="16" thickBot="1" x14ac:dyDescent="0.4">
      <c r="B12" s="141"/>
      <c r="C12" s="56" t="s">
        <v>130</v>
      </c>
      <c r="D12" s="57" t="s">
        <v>131</v>
      </c>
      <c r="E12" s="58">
        <f>E13-E9</f>
        <v>608.57457771008239</v>
      </c>
      <c r="F12" s="59">
        <f>F13/H11</f>
        <v>0.36871202115573981</v>
      </c>
      <c r="G12" s="46"/>
      <c r="H12" s="43"/>
      <c r="I12" s="47"/>
      <c r="J12" s="60">
        <f>J13/H11</f>
        <v>0.14097049761649041</v>
      </c>
      <c r="K12" s="29"/>
      <c r="L12" s="31"/>
      <c r="M12" s="163"/>
    </row>
    <row r="13" spans="2:16" ht="16" thickBot="1" x14ac:dyDescent="0.4">
      <c r="B13" s="141"/>
      <c r="C13" s="39" t="s">
        <v>132</v>
      </c>
      <c r="D13" s="61" t="s">
        <v>133</v>
      </c>
      <c r="E13" s="41">
        <f>F13-J13</f>
        <v>1695.9389729878999</v>
      </c>
      <c r="F13" s="156">
        <f>' Q4 Indep calc Recal  '!J21</f>
        <v>2745.71398649395</v>
      </c>
      <c r="G13" s="62" t="s">
        <v>134</v>
      </c>
      <c r="H13" s="63"/>
      <c r="I13" s="64" t="s">
        <v>135</v>
      </c>
      <c r="J13" s="158">
        <f>' Q4 Indep calc Recal  '!J22</f>
        <v>1049.7750135060501</v>
      </c>
      <c r="K13" s="29"/>
      <c r="L13" s="31"/>
      <c r="M13" s="163"/>
    </row>
    <row r="14" spans="2:16" ht="16" thickBot="1" x14ac:dyDescent="0.4">
      <c r="B14" s="141"/>
      <c r="C14" s="27"/>
      <c r="D14" s="65"/>
      <c r="E14" s="66" t="s">
        <v>136</v>
      </c>
      <c r="F14" s="67">
        <f>F13-F9</f>
        <v>376.39078885504114</v>
      </c>
      <c r="G14" s="33"/>
      <c r="H14" s="68">
        <f>F13+J13</f>
        <v>3795.489</v>
      </c>
      <c r="I14" s="33"/>
      <c r="J14" s="69">
        <f>J13-J9</f>
        <v>-232.18378885504126</v>
      </c>
      <c r="K14" s="70" t="s">
        <v>137</v>
      </c>
      <c r="L14" s="55"/>
      <c r="M14" s="163"/>
    </row>
    <row r="15" spans="2:16" ht="16" thickBot="1" x14ac:dyDescent="0.4">
      <c r="B15" s="141"/>
      <c r="C15" s="27"/>
      <c r="D15" s="45"/>
      <c r="E15" s="71" t="s">
        <v>138</v>
      </c>
      <c r="F15" s="72">
        <f>(F13+J9)/H11</f>
        <v>0.54086164175788953</v>
      </c>
      <c r="G15" s="29"/>
      <c r="H15" s="73" t="s">
        <v>139</v>
      </c>
      <c r="I15" s="29"/>
      <c r="J15" s="29"/>
      <c r="K15" s="29"/>
      <c r="L15" s="31"/>
      <c r="M15" s="163"/>
    </row>
    <row r="16" spans="2:16" ht="16" thickBot="1" x14ac:dyDescent="0.4">
      <c r="B16" s="141"/>
      <c r="C16" s="74"/>
      <c r="D16" s="65"/>
      <c r="E16" s="66" t="s">
        <v>140</v>
      </c>
      <c r="F16" s="75">
        <f>F13-J9</f>
        <v>1463.7551841328586</v>
      </c>
      <c r="G16" s="76"/>
      <c r="H16" s="77">
        <f>H14/H11</f>
        <v>0.50968251877223025</v>
      </c>
      <c r="I16" s="76"/>
      <c r="J16" s="76"/>
      <c r="K16" s="78"/>
      <c r="L16" s="79"/>
      <c r="M16" s="163"/>
    </row>
    <row r="17" spans="2:13" ht="13" thickBot="1" x14ac:dyDescent="0.3">
      <c r="B17" s="18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64"/>
    </row>
    <row r="23" spans="2:13" x14ac:dyDescent="0.25">
      <c r="J23" s="14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23"/>
  <sheetViews>
    <sheetView workbookViewId="0">
      <selection activeCell="J14" sqref="J14"/>
    </sheetView>
  </sheetViews>
  <sheetFormatPr defaultRowHeight="12.5" x14ac:dyDescent="0.25"/>
  <cols>
    <col min="2" max="2" width="3.81640625" customWidth="1"/>
    <col min="3" max="3" width="19.7265625" customWidth="1"/>
    <col min="8" max="8" width="12.26953125" customWidth="1"/>
    <col min="12" max="12" width="21.1796875" customWidth="1"/>
    <col min="13" max="13" width="3.81640625" customWidth="1"/>
  </cols>
  <sheetData>
    <row r="2" spans="2:16" ht="25" x14ac:dyDescent="0.5">
      <c r="C2" s="80" t="s">
        <v>141</v>
      </c>
      <c r="D2" s="80"/>
      <c r="E2" s="80"/>
      <c r="G2" s="14" t="s">
        <v>184</v>
      </c>
    </row>
    <row r="3" spans="2:16" ht="13" thickBot="1" x14ac:dyDescent="0.3"/>
    <row r="4" spans="2:16" ht="13" thickBot="1" x14ac:dyDescent="0.3">
      <c r="B4" s="160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2"/>
    </row>
    <row r="5" spans="2:16" ht="15.5" x14ac:dyDescent="0.35">
      <c r="B5" s="141"/>
      <c r="C5" s="21"/>
      <c r="D5" s="22"/>
      <c r="E5" s="22"/>
      <c r="F5" s="22"/>
      <c r="G5" s="22"/>
      <c r="H5" s="23">
        <f>H7/H11</f>
        <v>0.43375596138187739</v>
      </c>
      <c r="I5" s="24"/>
      <c r="J5" s="25"/>
      <c r="K5" s="24"/>
      <c r="L5" s="26"/>
      <c r="M5" s="163"/>
    </row>
    <row r="6" spans="2:16" ht="15.5" x14ac:dyDescent="0.35">
      <c r="B6" s="141"/>
      <c r="C6" s="27"/>
      <c r="D6" s="28"/>
      <c r="E6" s="29"/>
      <c r="F6" s="29"/>
      <c r="G6" s="29"/>
      <c r="H6" s="30" t="s">
        <v>123</v>
      </c>
      <c r="I6" s="29"/>
      <c r="J6" s="29"/>
      <c r="K6" s="29"/>
      <c r="L6" s="31"/>
      <c r="M6" s="163"/>
    </row>
    <row r="7" spans="2:16" ht="16" thickBot="1" x14ac:dyDescent="0.4">
      <c r="B7" s="141"/>
      <c r="C7" s="27"/>
      <c r="D7" s="29"/>
      <c r="E7" s="29"/>
      <c r="F7" s="29"/>
      <c r="G7" s="29"/>
      <c r="H7" s="32">
        <f>F9+J9</f>
        <v>3729</v>
      </c>
      <c r="I7" s="29"/>
      <c r="J7" s="29"/>
      <c r="K7" s="29"/>
      <c r="L7" s="31"/>
      <c r="M7" s="163"/>
    </row>
    <row r="8" spans="2:16" ht="16" thickBot="1" x14ac:dyDescent="0.4">
      <c r="B8" s="141"/>
      <c r="C8" s="27"/>
      <c r="D8" s="29"/>
      <c r="E8" s="33"/>
      <c r="F8" s="34">
        <f>F9/H11</f>
        <v>0.20158194719088054</v>
      </c>
      <c r="G8" s="35" t="s">
        <v>124</v>
      </c>
      <c r="H8" s="36"/>
      <c r="I8" s="37" t="s">
        <v>125</v>
      </c>
      <c r="J8" s="38">
        <f>J9/H11</f>
        <v>0.23217401419099687</v>
      </c>
      <c r="K8" s="29"/>
      <c r="L8" s="31"/>
      <c r="M8" s="163"/>
    </row>
    <row r="9" spans="2:16" ht="16" thickBot="1" x14ac:dyDescent="0.4">
      <c r="B9" s="141"/>
      <c r="C9" s="39" t="s">
        <v>126</v>
      </c>
      <c r="D9" s="40" t="s">
        <v>127</v>
      </c>
      <c r="E9" s="41">
        <f>F9-J9</f>
        <v>-263</v>
      </c>
      <c r="F9" s="156">
        <v>1733</v>
      </c>
      <c r="G9" s="42"/>
      <c r="H9" s="43"/>
      <c r="I9" s="44"/>
      <c r="J9" s="157">
        <v>1996</v>
      </c>
      <c r="K9" s="29"/>
      <c r="L9" s="31"/>
      <c r="M9" s="163"/>
    </row>
    <row r="10" spans="2:16" ht="16" thickBot="1" x14ac:dyDescent="0.4">
      <c r="B10" s="141"/>
      <c r="C10" s="27"/>
      <c r="D10" s="45"/>
      <c r="E10" s="29"/>
      <c r="F10" s="45"/>
      <c r="G10" s="46"/>
      <c r="H10" s="43"/>
      <c r="I10" s="47"/>
      <c r="J10" s="48"/>
      <c r="K10" s="29"/>
      <c r="L10" s="31"/>
      <c r="M10" s="163"/>
    </row>
    <row r="11" spans="2:16" ht="16" thickBot="1" x14ac:dyDescent="0.4">
      <c r="B11" s="141"/>
      <c r="C11" s="27"/>
      <c r="D11" s="49" t="s">
        <v>128</v>
      </c>
      <c r="E11" s="50">
        <f>F11/H11</f>
        <v>0.39409096196347565</v>
      </c>
      <c r="F11" s="51">
        <f>F9+F13</f>
        <v>3388</v>
      </c>
      <c r="G11" s="52"/>
      <c r="H11" s="159">
        <f>H7+H14</f>
        <v>8597</v>
      </c>
      <c r="I11" s="52"/>
      <c r="J11" s="53">
        <f>J9+J13</f>
        <v>5209</v>
      </c>
      <c r="K11" s="54">
        <f>J11/H11</f>
        <v>0.60590903803652441</v>
      </c>
      <c r="L11" s="55" t="s">
        <v>129</v>
      </c>
      <c r="M11" s="163"/>
      <c r="P11">
        <v>900.68560118462301</v>
      </c>
    </row>
    <row r="12" spans="2:16" ht="16" thickBot="1" x14ac:dyDescent="0.4">
      <c r="B12" s="141"/>
      <c r="C12" s="56" t="s">
        <v>130</v>
      </c>
      <c r="D12" s="57" t="s">
        <v>131</v>
      </c>
      <c r="E12" s="58">
        <f>E13-E9</f>
        <v>-1295</v>
      </c>
      <c r="F12" s="59">
        <f>F13/H11</f>
        <v>0.19250901477259511</v>
      </c>
      <c r="G12" s="46"/>
      <c r="H12" s="43"/>
      <c r="I12" s="47"/>
      <c r="J12" s="60">
        <f>J13/H11</f>
        <v>0.37373502384552754</v>
      </c>
      <c r="K12" s="29"/>
      <c r="L12" s="31"/>
      <c r="M12" s="163"/>
    </row>
    <row r="13" spans="2:16" ht="16" thickBot="1" x14ac:dyDescent="0.4">
      <c r="B13" s="141"/>
      <c r="C13" s="39" t="s">
        <v>132</v>
      </c>
      <c r="D13" s="61" t="s">
        <v>133</v>
      </c>
      <c r="E13" s="41">
        <f>F13-J13</f>
        <v>-1558</v>
      </c>
      <c r="F13" s="156">
        <v>1655</v>
      </c>
      <c r="G13" s="62" t="s">
        <v>134</v>
      </c>
      <c r="H13" s="63"/>
      <c r="I13" s="64" t="s">
        <v>135</v>
      </c>
      <c r="J13" s="158">
        <v>3213</v>
      </c>
      <c r="K13" s="29"/>
      <c r="L13" s="31"/>
      <c r="M13" s="163"/>
    </row>
    <row r="14" spans="2:16" ht="16" thickBot="1" x14ac:dyDescent="0.4">
      <c r="B14" s="141"/>
      <c r="C14" s="27"/>
      <c r="D14" s="65"/>
      <c r="E14" s="66" t="s">
        <v>136</v>
      </c>
      <c r="F14" s="67">
        <f>F13-F9</f>
        <v>-78</v>
      </c>
      <c r="G14" s="33"/>
      <c r="H14" s="68">
        <f>F13+J13</f>
        <v>4868</v>
      </c>
      <c r="I14" s="33"/>
      <c r="J14" s="69">
        <f>J13-J9</f>
        <v>1217</v>
      </c>
      <c r="K14" s="70" t="s">
        <v>137</v>
      </c>
      <c r="L14" s="55"/>
      <c r="M14" s="163"/>
    </row>
    <row r="15" spans="2:16" ht="16" thickBot="1" x14ac:dyDescent="0.4">
      <c r="B15" s="141"/>
      <c r="C15" s="27"/>
      <c r="D15" s="45"/>
      <c r="E15" s="71" t="s">
        <v>138</v>
      </c>
      <c r="F15" s="72">
        <f>(F13+J9)/H11</f>
        <v>0.42468302896359195</v>
      </c>
      <c r="G15" s="29"/>
      <c r="H15" s="73" t="s">
        <v>139</v>
      </c>
      <c r="I15" s="29"/>
      <c r="J15" s="29"/>
      <c r="K15" s="29"/>
      <c r="L15" s="31"/>
      <c r="M15" s="163"/>
    </row>
    <row r="16" spans="2:16" ht="16" thickBot="1" x14ac:dyDescent="0.4">
      <c r="B16" s="141"/>
      <c r="C16" s="74"/>
      <c r="D16" s="65"/>
      <c r="E16" s="66" t="s">
        <v>140</v>
      </c>
      <c r="F16" s="75">
        <f>F13-J9</f>
        <v>-341</v>
      </c>
      <c r="G16" s="76"/>
      <c r="H16" s="77">
        <f>H14/H11</f>
        <v>0.56624403861812256</v>
      </c>
      <c r="I16" s="76"/>
      <c r="J16" s="76"/>
      <c r="K16" s="78"/>
      <c r="L16" s="79"/>
      <c r="M16" s="163"/>
    </row>
    <row r="17" spans="2:13" ht="13" thickBot="1" x14ac:dyDescent="0.3">
      <c r="B17" s="18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64"/>
    </row>
    <row r="19" spans="2:13" x14ac:dyDescent="0.25">
      <c r="J19">
        <v>2370</v>
      </c>
    </row>
    <row r="23" spans="2:13" x14ac:dyDescent="0.25">
      <c r="J23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Exam Q1</vt:lpstr>
      <vt:lpstr> Q2 Live calc</vt:lpstr>
      <vt:lpstr>Load Splits for Q2</vt:lpstr>
      <vt:lpstr> Q3 Live calc </vt:lpstr>
      <vt:lpstr>Load Splits for Q3</vt:lpstr>
      <vt:lpstr> Q4 Indep calc  </vt:lpstr>
      <vt:lpstr>Load Splits for Q4</vt:lpstr>
      <vt:lpstr> Q4 Indep calc Recal  </vt:lpstr>
      <vt:lpstr>Sheet1</vt:lpstr>
      <vt:lpstr>Load Splits for Q4 Recal</vt:lpstr>
      <vt:lpstr>Check for student results </vt:lpstr>
    </vt:vector>
  </TitlesOfParts>
  <Company>Swansea Institute of Higher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Dowden</dc:creator>
  <cp:lastModifiedBy>Roger</cp:lastModifiedBy>
  <cp:lastPrinted>2011-02-13T19:11:45Z</cp:lastPrinted>
  <dcterms:created xsi:type="dcterms:W3CDTF">2008-02-09T17:39:24Z</dcterms:created>
  <dcterms:modified xsi:type="dcterms:W3CDTF">2017-04-03T14:19:31Z</dcterms:modified>
</cp:coreProperties>
</file>