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ger\Documents\WORK\BENGWORK\Vehicle Dynamics 2017-18\Lateral Acceleration\Wuhan 2018\Weight transfer Spreadsheet\"/>
    </mc:Choice>
  </mc:AlternateContent>
  <xr:revisionPtr revIDLastSave="0" documentId="13_ncr:1_{37ACF86C-7F99-40D0-9DF1-FBD75C0B3065}" xr6:coauthVersionLast="32" xr6:coauthVersionMax="32" xr10:uidLastSave="{00000000-0000-0000-0000-000000000000}"/>
  <bookViews>
    <workbookView xWindow="0" yWindow="770" windowWidth="9770" windowHeight="7140" xr2:uid="{00000000-000D-0000-FFFF-FFFF00000000}"/>
  </bookViews>
  <sheets>
    <sheet name="Example Calc " sheetId="15" r:id="rId1"/>
    <sheet name="Example Calc  (No Formulae)" sheetId="18" r:id="rId2"/>
    <sheet name="Example  Calc Load Splits " sheetId="17" r:id="rId3"/>
    <sheet name="Simple  Calc" sheetId="7" r:id="rId4"/>
    <sheet name="Simple Calc  No Formulae " sheetId="13" r:id="rId5"/>
    <sheet name="Simple  Calc Load Splits" sheetId="8" r:id="rId6"/>
    <sheet name="Blank WT Structure" sheetId="14" r:id="rId7"/>
  </sheets>
  <definedNames>
    <definedName name="Left_front__corner_sprung_mass__kg" comment="FL" localSheetId="6">#REF!</definedName>
    <definedName name="Left_front__corner_sprung_mass__kg" comment="FL" localSheetId="2">#REF!</definedName>
    <definedName name="Left_front__corner_sprung_mass__kg" comment="FL" localSheetId="0">#REF!</definedName>
    <definedName name="Left_front__corner_sprung_mass__kg" comment="FL" localSheetId="1">#REF!</definedName>
    <definedName name="Left_front__corner_sprung_mass__kg" comment="FL" localSheetId="3">#REF!</definedName>
    <definedName name="Left_front__corner_sprung_mass__kg" comment="FL" localSheetId="4">#REF!</definedName>
    <definedName name="Left_front__corner_sprung_mass__kg" comment="FL">#REF!</definedName>
  </definedNames>
  <calcPr calcId="179017"/>
</workbook>
</file>

<file path=xl/calcChain.xml><?xml version="1.0" encoding="utf-8"?>
<calcChain xmlns="http://schemas.openxmlformats.org/spreadsheetml/2006/main">
  <c r="E12" i="17" l="1"/>
  <c r="E12" i="8"/>
  <c r="G13" i="15" l="1"/>
  <c r="G22" i="15"/>
  <c r="G16" i="15"/>
  <c r="G20" i="15" s="1"/>
  <c r="G15" i="15"/>
  <c r="G19" i="15" s="1"/>
  <c r="J5" i="15" s="1"/>
  <c r="J14" i="15"/>
  <c r="G14" i="15"/>
  <c r="G18" i="15" s="1"/>
  <c r="J13" i="15"/>
  <c r="G17" i="15"/>
  <c r="G12" i="15"/>
  <c r="G11" i="15"/>
  <c r="G7" i="15"/>
  <c r="G6" i="15"/>
  <c r="G5" i="15"/>
  <c r="G4" i="15"/>
  <c r="J4" i="15" l="1"/>
  <c r="J6" i="15" s="1"/>
  <c r="G9" i="15"/>
  <c r="G8" i="15"/>
  <c r="J11" i="15" s="1"/>
  <c r="G10" i="15"/>
  <c r="G21" i="15" s="1"/>
  <c r="G23" i="15" s="1"/>
  <c r="G24" i="15" s="1"/>
  <c r="J23" i="15"/>
  <c r="J12" i="15"/>
  <c r="J24" i="15"/>
  <c r="G18" i="7"/>
  <c r="G14" i="7"/>
  <c r="G15" i="7"/>
  <c r="G19" i="7" s="1"/>
  <c r="G16" i="7"/>
  <c r="G20" i="7" s="1"/>
  <c r="G13" i="7"/>
  <c r="J4" i="7" l="1"/>
  <c r="G17" i="7"/>
  <c r="J5" i="7"/>
  <c r="D30" i="15"/>
  <c r="G25" i="15" s="1"/>
  <c r="J7" i="15" s="1"/>
  <c r="J8" i="15" s="1"/>
  <c r="G22" i="7"/>
  <c r="J14" i="7"/>
  <c r="J13" i="7"/>
  <c r="G12" i="7"/>
  <c r="G11" i="7"/>
  <c r="J24" i="7" s="1"/>
  <c r="G7" i="7"/>
  <c r="G6" i="7"/>
  <c r="G5" i="7"/>
  <c r="G4" i="7"/>
  <c r="K8" i="18" l="1"/>
  <c r="J10" i="15"/>
  <c r="J16" i="15" s="1"/>
  <c r="K8" i="15"/>
  <c r="J9" i="15"/>
  <c r="J15" i="15" s="1"/>
  <c r="J6" i="7"/>
  <c r="G9" i="7"/>
  <c r="J12" i="7" s="1"/>
  <c r="G8" i="7"/>
  <c r="J23" i="7"/>
  <c r="G10" i="7" l="1"/>
  <c r="D30" i="7" s="1"/>
  <c r="J20" i="15"/>
  <c r="F13" i="17" s="1"/>
  <c r="J21" i="15"/>
  <c r="J13" i="17" s="1"/>
  <c r="J18" i="15"/>
  <c r="F9" i="17" s="1"/>
  <c r="J19" i="15"/>
  <c r="J9" i="17" s="1"/>
  <c r="J17" i="15"/>
  <c r="K8" i="13"/>
  <c r="J11" i="7"/>
  <c r="G21" i="7"/>
  <c r="G23" i="7" s="1"/>
  <c r="G24" i="7" s="1"/>
  <c r="G25" i="7" s="1"/>
  <c r="J7" i="7" s="1"/>
  <c r="J8" i="7" s="1"/>
  <c r="J14" i="17" l="1"/>
  <c r="H14" i="17"/>
  <c r="F14" i="17"/>
  <c r="F16" i="17"/>
  <c r="E13" i="17"/>
  <c r="J11" i="17"/>
  <c r="H7" i="17"/>
  <c r="F11" i="17"/>
  <c r="E9" i="17"/>
  <c r="J26" i="15"/>
  <c r="J22" i="15"/>
  <c r="J25" i="15"/>
  <c r="J10" i="7"/>
  <c r="J16" i="7" s="1"/>
  <c r="J9" i="7"/>
  <c r="J15" i="7" s="1"/>
  <c r="K8" i="7"/>
  <c r="H11" i="17" l="1"/>
  <c r="K11" i="17" s="1"/>
  <c r="J27" i="15"/>
  <c r="J20" i="7"/>
  <c r="J21" i="7"/>
  <c r="J13" i="8" s="1"/>
  <c r="J19" i="7"/>
  <c r="J9" i="8" s="1"/>
  <c r="J18" i="7"/>
  <c r="J17" i="7"/>
  <c r="H5" i="17" l="1"/>
  <c r="H16" i="17"/>
  <c r="E11" i="17"/>
  <c r="F8" i="17"/>
  <c r="F15" i="17"/>
  <c r="F12" i="17"/>
  <c r="J12" i="17"/>
  <c r="J8" i="17"/>
  <c r="F9" i="8"/>
  <c r="J25" i="7"/>
  <c r="F13" i="8"/>
  <c r="F16" i="8" s="1"/>
  <c r="J26" i="7"/>
  <c r="J22" i="7"/>
  <c r="J11" i="8"/>
  <c r="J14" i="8"/>
  <c r="H14" i="8" l="1"/>
  <c r="E13" i="8"/>
  <c r="F14" i="8"/>
  <c r="J27" i="7"/>
  <c r="H7" i="8"/>
  <c r="F11" i="8"/>
  <c r="E9" i="8"/>
  <c r="H11" i="8" l="1"/>
  <c r="H5" i="8" s="1"/>
  <c r="E11" i="8" l="1"/>
  <c r="J12" i="8"/>
  <c r="J8" i="8"/>
  <c r="F15" i="8"/>
  <c r="F12" i="8"/>
  <c r="K11" i="8"/>
  <c r="H16" i="8"/>
  <c r="F8" i="8"/>
</calcChain>
</file>

<file path=xl/sharedStrings.xml><?xml version="1.0" encoding="utf-8"?>
<sst xmlns="http://schemas.openxmlformats.org/spreadsheetml/2006/main" count="847" uniqueCount="187">
  <si>
    <t>Ms rr</t>
  </si>
  <si>
    <t>M rr</t>
  </si>
  <si>
    <t>Front Right corner sprung mass [kg]</t>
  </si>
  <si>
    <t>Total front sprung mass [kg]</t>
  </si>
  <si>
    <t>Total rear sprung mass  [kg]</t>
  </si>
  <si>
    <t>Mus rr</t>
  </si>
  <si>
    <t>Ms r</t>
  </si>
  <si>
    <t>Ms f</t>
  </si>
  <si>
    <t>Tf</t>
  </si>
  <si>
    <t>Tr</t>
  </si>
  <si>
    <t xml:space="preserve">L </t>
  </si>
  <si>
    <t>WTsf</t>
  </si>
  <si>
    <t>Measured Suspension  Data</t>
  </si>
  <si>
    <t xml:space="preserve">Calculated Suspension Data </t>
  </si>
  <si>
    <t>WTsr</t>
  </si>
  <si>
    <t xml:space="preserve">Results </t>
  </si>
  <si>
    <t xml:space="preserve">hf </t>
  </si>
  <si>
    <t xml:space="preserve">hr </t>
  </si>
  <si>
    <t>b</t>
  </si>
  <si>
    <t>hr -hf</t>
  </si>
  <si>
    <t>z</t>
  </si>
  <si>
    <t>z+hf</t>
  </si>
  <si>
    <t>Fz rr</t>
  </si>
  <si>
    <t>Kϕr</t>
  </si>
  <si>
    <t>Kϕt</t>
  </si>
  <si>
    <t>Height of roll axis at CG [m]</t>
  </si>
  <si>
    <t>Rear -Front RC Height [m]</t>
  </si>
  <si>
    <t>Mot</t>
  </si>
  <si>
    <t>Overturning moment [Nm]</t>
  </si>
  <si>
    <t>Total Roll Stiffness [Nm/rad]</t>
  </si>
  <si>
    <t>Rear Roll Stiffness [Nm/rad]</t>
  </si>
  <si>
    <t>Front weight transfer due to spung mass [N]</t>
  </si>
  <si>
    <t>Rear  weight transfer due to spung mass [N]</t>
  </si>
  <si>
    <t>Left front  vertical force [N]</t>
  </si>
  <si>
    <t>Front Rightvertical force  [N]</t>
  </si>
  <si>
    <t>Rear Left vertical force [N]</t>
  </si>
  <si>
    <t>Rear Right  vertical force [N]</t>
  </si>
  <si>
    <t>MR rr</t>
  </si>
  <si>
    <t>WTsrcf</t>
  </si>
  <si>
    <t>Wtusf</t>
  </si>
  <si>
    <t>Wtusr</t>
  </si>
  <si>
    <t>WTsrcr</t>
  </si>
  <si>
    <t xml:space="preserve">Hs </t>
  </si>
  <si>
    <t>Kϕf</t>
  </si>
  <si>
    <t xml:space="preserve">WT </t>
  </si>
  <si>
    <t>Hsra</t>
  </si>
  <si>
    <t>Front Left   corner sprung mass [kg]</t>
  </si>
  <si>
    <t>Rear Right corner sprung  mass [kg]</t>
  </si>
  <si>
    <t>Rear Left   corner sprung mass [kg]</t>
  </si>
  <si>
    <t>Front Left Spring rate [N/mm]</t>
  </si>
  <si>
    <t>Front Left total measured static corner mass [kg]</t>
  </si>
  <si>
    <t>Front Right  measured static corner mass [kg]</t>
  </si>
  <si>
    <t>Rear Left  total measured static corner mass [kg]</t>
  </si>
  <si>
    <t>Rear Right   total measured static corner mass [kg]</t>
  </si>
  <si>
    <t>Front Left  unsprung mass  [kg]</t>
  </si>
  <si>
    <t>Front Right total unsprung mass  [kg]</t>
  </si>
  <si>
    <t>Rear Left unsprung mass  [kg]</t>
  </si>
  <si>
    <t>Rear Right unsprung mass  [kg]</t>
  </si>
  <si>
    <t>MR fl</t>
  </si>
  <si>
    <t>MR fr</t>
  </si>
  <si>
    <t>MR rl</t>
  </si>
  <si>
    <t>M fl</t>
  </si>
  <si>
    <t>M fr</t>
  </si>
  <si>
    <t>M rl</t>
  </si>
  <si>
    <t>Mus fl</t>
  </si>
  <si>
    <t>Mus fr</t>
  </si>
  <si>
    <t>Mus rl</t>
  </si>
  <si>
    <t>Ms fl</t>
  </si>
  <si>
    <t>Ms fr</t>
  </si>
  <si>
    <t>Ms rl</t>
  </si>
  <si>
    <t>Ks rl</t>
  </si>
  <si>
    <t>Ks rr</t>
  </si>
  <si>
    <t>Kw fl</t>
  </si>
  <si>
    <t>Kw fr</t>
  </si>
  <si>
    <t>Fz fl</t>
  </si>
  <si>
    <t xml:space="preserve">Ks fl  </t>
  </si>
  <si>
    <t xml:space="preserve">Ks fr </t>
  </si>
  <si>
    <t>Fz rl</t>
  </si>
  <si>
    <t>Fz fr</t>
  </si>
  <si>
    <t xml:space="preserve">Lateral Acceleration </t>
  </si>
  <si>
    <t>Mtot</t>
  </si>
  <si>
    <t xml:space="preserve">Total  sprung mass </t>
  </si>
  <si>
    <t xml:space="preserve">Total Mass </t>
  </si>
  <si>
    <t>b x Mstot = Msr * L</t>
  </si>
  <si>
    <t>Front Roll Stiffness [Nm/rad]</t>
  </si>
  <si>
    <t>ϕ</t>
  </si>
  <si>
    <t xml:space="preserve">Read vertical wheel load values  into correct </t>
  </si>
  <si>
    <t xml:space="preserve">            From static +/- WT</t>
  </si>
  <si>
    <t>Use Htot and Mtot to calculate total WT</t>
  </si>
  <si>
    <t>Total unsprung mass</t>
  </si>
  <si>
    <t xml:space="preserve">another sheet </t>
  </si>
  <si>
    <t xml:space="preserve"> cells of  Rowley Load Split Calculator on </t>
  </si>
  <si>
    <t>deg</t>
  </si>
  <si>
    <t>Roll angle  (Radians)</t>
  </si>
  <si>
    <t>Rrr</t>
  </si>
  <si>
    <t>Rrf</t>
  </si>
  <si>
    <t>LF+RF</t>
  </si>
  <si>
    <t>LF</t>
  </si>
  <si>
    <t>RF</t>
  </si>
  <si>
    <t xml:space="preserve">Front Split </t>
  </si>
  <si>
    <t xml:space="preserve">LF-RF </t>
  </si>
  <si>
    <t>LF+LR</t>
  </si>
  <si>
    <t xml:space="preserve">   RF+RR</t>
  </si>
  <si>
    <t xml:space="preserve">Rear Split </t>
  </si>
  <si>
    <t xml:space="preserve">LR-RR </t>
  </si>
  <si>
    <t>LR</t>
  </si>
  <si>
    <t>RR</t>
  </si>
  <si>
    <t>LR-LF Split</t>
  </si>
  <si>
    <t>RR-RF Split</t>
  </si>
  <si>
    <t>Wedge</t>
  </si>
  <si>
    <t>LR+RR</t>
  </si>
  <si>
    <t>LR-RF Split</t>
  </si>
  <si>
    <t xml:space="preserve">Wheel load distribution </t>
  </si>
  <si>
    <t>Front WT due to sprung mass at RC Height</t>
  </si>
  <si>
    <t>Rear WT due to sprung mass at RC Height</t>
  </si>
  <si>
    <t>Front WT due to Unsprung mass at wheel centre height</t>
  </si>
  <si>
    <t>Rear WT due to Unsprung mass at wheel centre height</t>
  </si>
  <si>
    <t xml:space="preserve">Total front WT </t>
  </si>
  <si>
    <t>Total Rear WT</t>
  </si>
  <si>
    <t xml:space="preserve">Total WT calculated by adding alll Weight Transfers </t>
  </si>
  <si>
    <t xml:space="preserve">These may not match exactly due to different tracks </t>
  </si>
  <si>
    <t>Kw rl</t>
  </si>
  <si>
    <t>Kw rr</t>
  </si>
  <si>
    <t xml:space="preserve">Insert  the Lat acc in m/s^2 in  here  and then read it into the calculations </t>
  </si>
  <si>
    <t xml:space="preserve">Ht </t>
  </si>
  <si>
    <t>Motion Ratio front left</t>
  </si>
  <si>
    <t>Motion Ratio front right</t>
  </si>
  <si>
    <t xml:space="preserve">Motion Ratio rear left </t>
  </si>
  <si>
    <t xml:space="preserve">Motion Ratio rear right </t>
  </si>
  <si>
    <t>Ht x Mt  = (Musf x Rrf) + (Musr x Rrr) + (Mstot x  Hs)</t>
  </si>
  <si>
    <t>FRLSD</t>
  </si>
  <si>
    <t>RLS</t>
  </si>
  <si>
    <t>FLS</t>
  </si>
  <si>
    <r>
      <rPr>
        <sz val="11"/>
        <color rgb="FF000000"/>
        <rFont val="Calibri"/>
        <family val="2"/>
      </rPr>
      <t>M</t>
    </r>
    <r>
      <rPr>
        <vertAlign val="subscript"/>
        <sz val="11"/>
        <color rgb="FF000000"/>
        <rFont val="Calibri"/>
        <family val="2"/>
      </rPr>
      <t>ot</t>
    </r>
    <r>
      <rPr>
        <sz val="11"/>
        <color rgb="FF000000"/>
        <rFont val="Calibri"/>
        <family val="2"/>
      </rPr>
      <t xml:space="preserve"> = M</t>
    </r>
    <r>
      <rPr>
        <vertAlign val="subscript"/>
        <sz val="11"/>
        <color rgb="FF000000"/>
        <rFont val="Calibri"/>
        <family val="2"/>
      </rPr>
      <t>s</t>
    </r>
    <r>
      <rPr>
        <sz val="11"/>
        <color rgb="FF000000"/>
        <rFont val="Calibri"/>
        <family val="2"/>
      </rPr>
      <t xml:space="preserve"> x a</t>
    </r>
    <r>
      <rPr>
        <vertAlign val="subscript"/>
        <sz val="11"/>
        <color rgb="FF000000"/>
        <rFont val="Calibri"/>
        <family val="2"/>
      </rPr>
      <t>y</t>
    </r>
    <r>
      <rPr>
        <sz val="11"/>
        <color rgb="FF000000"/>
        <rFont val="Calibri"/>
        <family val="2"/>
      </rPr>
      <t xml:space="preserve"> x Hsra</t>
    </r>
    <r>
      <rPr>
        <sz val="28"/>
        <color rgb="FF000000"/>
        <rFont val="Calibri"/>
        <family val="2"/>
      </rPr>
      <t xml:space="preserve"> </t>
    </r>
  </si>
  <si>
    <t xml:space="preserve">WTsf =(ϕ x Kwf x Tf)/2 </t>
  </si>
  <si>
    <t xml:space="preserve">WTsr =(ϕ x Kwr x Tr)/2 </t>
  </si>
  <si>
    <t>Must</t>
  </si>
  <si>
    <t>Mst</t>
  </si>
  <si>
    <r>
      <t xml:space="preserve">   </t>
    </r>
    <r>
      <rPr>
        <u/>
        <sz val="11"/>
        <rFont val="Arial"/>
        <family val="2"/>
      </rPr>
      <t xml:space="preserve">hr-hf </t>
    </r>
    <r>
      <rPr>
        <sz val="11"/>
        <rFont val="Arial"/>
        <family val="2"/>
      </rPr>
      <t xml:space="preserve">  =  </t>
    </r>
    <r>
      <rPr>
        <u/>
        <sz val="11"/>
        <rFont val="Arial"/>
        <family val="2"/>
      </rPr>
      <t>Z</t>
    </r>
    <r>
      <rPr>
        <sz val="11"/>
        <rFont val="Arial"/>
        <family val="2"/>
      </rPr>
      <t xml:space="preserve">      </t>
    </r>
  </si>
  <si>
    <t xml:space="preserve">     L           b</t>
  </si>
  <si>
    <r>
      <rPr>
        <sz val="11"/>
        <color rgb="FF000000"/>
        <rFont val="Calibri"/>
        <family val="2"/>
      </rPr>
      <t xml:space="preserve">            </t>
    </r>
    <r>
      <rPr>
        <sz val="11"/>
        <color rgb="FF000000"/>
        <rFont val="Calibri"/>
        <family val="2"/>
      </rPr>
      <t xml:space="preserve">  </t>
    </r>
  </si>
  <si>
    <t>Distance of cg of sprung mass from front axle [m]</t>
  </si>
  <si>
    <t>Rolling  Radius front [m]</t>
  </si>
  <si>
    <t>Rolling Radius rear [m]</t>
  </si>
  <si>
    <t>Height of CG of total mass above ground [m]</t>
  </si>
  <si>
    <t>Height of CG of sprung mass  above ground [ m]</t>
  </si>
  <si>
    <t>Height of Front roll centre above ground  [m]</t>
  </si>
  <si>
    <t>Height of Rear roll centre above ground [m]</t>
  </si>
  <si>
    <t>Rear track [m]</t>
  </si>
  <si>
    <t>Wheel base  [m]</t>
  </si>
  <si>
    <t>Front Track [m]</t>
  </si>
  <si>
    <t>Total  wheel load  by static corner weight check  [N]</t>
  </si>
  <si>
    <t>Total WT calculated for 'solid' car [N]</t>
  </si>
  <si>
    <t>Front Load Split [N]</t>
  </si>
  <si>
    <t>Rear Load Split [N]</t>
  </si>
  <si>
    <t>Front Rear Load Split Difference [N]</t>
  </si>
  <si>
    <t>Total wheel loads  by individual wheel load check [N]</t>
  </si>
  <si>
    <t>Front Right Spring rate [N/mm]</t>
  </si>
  <si>
    <t>Rear Left   Spring rate [N/mm]</t>
  </si>
  <si>
    <t>Rear Right  Spring rate [N/mm]</t>
  </si>
  <si>
    <t>Kw flc</t>
  </si>
  <si>
    <t>Kw frc</t>
  </si>
  <si>
    <t>Kw rlc</t>
  </si>
  <si>
    <t>Kw rrc</t>
  </si>
  <si>
    <t>Combined Rear Left Wheel Rate in roll [N/mm]</t>
  </si>
  <si>
    <t>Combined Rear  Right wheel  rate in roll  [N/mm]</t>
  </si>
  <si>
    <t>Combined Front Right wheel rate  in roll [N/mm]</t>
  </si>
  <si>
    <t>Rear Left Wheel Rate due to spring [N/mm]</t>
  </si>
  <si>
    <t>Rear  Right wheel  rate due to spring  [N/mm]</t>
  </si>
  <si>
    <t>Front Right wheel rate  due to spring [N/mm]</t>
  </si>
  <si>
    <t>Front Left   wheel rate  due to spring [N/mm]</t>
  </si>
  <si>
    <t>Height of CG above roll axis  [m]</t>
  </si>
  <si>
    <t>Depth  of triangle  at CG [m]</t>
  </si>
  <si>
    <t>Combined Front Left  wheel rate in roll  [N/mm]</t>
  </si>
  <si>
    <t>Front Left ARB Rate as a wheel rate [N/mm]</t>
  </si>
  <si>
    <t>Front Right ARB Rate as a wheel rate [N/mm]</t>
  </si>
  <si>
    <t>Rear Left ARB Rate asa wheel rate  [N/mm]</t>
  </si>
  <si>
    <t>Rear Right ARB Rate as a wheel rate [N/mm]</t>
  </si>
  <si>
    <t xml:space="preserve"> </t>
  </si>
  <si>
    <t>Kwarbfl</t>
  </si>
  <si>
    <t>Kwarbfr</t>
  </si>
  <si>
    <t>Kwarbrl</t>
  </si>
  <si>
    <t>Kwarbrr</t>
  </si>
  <si>
    <t>Front - Rear  Load Split Difference</t>
  </si>
  <si>
    <t>Front - Rear Load Split Difference [N]</t>
  </si>
  <si>
    <t>Front -Rear Load Split Difference [N]</t>
  </si>
  <si>
    <t>Front- Rear Load Split Difference 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</si>
</sst>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0.0"/>
    <numFmt numFmtId="166" formatCode="0.0%"/>
    <numFmt numFmtId="167" formatCode="0.000000"/>
    <numFmt numFmtId="168" formatCode="0.0000"/>
  </numFmts>
  <fonts count="23" x14ac:knownFonts="1">
    <font>
      <sz val="10"/>
      <name val="Arial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0"/>
      <name val="Calibri"/>
      <family val="2"/>
    </font>
    <font>
      <sz val="24"/>
      <color rgb="FFFF0000"/>
      <name val="Arial"/>
      <family val="2"/>
    </font>
    <font>
      <sz val="11"/>
      <color rgb="FFFF0000"/>
      <name val="Arial"/>
      <family val="2"/>
    </font>
    <font>
      <sz val="13"/>
      <color rgb="FF000000"/>
      <name val="Calibri"/>
      <family val="2"/>
    </font>
    <font>
      <sz val="10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sz val="10"/>
      <color theme="0"/>
      <name val="Arial"/>
      <family val="2"/>
    </font>
    <font>
      <sz val="28"/>
      <color rgb="FF000000"/>
      <name val="Calibri"/>
      <family val="2"/>
    </font>
    <font>
      <vertAlign val="subscript"/>
      <sz val="11"/>
      <color rgb="FF000000"/>
      <name val="Calibri"/>
      <family val="2"/>
    </font>
    <font>
      <b/>
      <sz val="12"/>
      <color theme="0"/>
      <name val="Arial"/>
      <family val="2"/>
    </font>
    <font>
      <u/>
      <sz val="11"/>
      <name val="Arial"/>
      <family val="2"/>
    </font>
    <font>
      <sz val="10"/>
      <name val="Arial"/>
      <family val="2"/>
    </font>
    <font>
      <sz val="10"/>
      <name val="Cambria Math"/>
      <family val="1"/>
    </font>
    <font>
      <b/>
      <sz val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2" fillId="0" borderId="0" applyFont="0" applyFill="0" applyBorder="0" applyAlignment="0" applyProtection="0"/>
    <xf numFmtId="9" fontId="20" fillId="0" borderId="0" applyFont="0" applyFill="0" applyBorder="0" applyAlignment="0" applyProtection="0"/>
  </cellStyleXfs>
  <cellXfs count="207">
    <xf numFmtId="0" fontId="0" fillId="0" borderId="0" xfId="0"/>
    <xf numFmtId="0" fontId="1" fillId="0" borderId="0" xfId="0" applyFont="1"/>
    <xf numFmtId="0" fontId="0" fillId="0" borderId="7" xfId="0" applyBorder="1"/>
    <xf numFmtId="0" fontId="4" fillId="0" borderId="7" xfId="0" applyFont="1" applyBorder="1"/>
    <xf numFmtId="0" fontId="5" fillId="3" borderId="13" xfId="0" applyFont="1" applyFill="1" applyBorder="1"/>
    <xf numFmtId="0" fontId="0" fillId="0" borderId="0" xfId="0" applyBorder="1"/>
    <xf numFmtId="0" fontId="7" fillId="0" borderId="0" xfId="0" applyFont="1"/>
    <xf numFmtId="0" fontId="6" fillId="0" borderId="0" xfId="0" applyFont="1"/>
    <xf numFmtId="0" fontId="9" fillId="0" borderId="0" xfId="0" applyFont="1" applyAlignment="1">
      <alignment horizontal="left" vertical="center" indent="3" readingOrder="1"/>
    </xf>
    <xf numFmtId="0" fontId="10" fillId="0" borderId="0" xfId="0" applyFont="1" applyAlignment="1">
      <alignment horizontal="left" vertical="center" indent="3" readingOrder="1"/>
    </xf>
    <xf numFmtId="0" fontId="0" fillId="5" borderId="0" xfId="0" applyFill="1" applyBorder="1"/>
    <xf numFmtId="0" fontId="0" fillId="0" borderId="0" xfId="0" applyAlignment="1"/>
    <xf numFmtId="0" fontId="0" fillId="4" borderId="0" xfId="0" applyFill="1" applyBorder="1"/>
    <xf numFmtId="0" fontId="5" fillId="3" borderId="13" xfId="0" applyFont="1" applyFill="1" applyBorder="1" applyAlignment="1">
      <alignment horizontal="left"/>
    </xf>
    <xf numFmtId="165" fontId="0" fillId="0" borderId="5" xfId="0" applyNumberFormat="1" applyBorder="1" applyAlignment="1">
      <alignment horizontal="center" vertical="center"/>
    </xf>
    <xf numFmtId="0" fontId="4" fillId="0" borderId="0" xfId="0" applyFont="1"/>
    <xf numFmtId="0" fontId="4" fillId="0" borderId="16" xfId="0" applyFont="1" applyBorder="1"/>
    <xf numFmtId="165" fontId="0" fillId="5" borderId="5" xfId="0" applyNumberFormat="1" applyFill="1" applyBorder="1" applyAlignment="1">
      <alignment horizontal="center" vertical="center"/>
    </xf>
    <xf numFmtId="0" fontId="0" fillId="0" borderId="21" xfId="0" applyBorder="1"/>
    <xf numFmtId="1" fontId="0" fillId="5" borderId="5" xfId="0" applyNumberFormat="1" applyFill="1" applyBorder="1" applyAlignment="1">
      <alignment horizontal="center" vertical="center"/>
    </xf>
    <xf numFmtId="0" fontId="0" fillId="0" borderId="22" xfId="0" applyBorder="1"/>
    <xf numFmtId="0" fontId="0" fillId="0" borderId="9" xfId="0" applyBorder="1"/>
    <xf numFmtId="0" fontId="3" fillId="0" borderId="1" xfId="0" applyFont="1" applyFill="1" applyBorder="1" applyAlignment="1">
      <alignment horizontal="left"/>
    </xf>
    <xf numFmtId="0" fontId="0" fillId="0" borderId="2" xfId="0" applyFill="1" applyBorder="1"/>
    <xf numFmtId="166" fontId="13" fillId="8" borderId="24" xfId="1" applyNumberFormat="1" applyFont="1" applyFill="1" applyBorder="1" applyAlignment="1">
      <alignment horizontal="center"/>
    </xf>
    <xf numFmtId="0" fontId="13" fillId="0" borderId="2" xfId="0" applyFont="1" applyFill="1" applyBorder="1"/>
    <xf numFmtId="0" fontId="13" fillId="0" borderId="2" xfId="0" applyFont="1" applyFill="1" applyBorder="1" applyAlignment="1">
      <alignment horizontal="center"/>
    </xf>
    <xf numFmtId="0" fontId="13" fillId="0" borderId="3" xfId="0" applyFont="1" applyFill="1" applyBorder="1"/>
    <xf numFmtId="0" fontId="13" fillId="0" borderId="4" xfId="0" applyFont="1" applyFill="1" applyBorder="1"/>
    <xf numFmtId="0" fontId="3" fillId="0" borderId="0" xfId="0" applyFont="1" applyFill="1" applyBorder="1"/>
    <xf numFmtId="0" fontId="13" fillId="0" borderId="0" xfId="0" applyFont="1" applyFill="1" applyBorder="1"/>
    <xf numFmtId="0" fontId="3" fillId="8" borderId="25" xfId="0" applyFont="1" applyFill="1" applyBorder="1" applyAlignment="1">
      <alignment horizontal="center"/>
    </xf>
    <xf numFmtId="0" fontId="13" fillId="0" borderId="6" xfId="0" applyFont="1" applyFill="1" applyBorder="1"/>
    <xf numFmtId="165" fontId="13" fillId="8" borderId="26" xfId="0" applyNumberFormat="1" applyFont="1" applyFill="1" applyBorder="1" applyAlignment="1">
      <alignment horizontal="center"/>
    </xf>
    <xf numFmtId="166" fontId="13" fillId="0" borderId="0" xfId="1" applyNumberFormat="1" applyFont="1" applyFill="1" applyBorder="1" applyAlignment="1">
      <alignment horizontal="center"/>
    </xf>
    <xf numFmtId="166" fontId="13" fillId="3" borderId="27" xfId="1" applyNumberFormat="1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165" fontId="2" fillId="9" borderId="2" xfId="0" applyNumberFormat="1" applyFont="1" applyFill="1" applyBorder="1" applyAlignment="1">
      <alignment horizontal="center"/>
    </xf>
    <xf numFmtId="0" fontId="3" fillId="9" borderId="3" xfId="0" applyFont="1" applyFill="1" applyBorder="1" applyAlignment="1">
      <alignment horizontal="center"/>
    </xf>
    <xf numFmtId="166" fontId="13" fillId="3" borderId="28" xfId="1" applyNumberFormat="1" applyFont="1" applyFill="1" applyBorder="1" applyAlignment="1">
      <alignment horizontal="center"/>
    </xf>
    <xf numFmtId="0" fontId="3" fillId="8" borderId="18" xfId="0" applyFont="1" applyFill="1" applyBorder="1"/>
    <xf numFmtId="0" fontId="3" fillId="8" borderId="11" xfId="0" applyFont="1" applyFill="1" applyBorder="1" applyAlignment="1">
      <alignment horizontal="right"/>
    </xf>
    <xf numFmtId="165" fontId="13" fillId="8" borderId="20" xfId="0" applyNumberFormat="1" applyFont="1" applyFill="1" applyBorder="1" applyAlignment="1">
      <alignment horizontal="center"/>
    </xf>
    <xf numFmtId="165" fontId="13" fillId="2" borderId="29" xfId="0" applyNumberFormat="1" applyFont="1" applyFill="1" applyBorder="1" applyAlignment="1">
      <alignment horizontal="center"/>
    </xf>
    <xf numFmtId="0" fontId="2" fillId="9" borderId="4" xfId="0" applyFont="1" applyFill="1" applyBorder="1"/>
    <xf numFmtId="0" fontId="3" fillId="9" borderId="0" xfId="0" applyFont="1" applyFill="1" applyBorder="1"/>
    <xf numFmtId="0" fontId="2" fillId="9" borderId="6" xfId="0" applyFont="1" applyFill="1" applyBorder="1"/>
    <xf numFmtId="165" fontId="13" fillId="2" borderId="30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3" fillId="9" borderId="4" xfId="0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/>
    </xf>
    <xf numFmtId="165" fontId="13" fillId="0" borderId="0" xfId="0" applyNumberFormat="1" applyFont="1" applyFill="1" applyBorder="1" applyAlignment="1">
      <alignment horizontal="center"/>
    </xf>
    <xf numFmtId="165" fontId="3" fillId="8" borderId="31" xfId="0" applyNumberFormat="1" applyFont="1" applyFill="1" applyBorder="1" applyAlignment="1">
      <alignment horizontal="center"/>
    </xf>
    <xf numFmtId="166" fontId="13" fillId="8" borderId="11" xfId="0" applyNumberFormat="1" applyFont="1" applyFill="1" applyBorder="1" applyAlignment="1">
      <alignment horizontal="center"/>
    </xf>
    <xf numFmtId="0" fontId="13" fillId="8" borderId="12" xfId="0" applyFont="1" applyFill="1" applyBorder="1" applyAlignment="1">
      <alignment horizontal="center"/>
    </xf>
    <xf numFmtId="0" fontId="3" fillId="9" borderId="0" xfId="0" applyFont="1" applyFill="1" applyBorder="1" applyAlignment="1">
      <alignment horizontal="center"/>
    </xf>
    <xf numFmtId="165" fontId="13" fillId="0" borderId="13" xfId="0" applyNumberFormat="1" applyFont="1" applyFill="1" applyBorder="1" applyAlignment="1">
      <alignment horizontal="center"/>
    </xf>
    <xf numFmtId="165" fontId="13" fillId="8" borderId="31" xfId="0" applyNumberFormat="1" applyFont="1" applyFill="1" applyBorder="1" applyAlignment="1">
      <alignment horizontal="center"/>
    </xf>
    <xf numFmtId="166" fontId="13" fillId="8" borderId="32" xfId="0" applyNumberFormat="1" applyFont="1" applyFill="1" applyBorder="1" applyAlignment="1">
      <alignment horizontal="center"/>
    </xf>
    <xf numFmtId="0" fontId="3" fillId="8" borderId="20" xfId="0" applyFont="1" applyFill="1" applyBorder="1" applyAlignment="1">
      <alignment horizontal="left"/>
    </xf>
    <xf numFmtId="0" fontId="3" fillId="10" borderId="17" xfId="0" applyFont="1" applyFill="1" applyBorder="1" applyAlignment="1"/>
    <xf numFmtId="165" fontId="3" fillId="10" borderId="0" xfId="0" applyNumberFormat="1" applyFont="1" applyFill="1" applyBorder="1" applyAlignment="1">
      <alignment horizontal="center"/>
    </xf>
    <xf numFmtId="166" fontId="13" fillId="3" borderId="34" xfId="1" applyNumberFormat="1" applyFont="1" applyFill="1" applyBorder="1" applyAlignment="1">
      <alignment horizontal="center"/>
    </xf>
    <xf numFmtId="166" fontId="13" fillId="3" borderId="35" xfId="1" applyNumberFormat="1" applyFont="1" applyFill="1" applyBorder="1" applyAlignment="1">
      <alignment horizontal="center"/>
    </xf>
    <xf numFmtId="0" fontId="3" fillId="8" borderId="36" xfId="0" applyFont="1" applyFill="1" applyBorder="1" applyAlignment="1">
      <alignment horizontal="center"/>
    </xf>
    <xf numFmtId="0" fontId="3" fillId="9" borderId="8" xfId="0" applyFont="1" applyFill="1" applyBorder="1" applyAlignment="1">
      <alignment horizontal="center"/>
    </xf>
    <xf numFmtId="0" fontId="3" fillId="9" borderId="23" xfId="0" applyFont="1" applyFill="1" applyBorder="1"/>
    <xf numFmtId="0" fontId="3" fillId="9" borderId="37" xfId="0" applyFont="1" applyFill="1" applyBorder="1" applyAlignment="1">
      <alignment horizontal="center"/>
    </xf>
    <xf numFmtId="165" fontId="13" fillId="2" borderId="38" xfId="0" applyNumberFormat="1" applyFont="1" applyFill="1" applyBorder="1" applyAlignment="1">
      <alignment horizontal="center"/>
    </xf>
    <xf numFmtId="0" fontId="13" fillId="0" borderId="18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right"/>
    </xf>
    <xf numFmtId="165" fontId="13" fillId="0" borderId="20" xfId="0" applyNumberFormat="1" applyFont="1" applyFill="1" applyBorder="1" applyAlignment="1">
      <alignment horizontal="center"/>
    </xf>
    <xf numFmtId="165" fontId="13" fillId="8" borderId="39" xfId="0" applyNumberFormat="1" applyFont="1" applyFill="1" applyBorder="1" applyAlignment="1">
      <alignment horizontal="center"/>
    </xf>
    <xf numFmtId="165" fontId="13" fillId="8" borderId="18" xfId="0" applyNumberFormat="1" applyFont="1" applyFill="1" applyBorder="1" applyAlignment="1">
      <alignment horizontal="center"/>
    </xf>
    <xf numFmtId="0" fontId="3" fillId="8" borderId="19" xfId="0" applyFont="1" applyFill="1" applyBorder="1" applyAlignment="1">
      <alignment horizontal="left"/>
    </xf>
    <xf numFmtId="0" fontId="3" fillId="8" borderId="4" xfId="0" applyFont="1" applyFill="1" applyBorder="1" applyAlignment="1">
      <alignment horizontal="right"/>
    </xf>
    <xf numFmtId="166" fontId="13" fillId="8" borderId="6" xfId="1" applyNumberFormat="1" applyFont="1" applyFill="1" applyBorder="1" applyAlignment="1">
      <alignment horizontal="center"/>
    </xf>
    <xf numFmtId="0" fontId="3" fillId="8" borderId="40" xfId="0" applyFont="1" applyFill="1" applyBorder="1" applyAlignment="1">
      <alignment horizontal="center"/>
    </xf>
    <xf numFmtId="0" fontId="13" fillId="0" borderId="8" xfId="0" applyFont="1" applyFill="1" applyBorder="1"/>
    <xf numFmtId="165" fontId="13" fillId="0" borderId="20" xfId="1" applyNumberFormat="1" applyFont="1" applyFill="1" applyBorder="1" applyAlignment="1">
      <alignment horizontal="center"/>
    </xf>
    <xf numFmtId="0" fontId="13" fillId="0" borderId="23" xfId="0" applyFont="1" applyFill="1" applyBorder="1"/>
    <xf numFmtId="166" fontId="13" fillId="8" borderId="41" xfId="1" applyNumberFormat="1" applyFont="1" applyFill="1" applyBorder="1" applyAlignment="1">
      <alignment horizontal="center"/>
    </xf>
    <xf numFmtId="2" fontId="3" fillId="4" borderId="23" xfId="0" applyNumberFormat="1" applyFont="1" applyFill="1" applyBorder="1"/>
    <xf numFmtId="0" fontId="2" fillId="4" borderId="37" xfId="0" applyFont="1" applyFill="1" applyBorder="1"/>
    <xf numFmtId="0" fontId="14" fillId="0" borderId="0" xfId="0" applyFont="1"/>
    <xf numFmtId="165" fontId="0" fillId="0" borderId="0" xfId="0" applyNumberFormat="1"/>
    <xf numFmtId="0" fontId="15" fillId="0" borderId="0" xfId="0" applyFont="1" applyBorder="1"/>
    <xf numFmtId="0" fontId="15" fillId="4" borderId="0" xfId="0" applyFont="1" applyFill="1" applyBorder="1"/>
    <xf numFmtId="0" fontId="4" fillId="4" borderId="0" xfId="0" applyFont="1" applyFill="1" applyBorder="1"/>
    <xf numFmtId="0" fontId="4" fillId="5" borderId="18" xfId="0" applyFont="1" applyFill="1" applyBorder="1"/>
    <xf numFmtId="0" fontId="0" fillId="5" borderId="20" xfId="0" applyFill="1" applyBorder="1"/>
    <xf numFmtId="0" fontId="4" fillId="5" borderId="1" xfId="0" applyFont="1" applyFill="1" applyBorder="1" applyAlignment="1">
      <alignment horizontal="center"/>
    </xf>
    <xf numFmtId="0" fontId="0" fillId="5" borderId="2" xfId="0" applyFill="1" applyBorder="1" applyAlignment="1">
      <alignment horizontal="left"/>
    </xf>
    <xf numFmtId="0" fontId="0" fillId="5" borderId="2" xfId="0" applyFill="1" applyBorder="1"/>
    <xf numFmtId="0" fontId="0" fillId="5" borderId="3" xfId="0" applyFill="1" applyBorder="1"/>
    <xf numFmtId="0" fontId="4" fillId="5" borderId="4" xfId="0" applyFont="1" applyFill="1" applyBorder="1"/>
    <xf numFmtId="0" fontId="0" fillId="5" borderId="6" xfId="0" applyFill="1" applyBorder="1"/>
    <xf numFmtId="0" fontId="0" fillId="5" borderId="4" xfId="0" applyFill="1" applyBorder="1"/>
    <xf numFmtId="0" fontId="0" fillId="5" borderId="8" xfId="0" applyFill="1" applyBorder="1"/>
    <xf numFmtId="0" fontId="0" fillId="5" borderId="23" xfId="0" applyFill="1" applyBorder="1"/>
    <xf numFmtId="0" fontId="0" fillId="5" borderId="37" xfId="0" applyFill="1" applyBorder="1"/>
    <xf numFmtId="0" fontId="4" fillId="5" borderId="1" xfId="0" applyFont="1" applyFill="1" applyBorder="1"/>
    <xf numFmtId="0" fontId="0" fillId="5" borderId="42" xfId="0" applyFill="1" applyBorder="1"/>
    <xf numFmtId="0" fontId="4" fillId="5" borderId="8" xfId="0" applyFont="1" applyFill="1" applyBorder="1"/>
    <xf numFmtId="0" fontId="0" fillId="5" borderId="43" xfId="0" applyFill="1" applyBorder="1"/>
    <xf numFmtId="0" fontId="7" fillId="5" borderId="41" xfId="0" applyFont="1" applyFill="1" applyBorder="1"/>
    <xf numFmtId="0" fontId="4" fillId="4" borderId="22" xfId="0" applyFont="1" applyFill="1" applyBorder="1"/>
    <xf numFmtId="0" fontId="4" fillId="4" borderId="7" xfId="0" applyFont="1" applyFill="1" applyBorder="1"/>
    <xf numFmtId="0" fontId="0" fillId="4" borderId="7" xfId="0" applyFill="1" applyBorder="1"/>
    <xf numFmtId="165" fontId="0" fillId="4" borderId="5" xfId="0" applyNumberFormat="1" applyFill="1" applyBorder="1" applyAlignment="1">
      <alignment horizontal="center"/>
    </xf>
    <xf numFmtId="0" fontId="0" fillId="0" borderId="45" xfId="0" applyBorder="1"/>
    <xf numFmtId="0" fontId="0" fillId="0" borderId="46" xfId="0" applyBorder="1"/>
    <xf numFmtId="0" fontId="4" fillId="0" borderId="46" xfId="0" applyFont="1" applyBorder="1"/>
    <xf numFmtId="0" fontId="0" fillId="0" borderId="48" xfId="0" applyBorder="1"/>
    <xf numFmtId="0" fontId="4" fillId="0" borderId="22" xfId="0" applyFont="1" applyBorder="1"/>
    <xf numFmtId="167" fontId="0" fillId="0" borderId="5" xfId="0" applyNumberFormat="1" applyBorder="1" applyAlignment="1">
      <alignment horizontal="center" vertical="center"/>
    </xf>
    <xf numFmtId="0" fontId="16" fillId="5" borderId="18" xfId="0" applyFont="1" applyFill="1" applyBorder="1" applyAlignment="1">
      <alignment vertical="center"/>
    </xf>
    <xf numFmtId="0" fontId="0" fillId="5" borderId="20" xfId="0" applyFill="1" applyBorder="1" applyAlignment="1">
      <alignment vertical="center"/>
    </xf>
    <xf numFmtId="0" fontId="7" fillId="5" borderId="24" xfId="0" applyFont="1" applyFill="1" applyBorder="1"/>
    <xf numFmtId="0" fontId="6" fillId="4" borderId="0" xfId="0" applyFont="1" applyFill="1" applyBorder="1" applyAlignment="1">
      <alignment horizontal="left" vertical="center" indent="4" readingOrder="1"/>
    </xf>
    <xf numFmtId="0" fontId="7" fillId="4" borderId="0" xfId="0" applyFont="1" applyFill="1" applyBorder="1"/>
    <xf numFmtId="0" fontId="0" fillId="0" borderId="16" xfId="0" applyBorder="1"/>
    <xf numFmtId="0" fontId="0" fillId="0" borderId="49" xfId="0" applyBorder="1"/>
    <xf numFmtId="0" fontId="0" fillId="0" borderId="0" xfId="0" applyBorder="1" applyAlignment="1">
      <alignment horizontal="center" vertical="center"/>
    </xf>
    <xf numFmtId="0" fontId="4" fillId="4" borderId="16" xfId="0" applyFont="1" applyFill="1" applyBorder="1"/>
    <xf numFmtId="0" fontId="4" fillId="0" borderId="7" xfId="0" applyFont="1" applyFill="1" applyBorder="1"/>
    <xf numFmtId="0" fontId="4" fillId="5" borderId="13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 readingOrder="1"/>
    </xf>
    <xf numFmtId="0" fontId="0" fillId="0" borderId="7" xfId="0" applyFill="1" applyBorder="1"/>
    <xf numFmtId="0" fontId="0" fillId="5" borderId="7" xfId="0" applyFill="1" applyBorder="1"/>
    <xf numFmtId="0" fontId="0" fillId="5" borderId="31" xfId="0" applyFill="1" applyBorder="1"/>
    <xf numFmtId="0" fontId="11" fillId="5" borderId="11" xfId="0" applyFont="1" applyFill="1" applyBorder="1" applyAlignment="1">
      <alignment horizontal="center" vertical="center" readingOrder="1"/>
    </xf>
    <xf numFmtId="0" fontId="0" fillId="5" borderId="12" xfId="0" applyFill="1" applyBorder="1"/>
    <xf numFmtId="0" fontId="4" fillId="5" borderId="7" xfId="0" applyFont="1" applyFill="1" applyBorder="1"/>
    <xf numFmtId="0" fontId="3" fillId="13" borderId="14" xfId="0" applyFont="1" applyFill="1" applyBorder="1"/>
    <xf numFmtId="0" fontId="3" fillId="13" borderId="15" xfId="0" applyFont="1" applyFill="1" applyBorder="1"/>
    <xf numFmtId="0" fontId="3" fillId="13" borderId="44" xfId="0" applyFont="1" applyFill="1" applyBorder="1"/>
    <xf numFmtId="0" fontId="4" fillId="0" borderId="45" xfId="0" applyFont="1" applyBorder="1"/>
    <xf numFmtId="0" fontId="8" fillId="4" borderId="22" xfId="0" applyFont="1" applyFill="1" applyBorder="1"/>
    <xf numFmtId="1" fontId="0" fillId="11" borderId="5" xfId="0" applyNumberFormat="1" applyFill="1" applyBorder="1" applyAlignment="1">
      <alignment horizontal="center" vertical="center"/>
    </xf>
    <xf numFmtId="1" fontId="0" fillId="7" borderId="5" xfId="0" applyNumberFormat="1" applyFill="1" applyBorder="1" applyAlignment="1">
      <alignment horizontal="center"/>
    </xf>
    <xf numFmtId="0" fontId="0" fillId="7" borderId="5" xfId="0" applyFill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4" fillId="0" borderId="48" xfId="0" applyFont="1" applyBorder="1"/>
    <xf numFmtId="0" fontId="4" fillId="0" borderId="9" xfId="0" applyFont="1" applyFill="1" applyBorder="1"/>
    <xf numFmtId="1" fontId="18" fillId="12" borderId="10" xfId="0" applyNumberFormat="1" applyFont="1" applyFill="1" applyBorder="1" applyAlignment="1">
      <alignment horizontal="center"/>
    </xf>
    <xf numFmtId="0" fontId="0" fillId="0" borderId="4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2" fontId="0" fillId="0" borderId="5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164" fontId="0" fillId="4" borderId="10" xfId="0" applyNumberFormat="1" applyFill="1" applyBorder="1" applyAlignment="1">
      <alignment horizontal="center" vertical="center"/>
    </xf>
    <xf numFmtId="0" fontId="0" fillId="0" borderId="50" xfId="0" applyBorder="1"/>
    <xf numFmtId="0" fontId="0" fillId="6" borderId="47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164" fontId="0" fillId="5" borderId="5" xfId="0" applyNumberFormat="1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4" fillId="0" borderId="4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7" xfId="0" applyFill="1" applyBorder="1" applyAlignment="1">
      <alignment vertical="center"/>
    </xf>
    <xf numFmtId="0" fontId="4" fillId="4" borderId="7" xfId="0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0" fillId="4" borderId="7" xfId="0" applyFont="1" applyFill="1" applyBorder="1"/>
    <xf numFmtId="1" fontId="0" fillId="0" borderId="47" xfId="0" applyNumberFormat="1" applyBorder="1" applyAlignment="1">
      <alignment horizontal="center" vertical="center"/>
    </xf>
    <xf numFmtId="1" fontId="0" fillId="4" borderId="47" xfId="0" applyNumberFormat="1" applyFill="1" applyBorder="1" applyAlignment="1">
      <alignment horizontal="center" vertical="center"/>
    </xf>
    <xf numFmtId="1" fontId="0" fillId="4" borderId="5" xfId="0" applyNumberFormat="1" applyFill="1" applyBorder="1" applyAlignment="1">
      <alignment horizontal="center" vertical="center"/>
    </xf>
    <xf numFmtId="165" fontId="0" fillId="4" borderId="5" xfId="0" applyNumberFormat="1" applyFill="1" applyBorder="1" applyAlignment="1">
      <alignment horizontal="center" vertical="center"/>
    </xf>
    <xf numFmtId="167" fontId="0" fillId="4" borderId="5" xfId="0" applyNumberFormat="1" applyFill="1" applyBorder="1" applyAlignment="1">
      <alignment horizontal="center" vertical="center"/>
    </xf>
    <xf numFmtId="1" fontId="0" fillId="4" borderId="5" xfId="0" applyNumberFormat="1" applyFill="1" applyBorder="1" applyAlignment="1">
      <alignment horizontal="center"/>
    </xf>
    <xf numFmtId="1" fontId="18" fillId="4" borderId="10" xfId="0" applyNumberFormat="1" applyFont="1" applyFill="1" applyBorder="1" applyAlignment="1">
      <alignment horizontal="center"/>
    </xf>
    <xf numFmtId="0" fontId="0" fillId="4" borderId="47" xfId="0" applyFill="1" applyBorder="1" applyAlignment="1">
      <alignment horizontal="center" vertical="center"/>
    </xf>
    <xf numFmtId="2" fontId="0" fillId="4" borderId="5" xfId="0" applyNumberFormat="1" applyFill="1" applyBorder="1" applyAlignment="1">
      <alignment horizontal="center" vertical="center"/>
    </xf>
    <xf numFmtId="2" fontId="0" fillId="4" borderId="5" xfId="0" applyNumberFormat="1" applyFill="1" applyBorder="1" applyAlignment="1">
      <alignment horizontal="center"/>
    </xf>
    <xf numFmtId="0" fontId="4" fillId="4" borderId="5" xfId="0" applyFon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22" xfId="0" applyFont="1" applyFill="1" applyBorder="1"/>
    <xf numFmtId="0" fontId="4" fillId="0" borderId="0" xfId="0" applyFont="1" applyFill="1" applyBorder="1" applyAlignment="1">
      <alignment vertical="center"/>
    </xf>
    <xf numFmtId="0" fontId="5" fillId="4" borderId="13" xfId="0" applyFont="1" applyFill="1" applyBorder="1"/>
    <xf numFmtId="0" fontId="5" fillId="4" borderId="13" xfId="0" applyFont="1" applyFill="1" applyBorder="1" applyAlignment="1">
      <alignment horizontal="left"/>
    </xf>
    <xf numFmtId="0" fontId="0" fillId="0" borderId="0" xfId="0"/>
    <xf numFmtId="0" fontId="0" fillId="0" borderId="0" xfId="0" applyBorder="1"/>
    <xf numFmtId="0" fontId="0" fillId="0" borderId="7" xfId="0" applyBorder="1"/>
    <xf numFmtId="0" fontId="0" fillId="4" borderId="0" xfId="0" applyFill="1" applyBorder="1"/>
    <xf numFmtId="0" fontId="0" fillId="0" borderId="46" xfId="0" applyBorder="1"/>
    <xf numFmtId="0" fontId="0" fillId="0" borderId="22" xfId="0" applyBorder="1"/>
    <xf numFmtId="164" fontId="0" fillId="0" borderId="5" xfId="0" applyNumberFormat="1" applyBorder="1" applyAlignment="1">
      <alignment horizontal="center" vertical="center"/>
    </xf>
    <xf numFmtId="1" fontId="0" fillId="7" borderId="5" xfId="0" applyNumberForma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/>
    </xf>
    <xf numFmtId="168" fontId="0" fillId="5" borderId="5" xfId="0" applyNumberFormat="1" applyFill="1" applyBorder="1" applyAlignment="1">
      <alignment horizontal="center" vertical="center"/>
    </xf>
    <xf numFmtId="168" fontId="0" fillId="4" borderId="10" xfId="0" applyNumberFormat="1" applyFill="1" applyBorder="1" applyAlignment="1">
      <alignment horizontal="center" vertical="center"/>
    </xf>
    <xf numFmtId="165" fontId="0" fillId="11" borderId="5" xfId="0" applyNumberFormat="1" applyFill="1" applyBorder="1" applyAlignment="1">
      <alignment horizontal="center" vertical="center"/>
    </xf>
    <xf numFmtId="0" fontId="21" fillId="0" borderId="0" xfId="0" applyFont="1"/>
    <xf numFmtId="2" fontId="0" fillId="5" borderId="5" xfId="0" applyNumberFormat="1" applyFill="1" applyBorder="1" applyAlignment="1">
      <alignment horizontal="center" vertical="center"/>
    </xf>
    <xf numFmtId="0" fontId="7" fillId="6" borderId="47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165" fontId="7" fillId="6" borderId="5" xfId="0" applyNumberFormat="1" applyFont="1" applyFill="1" applyBorder="1" applyAlignment="1">
      <alignment horizontal="center" vertical="center"/>
    </xf>
    <xf numFmtId="164" fontId="7" fillId="6" borderId="5" xfId="0" applyNumberFormat="1" applyFont="1" applyFill="1" applyBorder="1" applyAlignment="1">
      <alignment horizontal="center" vertical="center"/>
    </xf>
    <xf numFmtId="164" fontId="7" fillId="5" borderId="5" xfId="0" applyNumberFormat="1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22" fillId="10" borderId="33" xfId="0" applyFont="1" applyFill="1" applyBorder="1" applyAlignment="1">
      <alignment horizontal="left"/>
    </xf>
  </cellXfs>
  <cellStyles count="3">
    <cellStyle name="Normal" xfId="0" builtinId="0"/>
    <cellStyle name="Percent" xfId="1" builtinId="5"/>
    <cellStyle name="Percent 2" xfId="2" xr:uid="{00000000-0005-0000-0000-000002000000}"/>
  </cellStyles>
  <dxfs count="0"/>
  <tableStyles count="0" defaultTableStyle="TableStyleMedium9" defaultPivotStyle="PivotStyleLight16"/>
  <colors>
    <mruColors>
      <color rgb="FFCCFFFF"/>
      <color rgb="FF00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598715</xdr:colOff>
      <xdr:row>22</xdr:row>
      <xdr:rowOff>117929</xdr:rowOff>
    </xdr:from>
    <xdr:to>
      <xdr:col>6</xdr:col>
      <xdr:colOff>916216</xdr:colOff>
      <xdr:row>28</xdr:row>
      <xdr:rowOff>127000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H="1">
          <a:off x="9501415" y="3839029"/>
          <a:ext cx="317501" cy="106952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566990</xdr:colOff>
      <xdr:row>30</xdr:row>
      <xdr:rowOff>12413</xdr:rowOff>
    </xdr:from>
    <xdr:to>
      <xdr:col>9</xdr:col>
      <xdr:colOff>790507</xdr:colOff>
      <xdr:row>38</xdr:row>
      <xdr:rowOff>37630</xdr:rowOff>
    </xdr:to>
    <xdr:pic>
      <xdr:nvPicPr>
        <xdr:cNvPr id="3" name="Content Placeholder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62633" y="5545984"/>
          <a:ext cx="4568731" cy="144943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5</xdr:col>
      <xdr:colOff>2775858</xdr:colOff>
      <xdr:row>20</xdr:row>
      <xdr:rowOff>81642</xdr:rowOff>
    </xdr:from>
    <xdr:to>
      <xdr:col>6</xdr:col>
      <xdr:colOff>235858</xdr:colOff>
      <xdr:row>25</xdr:row>
      <xdr:rowOff>117929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8833758" y="3478892"/>
          <a:ext cx="304800" cy="893537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535215</xdr:colOff>
      <xdr:row>29</xdr:row>
      <xdr:rowOff>81643</xdr:rowOff>
    </xdr:from>
    <xdr:to>
      <xdr:col>5</xdr:col>
      <xdr:colOff>299357</xdr:colOff>
      <xdr:row>31</xdr:row>
      <xdr:rowOff>172358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5869215" y="5052786"/>
          <a:ext cx="979713" cy="46264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>
          <a:off x="5324475" y="95250"/>
          <a:ext cx="685801" cy="38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18</xdr:row>
      <xdr:rowOff>152402</xdr:rowOff>
    </xdr:from>
    <xdr:to>
      <xdr:col>11</xdr:col>
      <xdr:colOff>0</xdr:colOff>
      <xdr:row>19</xdr:row>
      <xdr:rowOff>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15180733" y="3232152"/>
          <a:ext cx="529167" cy="634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9</xdr:row>
      <xdr:rowOff>72571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15007590" y="1551940"/>
          <a:ext cx="680539" cy="1462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15026428" y="1724025"/>
          <a:ext cx="670016" cy="32475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415638</xdr:colOff>
      <xdr:row>10</xdr:row>
      <xdr:rowOff>170664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266724" y="598552"/>
          <a:ext cx="2332264" cy="143719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10</xdr:col>
      <xdr:colOff>27214</xdr:colOff>
      <xdr:row>3</xdr:row>
      <xdr:rowOff>17319</xdr:rowOff>
    </xdr:from>
    <xdr:to>
      <xdr:col>13</xdr:col>
      <xdr:colOff>196273</xdr:colOff>
      <xdr:row>4</xdr:row>
      <xdr:rowOff>81643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V="1">
          <a:off x="15711714" y="606962"/>
          <a:ext cx="2046845" cy="245752"/>
        </a:xfrm>
        <a:prstGeom prst="straightConnector1">
          <a:avLst/>
        </a:prstGeom>
        <a:ln w="63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2694215</xdr:colOff>
      <xdr:row>5</xdr:row>
      <xdr:rowOff>353788</xdr:rowOff>
    </xdr:from>
    <xdr:to>
      <xdr:col>8</xdr:col>
      <xdr:colOff>3138714</xdr:colOff>
      <xdr:row>8</xdr:row>
      <xdr:rowOff>46661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305065" y="1134838"/>
          <a:ext cx="444499" cy="40860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13" name="Straight Arrow Connector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 flipV="1">
          <a:off x="15106650" y="1042555"/>
          <a:ext cx="579005" cy="180686"/>
        </a:xfrm>
        <a:prstGeom prst="straightConnector1">
          <a:avLst/>
        </a:prstGeom>
        <a:ln w="63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3138714</xdr:colOff>
      <xdr:row>7</xdr:row>
      <xdr:rowOff>44320</xdr:rowOff>
    </xdr:from>
    <xdr:to>
      <xdr:col>9</xdr:col>
      <xdr:colOff>63500</xdr:colOff>
      <xdr:row>7</xdr:row>
      <xdr:rowOff>75046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>
          <a:endCxn id="12" idx="3"/>
        </xdr:cNvCxnSpPr>
      </xdr:nvCxnSpPr>
      <xdr:spPr>
        <a:xfrm flipH="1" flipV="1">
          <a:off x="13749564" y="1339720"/>
          <a:ext cx="658586" cy="30726"/>
        </a:xfrm>
        <a:prstGeom prst="straightConnector1">
          <a:avLst/>
        </a:prstGeom>
        <a:ln w="63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33627</xdr:rowOff>
    </xdr:from>
    <xdr:to>
      <xdr:col>12</xdr:col>
      <xdr:colOff>230141</xdr:colOff>
      <xdr:row>17</xdr:row>
      <xdr:rowOff>61230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762818" y="2789527"/>
          <a:ext cx="812223" cy="204497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16</xdr:row>
      <xdr:rowOff>9071</xdr:rowOff>
    </xdr:from>
    <xdr:to>
      <xdr:col>13</xdr:col>
      <xdr:colOff>517711</xdr:colOff>
      <xdr:row>17</xdr:row>
      <xdr:rowOff>50166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715314" y="2764971"/>
          <a:ext cx="871198" cy="21798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11</xdr:col>
      <xdr:colOff>34012</xdr:colOff>
      <xdr:row>13</xdr:row>
      <xdr:rowOff>151009</xdr:rowOff>
    </xdr:from>
    <xdr:to>
      <xdr:col>12</xdr:col>
      <xdr:colOff>204642</xdr:colOff>
      <xdr:row>14</xdr:row>
      <xdr:rowOff>163286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743912" y="2430659"/>
          <a:ext cx="805630" cy="18463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312208</xdr:colOff>
      <xdr:row>13</xdr:row>
      <xdr:rowOff>129648</xdr:rowOff>
    </xdr:from>
    <xdr:to>
      <xdr:col>13</xdr:col>
      <xdr:colOff>495435</xdr:colOff>
      <xdr:row>14</xdr:row>
      <xdr:rowOff>166311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657108" y="2409298"/>
          <a:ext cx="907128" cy="20902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807357</xdr:colOff>
      <xdr:row>11</xdr:row>
      <xdr:rowOff>161017</xdr:rowOff>
    </xdr:from>
    <xdr:to>
      <xdr:col>11</xdr:col>
      <xdr:colOff>34012</xdr:colOff>
      <xdr:row>14</xdr:row>
      <xdr:rowOff>84577</xdr:rowOff>
    </xdr:to>
    <xdr:cxnSp macro="">
      <xdr:nvCxnSpPr>
        <xdr:cNvPr id="19" name="Straight Arrow Connector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>
          <a:endCxn id="17" idx="1"/>
        </xdr:cNvCxnSpPr>
      </xdr:nvCxnSpPr>
      <xdr:spPr>
        <a:xfrm>
          <a:off x="15152007" y="2116817"/>
          <a:ext cx="591905" cy="40616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13</xdr:row>
      <xdr:rowOff>142875</xdr:rowOff>
    </xdr:from>
    <xdr:to>
      <xdr:col>11</xdr:col>
      <xdr:colOff>52918</xdr:colOff>
      <xdr:row>16</xdr:row>
      <xdr:rowOff>138143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>
          <a:endCxn id="15" idx="1"/>
        </xdr:cNvCxnSpPr>
      </xdr:nvCxnSpPr>
      <xdr:spPr>
        <a:xfrm>
          <a:off x="15180733" y="2422525"/>
          <a:ext cx="582085" cy="47151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1091046</xdr:colOff>
      <xdr:row>31</xdr:row>
      <xdr:rowOff>80818</xdr:rowOff>
    </xdr:from>
    <xdr:to>
      <xdr:col>8</xdr:col>
      <xdr:colOff>1534584</xdr:colOff>
      <xdr:row>32</xdr:row>
      <xdr:rowOff>169333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1701896" y="5395768"/>
          <a:ext cx="443538" cy="27901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2456683</xdr:colOff>
      <xdr:row>32</xdr:row>
      <xdr:rowOff>99786</xdr:rowOff>
    </xdr:from>
    <xdr:ext cx="164959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 flipH="1">
          <a:off x="13067533" y="5605236"/>
          <a:ext cx="16495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/>
            <a:t>s</a:t>
          </a:r>
        </a:p>
      </xdr:txBody>
    </xdr:sp>
    <xdr:clientData/>
  </xdr:oneCellAnchor>
  <xdr:twoCellAnchor>
    <xdr:from>
      <xdr:col>10</xdr:col>
      <xdr:colOff>5772</xdr:colOff>
      <xdr:row>23</xdr:row>
      <xdr:rowOff>92364</xdr:rowOff>
    </xdr:from>
    <xdr:to>
      <xdr:col>11</xdr:col>
      <xdr:colOff>12507</xdr:colOff>
      <xdr:row>23</xdr:row>
      <xdr:rowOff>101599</xdr:rowOff>
    </xdr:to>
    <xdr:cxnSp macro="">
      <xdr:nvCxnSpPr>
        <xdr:cNvPr id="23" name="Straight Arrow Connector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 flipV="1">
          <a:off x="15194972" y="4023014"/>
          <a:ext cx="527435" cy="923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598715</xdr:colOff>
      <xdr:row>22</xdr:row>
      <xdr:rowOff>117929</xdr:rowOff>
    </xdr:from>
    <xdr:to>
      <xdr:col>6</xdr:col>
      <xdr:colOff>916216</xdr:colOff>
      <xdr:row>28</xdr:row>
      <xdr:rowOff>127000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H="1">
          <a:off x="9656990" y="4394654"/>
          <a:ext cx="317501" cy="120922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566990</xdr:colOff>
      <xdr:row>30</xdr:row>
      <xdr:rowOff>12413</xdr:rowOff>
    </xdr:from>
    <xdr:to>
      <xdr:col>9</xdr:col>
      <xdr:colOff>790507</xdr:colOff>
      <xdr:row>38</xdr:row>
      <xdr:rowOff>37630</xdr:rowOff>
    </xdr:to>
    <xdr:pic>
      <xdr:nvPicPr>
        <xdr:cNvPr id="3" name="Content Placeholder 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73015" y="5879813"/>
          <a:ext cx="4395467" cy="146349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5</xdr:col>
      <xdr:colOff>2775858</xdr:colOff>
      <xdr:row>20</xdr:row>
      <xdr:rowOff>81642</xdr:rowOff>
    </xdr:from>
    <xdr:to>
      <xdr:col>6</xdr:col>
      <xdr:colOff>235858</xdr:colOff>
      <xdr:row>25</xdr:row>
      <xdr:rowOff>117929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 flipH="1">
          <a:off x="9062358" y="3967842"/>
          <a:ext cx="231775" cy="1026887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535215</xdr:colOff>
      <xdr:row>29</xdr:row>
      <xdr:rowOff>81643</xdr:rowOff>
    </xdr:from>
    <xdr:to>
      <xdr:col>5</xdr:col>
      <xdr:colOff>299357</xdr:colOff>
      <xdr:row>31</xdr:row>
      <xdr:rowOff>172358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5659665" y="5758543"/>
          <a:ext cx="983342" cy="48124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H="1">
          <a:off x="5610225" y="95250"/>
          <a:ext cx="685801" cy="38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18</xdr:row>
      <xdr:rowOff>152402</xdr:rowOff>
    </xdr:from>
    <xdr:to>
      <xdr:col>11</xdr:col>
      <xdr:colOff>0</xdr:colOff>
      <xdr:row>19</xdr:row>
      <xdr:rowOff>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 flipV="1">
          <a:off x="15085483" y="3657602"/>
          <a:ext cx="497417" cy="3809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9</xdr:row>
      <xdr:rowOff>72571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CxnSpPr/>
      </xdr:nvCxnSpPr>
      <xdr:spPr>
        <a:xfrm>
          <a:off x="14940915" y="1644015"/>
          <a:ext cx="645614" cy="181156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xfrm>
          <a:off x="14959753" y="1851025"/>
          <a:ext cx="625566" cy="39460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415638</xdr:colOff>
      <xdr:row>10</xdr:row>
      <xdr:rowOff>170664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085749" y="620777"/>
          <a:ext cx="2246539" cy="150251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10</xdr:col>
      <xdr:colOff>27214</xdr:colOff>
      <xdr:row>3</xdr:row>
      <xdr:rowOff>17319</xdr:rowOff>
    </xdr:from>
    <xdr:to>
      <xdr:col>13</xdr:col>
      <xdr:colOff>196273</xdr:colOff>
      <xdr:row>4</xdr:row>
      <xdr:rowOff>81643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/>
      </xdr:nvCxnSpPr>
      <xdr:spPr>
        <a:xfrm flipV="1">
          <a:off x="15114814" y="636444"/>
          <a:ext cx="1969284" cy="254824"/>
        </a:xfrm>
        <a:prstGeom prst="straightConnector1">
          <a:avLst/>
        </a:prstGeom>
        <a:ln w="63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2694215</xdr:colOff>
      <xdr:row>5</xdr:row>
      <xdr:rowOff>353788</xdr:rowOff>
    </xdr:from>
    <xdr:to>
      <xdr:col>8</xdr:col>
      <xdr:colOff>3138714</xdr:colOff>
      <xdr:row>8</xdr:row>
      <xdr:rowOff>46661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409840" y="1172938"/>
          <a:ext cx="444499" cy="42629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13" name="Straight Arrow Connector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CxnSpPr/>
      </xdr:nvCxnSpPr>
      <xdr:spPr>
        <a:xfrm flipV="1">
          <a:off x="15039975" y="1077480"/>
          <a:ext cx="544080" cy="180686"/>
        </a:xfrm>
        <a:prstGeom prst="straightConnector1">
          <a:avLst/>
        </a:prstGeom>
        <a:ln w="63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3138714</xdr:colOff>
      <xdr:row>7</xdr:row>
      <xdr:rowOff>44320</xdr:rowOff>
    </xdr:from>
    <xdr:to>
      <xdr:col>9</xdr:col>
      <xdr:colOff>63500</xdr:colOff>
      <xdr:row>7</xdr:row>
      <xdr:rowOff>75046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CxnSpPr>
          <a:endCxn id="12" idx="3"/>
        </xdr:cNvCxnSpPr>
      </xdr:nvCxnSpPr>
      <xdr:spPr>
        <a:xfrm flipH="1" flipV="1">
          <a:off x="13854339" y="1406395"/>
          <a:ext cx="487136" cy="30726"/>
        </a:xfrm>
        <a:prstGeom prst="straightConnector1">
          <a:avLst/>
        </a:prstGeom>
        <a:ln w="63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33627</xdr:rowOff>
    </xdr:from>
    <xdr:to>
      <xdr:col>12</xdr:col>
      <xdr:colOff>230141</xdr:colOff>
      <xdr:row>17</xdr:row>
      <xdr:rowOff>61230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635818" y="3148302"/>
          <a:ext cx="786823" cy="21810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16</xdr:row>
      <xdr:rowOff>9071</xdr:rowOff>
    </xdr:from>
    <xdr:to>
      <xdr:col>13</xdr:col>
      <xdr:colOff>517711</xdr:colOff>
      <xdr:row>17</xdr:row>
      <xdr:rowOff>50166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562914" y="3123746"/>
          <a:ext cx="842622" cy="23159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11</xdr:col>
      <xdr:colOff>34012</xdr:colOff>
      <xdr:row>13</xdr:row>
      <xdr:rowOff>151009</xdr:rowOff>
    </xdr:from>
    <xdr:to>
      <xdr:col>12</xdr:col>
      <xdr:colOff>204642</xdr:colOff>
      <xdr:row>14</xdr:row>
      <xdr:rowOff>163286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616912" y="2694184"/>
          <a:ext cx="780230" cy="202777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312208</xdr:colOff>
      <xdr:row>13</xdr:row>
      <xdr:rowOff>129648</xdr:rowOff>
    </xdr:from>
    <xdr:to>
      <xdr:col>13</xdr:col>
      <xdr:colOff>495435</xdr:colOff>
      <xdr:row>14</xdr:row>
      <xdr:rowOff>166311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504708" y="2672823"/>
          <a:ext cx="878552" cy="22716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807357</xdr:colOff>
      <xdr:row>11</xdr:row>
      <xdr:rowOff>161017</xdr:rowOff>
    </xdr:from>
    <xdr:to>
      <xdr:col>11</xdr:col>
      <xdr:colOff>34012</xdr:colOff>
      <xdr:row>14</xdr:row>
      <xdr:rowOff>84577</xdr:rowOff>
    </xdr:to>
    <xdr:cxnSp macro="">
      <xdr:nvCxnSpPr>
        <xdr:cNvPr id="19" name="Straight Arrow Connector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CxnSpPr>
          <a:endCxn id="17" idx="1"/>
        </xdr:cNvCxnSpPr>
      </xdr:nvCxnSpPr>
      <xdr:spPr>
        <a:xfrm>
          <a:off x="15085332" y="2313667"/>
          <a:ext cx="531580" cy="50458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13</xdr:row>
      <xdr:rowOff>142875</xdr:rowOff>
    </xdr:from>
    <xdr:to>
      <xdr:col>11</xdr:col>
      <xdr:colOff>52918</xdr:colOff>
      <xdr:row>16</xdr:row>
      <xdr:rowOff>138143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CxnSpPr>
          <a:endCxn id="15" idx="1"/>
        </xdr:cNvCxnSpPr>
      </xdr:nvCxnSpPr>
      <xdr:spPr>
        <a:xfrm>
          <a:off x="15085483" y="2686050"/>
          <a:ext cx="550335" cy="56676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1091046</xdr:colOff>
      <xdr:row>31</xdr:row>
      <xdr:rowOff>80818</xdr:rowOff>
    </xdr:from>
    <xdr:to>
      <xdr:col>8</xdr:col>
      <xdr:colOff>1534584</xdr:colOff>
      <xdr:row>32</xdr:row>
      <xdr:rowOff>169333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11806671" y="6148243"/>
          <a:ext cx="443538" cy="28854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2456683</xdr:colOff>
      <xdr:row>32</xdr:row>
      <xdr:rowOff>99786</xdr:rowOff>
    </xdr:from>
    <xdr:ext cx="164959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 flipH="1">
          <a:off x="13172308" y="6367236"/>
          <a:ext cx="16495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/>
            <a:t>s</a:t>
          </a:r>
        </a:p>
      </xdr:txBody>
    </xdr:sp>
    <xdr:clientData/>
  </xdr:oneCellAnchor>
  <xdr:twoCellAnchor>
    <xdr:from>
      <xdr:col>10</xdr:col>
      <xdr:colOff>5772</xdr:colOff>
      <xdr:row>23</xdr:row>
      <xdr:rowOff>92364</xdr:rowOff>
    </xdr:from>
    <xdr:to>
      <xdr:col>11</xdr:col>
      <xdr:colOff>12507</xdr:colOff>
      <xdr:row>23</xdr:row>
      <xdr:rowOff>101599</xdr:rowOff>
    </xdr:to>
    <xdr:cxnSp macro="">
      <xdr:nvCxnSpPr>
        <xdr:cNvPr id="23" name="Straight Arrow Connector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CxnSpPr/>
      </xdr:nvCxnSpPr>
      <xdr:spPr>
        <a:xfrm flipV="1">
          <a:off x="15093372" y="4578639"/>
          <a:ext cx="502035" cy="923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598715</xdr:colOff>
      <xdr:row>22</xdr:row>
      <xdr:rowOff>117929</xdr:rowOff>
    </xdr:from>
    <xdr:to>
      <xdr:col>6</xdr:col>
      <xdr:colOff>916216</xdr:colOff>
      <xdr:row>28</xdr:row>
      <xdr:rowOff>127000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9497786" y="3864429"/>
          <a:ext cx="317501" cy="107042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566990</xdr:colOff>
      <xdr:row>30</xdr:row>
      <xdr:rowOff>12413</xdr:rowOff>
    </xdr:from>
    <xdr:to>
      <xdr:col>9</xdr:col>
      <xdr:colOff>790506</xdr:colOff>
      <xdr:row>38</xdr:row>
      <xdr:rowOff>37630</xdr:rowOff>
    </xdr:to>
    <xdr:pic>
      <xdr:nvPicPr>
        <xdr:cNvPr id="7" name="Content Placeholder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63704" y="5164984"/>
          <a:ext cx="4568731" cy="144943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5</xdr:col>
      <xdr:colOff>2775858</xdr:colOff>
      <xdr:row>20</xdr:row>
      <xdr:rowOff>81642</xdr:rowOff>
    </xdr:from>
    <xdr:to>
      <xdr:col>6</xdr:col>
      <xdr:colOff>235858</xdr:colOff>
      <xdr:row>25</xdr:row>
      <xdr:rowOff>117929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CxnSpPr/>
      </xdr:nvCxnSpPr>
      <xdr:spPr>
        <a:xfrm flipH="1">
          <a:off x="8826501" y="3501571"/>
          <a:ext cx="308428" cy="898072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535215</xdr:colOff>
      <xdr:row>29</xdr:row>
      <xdr:rowOff>81643</xdr:rowOff>
    </xdr:from>
    <xdr:to>
      <xdr:col>5</xdr:col>
      <xdr:colOff>299357</xdr:colOff>
      <xdr:row>31</xdr:row>
      <xdr:rowOff>172358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CxnSpPr/>
      </xdr:nvCxnSpPr>
      <xdr:spPr>
        <a:xfrm>
          <a:off x="5370286" y="5052786"/>
          <a:ext cx="979714" cy="46264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24" name="Straight Arrow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 flipH="1">
          <a:off x="5295900" y="95250"/>
          <a:ext cx="685801" cy="38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18</xdr:row>
      <xdr:rowOff>152402</xdr:rowOff>
    </xdr:from>
    <xdr:to>
      <xdr:col>11</xdr:col>
      <xdr:colOff>0</xdr:colOff>
      <xdr:row>19</xdr:row>
      <xdr:rowOff>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CxnSpPr/>
      </xdr:nvCxnSpPr>
      <xdr:spPr>
        <a:xfrm flipV="1">
          <a:off x="14964833" y="3401485"/>
          <a:ext cx="529167" cy="634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9</xdr:row>
      <xdr:rowOff>72571</xdr:rowOff>
    </xdr:to>
    <xdr:cxnSp macro="">
      <xdr:nvCxnSpPr>
        <xdr:cNvPr id="96" name="Straight Arrow Connector 95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CxnSpPr/>
      </xdr:nvCxnSpPr>
      <xdr:spPr>
        <a:xfrm>
          <a:off x="15004869" y="1551940"/>
          <a:ext cx="679631" cy="144417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98" name="Straight Arrow Connector 9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CxnSpPr/>
      </xdr:nvCxnSpPr>
      <xdr:spPr>
        <a:xfrm>
          <a:off x="14810528" y="1728258"/>
          <a:ext cx="672133" cy="32793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415638</xdr:colOff>
      <xdr:row>11</xdr:row>
      <xdr:rowOff>79950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973469" y="602016"/>
          <a:ext cx="2330534" cy="145172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10</xdr:col>
      <xdr:colOff>11545</xdr:colOff>
      <xdr:row>3</xdr:row>
      <xdr:rowOff>17318</xdr:rowOff>
    </xdr:from>
    <xdr:to>
      <xdr:col>13</xdr:col>
      <xdr:colOff>196273</xdr:colOff>
      <xdr:row>4</xdr:row>
      <xdr:rowOff>121227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CxnSpPr/>
      </xdr:nvCxnSpPr>
      <xdr:spPr>
        <a:xfrm flipV="1">
          <a:off x="15130318" y="617682"/>
          <a:ext cx="1974273" cy="288636"/>
        </a:xfrm>
        <a:prstGeom prst="straightConnector1">
          <a:avLst/>
        </a:prstGeom>
        <a:ln w="63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2694215</xdr:colOff>
      <xdr:row>5</xdr:row>
      <xdr:rowOff>353788</xdr:rowOff>
    </xdr:from>
    <xdr:to>
      <xdr:col>8</xdr:col>
      <xdr:colOff>3138714</xdr:colOff>
      <xdr:row>8</xdr:row>
      <xdr:rowOff>82947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081001" y="1279074"/>
          <a:ext cx="444499" cy="412237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CxnSpPr/>
      </xdr:nvCxnSpPr>
      <xdr:spPr>
        <a:xfrm flipV="1">
          <a:off x="14905182" y="1050637"/>
          <a:ext cx="577273" cy="178954"/>
        </a:xfrm>
        <a:prstGeom prst="straightConnector1">
          <a:avLst/>
        </a:prstGeom>
        <a:ln w="63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3138714</xdr:colOff>
      <xdr:row>7</xdr:row>
      <xdr:rowOff>44320</xdr:rowOff>
    </xdr:from>
    <xdr:to>
      <xdr:col>9</xdr:col>
      <xdr:colOff>63500</xdr:colOff>
      <xdr:row>7</xdr:row>
      <xdr:rowOff>75046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CxnSpPr>
          <a:endCxn id="18" idx="3"/>
        </xdr:cNvCxnSpPr>
      </xdr:nvCxnSpPr>
      <xdr:spPr>
        <a:xfrm flipH="1" flipV="1">
          <a:off x="13546941" y="1348956"/>
          <a:ext cx="659741" cy="30726"/>
        </a:xfrm>
        <a:prstGeom prst="straightConnector1">
          <a:avLst/>
        </a:prstGeom>
        <a:ln w="63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33627</xdr:rowOff>
    </xdr:from>
    <xdr:to>
      <xdr:col>12</xdr:col>
      <xdr:colOff>230141</xdr:colOff>
      <xdr:row>17</xdr:row>
      <xdr:rowOff>79374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537847" y="2800413"/>
          <a:ext cx="812223" cy="20903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16</xdr:row>
      <xdr:rowOff>9071</xdr:rowOff>
    </xdr:from>
    <xdr:to>
      <xdr:col>13</xdr:col>
      <xdr:colOff>517712</xdr:colOff>
      <xdr:row>17</xdr:row>
      <xdr:rowOff>68310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490343" y="2775857"/>
          <a:ext cx="873012" cy="22252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11</xdr:col>
      <xdr:colOff>34012</xdr:colOff>
      <xdr:row>13</xdr:row>
      <xdr:rowOff>151009</xdr:rowOff>
    </xdr:from>
    <xdr:to>
      <xdr:col>12</xdr:col>
      <xdr:colOff>204642</xdr:colOff>
      <xdr:row>15</xdr:row>
      <xdr:rowOff>18143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518941" y="2427938"/>
          <a:ext cx="805630" cy="19370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312208</xdr:colOff>
      <xdr:row>13</xdr:row>
      <xdr:rowOff>129648</xdr:rowOff>
    </xdr:from>
    <xdr:to>
      <xdr:col>13</xdr:col>
      <xdr:colOff>495436</xdr:colOff>
      <xdr:row>15</xdr:row>
      <xdr:rowOff>21168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432137" y="2406577"/>
          <a:ext cx="908942" cy="218091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807357</xdr:colOff>
      <xdr:row>11</xdr:row>
      <xdr:rowOff>161017</xdr:rowOff>
    </xdr:from>
    <xdr:to>
      <xdr:col>11</xdr:col>
      <xdr:colOff>34012</xdr:colOff>
      <xdr:row>14</xdr:row>
      <xdr:rowOff>84577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CxnSpPr>
          <a:endCxn id="27" idx="1"/>
        </xdr:cNvCxnSpPr>
      </xdr:nvCxnSpPr>
      <xdr:spPr>
        <a:xfrm>
          <a:off x="14931571" y="2111374"/>
          <a:ext cx="587370" cy="413417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13</xdr:row>
      <xdr:rowOff>142875</xdr:rowOff>
    </xdr:from>
    <xdr:to>
      <xdr:col>11</xdr:col>
      <xdr:colOff>52918</xdr:colOff>
      <xdr:row>16</xdr:row>
      <xdr:rowOff>138143</xdr:rowOff>
    </xdr:to>
    <xdr:cxnSp macro="">
      <xdr:nvCxnSpPr>
        <xdr:cNvPr id="33" name="Straight Arrow Connector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CxnSpPr>
          <a:endCxn id="16" idx="1"/>
        </xdr:cNvCxnSpPr>
      </xdr:nvCxnSpPr>
      <xdr:spPr>
        <a:xfrm>
          <a:off x="14960297" y="2419804"/>
          <a:ext cx="577550" cy="4851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1091046</xdr:colOff>
      <xdr:row>31</xdr:row>
      <xdr:rowOff>80818</xdr:rowOff>
    </xdr:from>
    <xdr:to>
      <xdr:col>8</xdr:col>
      <xdr:colOff>1534584</xdr:colOff>
      <xdr:row>32</xdr:row>
      <xdr:rowOff>169333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11632046" y="5432136"/>
          <a:ext cx="443538" cy="31365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2456683</xdr:colOff>
      <xdr:row>32</xdr:row>
      <xdr:rowOff>99786</xdr:rowOff>
    </xdr:from>
    <xdr:ext cx="164959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 flipH="1">
          <a:off x="13061183" y="5633357"/>
          <a:ext cx="16495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/>
            <a:t>s</a:t>
          </a:r>
        </a:p>
      </xdr:txBody>
    </xdr:sp>
    <xdr:clientData/>
  </xdr:oneCellAnchor>
  <xdr:twoCellAnchor>
    <xdr:from>
      <xdr:col>10</xdr:col>
      <xdr:colOff>5772</xdr:colOff>
      <xdr:row>23</xdr:row>
      <xdr:rowOff>92364</xdr:rowOff>
    </xdr:from>
    <xdr:to>
      <xdr:col>11</xdr:col>
      <xdr:colOff>12507</xdr:colOff>
      <xdr:row>23</xdr:row>
      <xdr:rowOff>101599</xdr:rowOff>
    </xdr:to>
    <xdr:cxnSp macro="">
      <xdr:nvCxnSpPr>
        <xdr:cNvPr id="25" name="Straight Arrow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 flipV="1">
          <a:off x="15124545" y="4046682"/>
          <a:ext cx="526280" cy="923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598715</xdr:colOff>
      <xdr:row>22</xdr:row>
      <xdr:rowOff>117929</xdr:rowOff>
    </xdr:from>
    <xdr:to>
      <xdr:col>6</xdr:col>
      <xdr:colOff>916216</xdr:colOff>
      <xdr:row>28</xdr:row>
      <xdr:rowOff>127000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 flipH="1">
          <a:off x="9501415" y="3839029"/>
          <a:ext cx="317501" cy="106952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566990</xdr:colOff>
      <xdr:row>30</xdr:row>
      <xdr:rowOff>12413</xdr:rowOff>
    </xdr:from>
    <xdr:to>
      <xdr:col>9</xdr:col>
      <xdr:colOff>790506</xdr:colOff>
      <xdr:row>38</xdr:row>
      <xdr:rowOff>37630</xdr:rowOff>
    </xdr:to>
    <xdr:pic>
      <xdr:nvPicPr>
        <xdr:cNvPr id="3" name="Content Placeholder 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68240" y="5136863"/>
          <a:ext cx="4566916" cy="1422217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5</xdr:col>
      <xdr:colOff>2775858</xdr:colOff>
      <xdr:row>20</xdr:row>
      <xdr:rowOff>81642</xdr:rowOff>
    </xdr:from>
    <xdr:to>
      <xdr:col>6</xdr:col>
      <xdr:colOff>235858</xdr:colOff>
      <xdr:row>25</xdr:row>
      <xdr:rowOff>117929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8833758" y="3478892"/>
          <a:ext cx="304800" cy="893537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535215</xdr:colOff>
      <xdr:row>29</xdr:row>
      <xdr:rowOff>81643</xdr:rowOff>
    </xdr:from>
    <xdr:to>
      <xdr:col>5</xdr:col>
      <xdr:colOff>299357</xdr:colOff>
      <xdr:row>31</xdr:row>
      <xdr:rowOff>172358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>
          <a:off x="5373915" y="5028293"/>
          <a:ext cx="983342" cy="45901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5324475" y="95250"/>
          <a:ext cx="685801" cy="38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18</xdr:row>
      <xdr:rowOff>152402</xdr:rowOff>
    </xdr:from>
    <xdr:to>
      <xdr:col>11</xdr:col>
      <xdr:colOff>0</xdr:colOff>
      <xdr:row>19</xdr:row>
      <xdr:rowOff>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CxnSpPr/>
      </xdr:nvCxnSpPr>
      <xdr:spPr>
        <a:xfrm flipV="1">
          <a:off x="15180733" y="3232152"/>
          <a:ext cx="529167" cy="634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9</xdr:row>
      <xdr:rowOff>72571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CxnSpPr/>
      </xdr:nvCxnSpPr>
      <xdr:spPr>
        <a:xfrm>
          <a:off x="15007590" y="1551940"/>
          <a:ext cx="680539" cy="1462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CxnSpPr/>
      </xdr:nvCxnSpPr>
      <xdr:spPr>
        <a:xfrm>
          <a:off x="15026428" y="1724025"/>
          <a:ext cx="670016" cy="32475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415638</xdr:colOff>
      <xdr:row>11</xdr:row>
      <xdr:rowOff>79950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266724" y="598552"/>
          <a:ext cx="2332264" cy="143719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10</xdr:col>
      <xdr:colOff>11545</xdr:colOff>
      <xdr:row>3</xdr:row>
      <xdr:rowOff>17318</xdr:rowOff>
    </xdr:from>
    <xdr:to>
      <xdr:col>13</xdr:col>
      <xdr:colOff>196273</xdr:colOff>
      <xdr:row>4</xdr:row>
      <xdr:rowOff>121227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CxnSpPr/>
      </xdr:nvCxnSpPr>
      <xdr:spPr>
        <a:xfrm flipV="1">
          <a:off x="15200745" y="614218"/>
          <a:ext cx="2064328" cy="281709"/>
        </a:xfrm>
        <a:prstGeom prst="straightConnector1">
          <a:avLst/>
        </a:prstGeom>
        <a:ln w="63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2694215</xdr:colOff>
      <xdr:row>5</xdr:row>
      <xdr:rowOff>353788</xdr:rowOff>
    </xdr:from>
    <xdr:to>
      <xdr:col>8</xdr:col>
      <xdr:colOff>3138714</xdr:colOff>
      <xdr:row>8</xdr:row>
      <xdr:rowOff>82947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305065" y="1134838"/>
          <a:ext cx="444499" cy="40860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13" name="Straight Arrow Connector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CxnSpPr/>
      </xdr:nvCxnSpPr>
      <xdr:spPr>
        <a:xfrm flipV="1">
          <a:off x="15106650" y="1042555"/>
          <a:ext cx="579005" cy="180686"/>
        </a:xfrm>
        <a:prstGeom prst="straightConnector1">
          <a:avLst/>
        </a:prstGeom>
        <a:ln w="63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3138714</xdr:colOff>
      <xdr:row>7</xdr:row>
      <xdr:rowOff>44320</xdr:rowOff>
    </xdr:from>
    <xdr:to>
      <xdr:col>9</xdr:col>
      <xdr:colOff>63500</xdr:colOff>
      <xdr:row>7</xdr:row>
      <xdr:rowOff>75046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CxnSpPr>
          <a:endCxn id="12" idx="3"/>
        </xdr:cNvCxnSpPr>
      </xdr:nvCxnSpPr>
      <xdr:spPr>
        <a:xfrm flipH="1" flipV="1">
          <a:off x="13749564" y="1339720"/>
          <a:ext cx="658586" cy="30726"/>
        </a:xfrm>
        <a:prstGeom prst="straightConnector1">
          <a:avLst/>
        </a:prstGeom>
        <a:ln w="63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33627</xdr:rowOff>
    </xdr:from>
    <xdr:to>
      <xdr:col>12</xdr:col>
      <xdr:colOff>230141</xdr:colOff>
      <xdr:row>17</xdr:row>
      <xdr:rowOff>79374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762818" y="2789527"/>
          <a:ext cx="812223" cy="204497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16</xdr:row>
      <xdr:rowOff>9071</xdr:rowOff>
    </xdr:from>
    <xdr:to>
      <xdr:col>13</xdr:col>
      <xdr:colOff>517712</xdr:colOff>
      <xdr:row>17</xdr:row>
      <xdr:rowOff>68310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715314" y="2764971"/>
          <a:ext cx="871198" cy="21798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11</xdr:col>
      <xdr:colOff>34012</xdr:colOff>
      <xdr:row>13</xdr:row>
      <xdr:rowOff>151009</xdr:rowOff>
    </xdr:from>
    <xdr:to>
      <xdr:col>12</xdr:col>
      <xdr:colOff>204642</xdr:colOff>
      <xdr:row>15</xdr:row>
      <xdr:rowOff>18143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743912" y="2430659"/>
          <a:ext cx="805630" cy="18463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312208</xdr:colOff>
      <xdr:row>13</xdr:row>
      <xdr:rowOff>129648</xdr:rowOff>
    </xdr:from>
    <xdr:to>
      <xdr:col>13</xdr:col>
      <xdr:colOff>495436</xdr:colOff>
      <xdr:row>15</xdr:row>
      <xdr:rowOff>21168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657108" y="2409298"/>
          <a:ext cx="907128" cy="20902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807357</xdr:colOff>
      <xdr:row>11</xdr:row>
      <xdr:rowOff>161017</xdr:rowOff>
    </xdr:from>
    <xdr:to>
      <xdr:col>11</xdr:col>
      <xdr:colOff>34012</xdr:colOff>
      <xdr:row>14</xdr:row>
      <xdr:rowOff>84577</xdr:rowOff>
    </xdr:to>
    <xdr:cxnSp macro="">
      <xdr:nvCxnSpPr>
        <xdr:cNvPr id="19" name="Straight Arrow Connector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CxnSpPr>
          <a:endCxn id="17" idx="1"/>
        </xdr:cNvCxnSpPr>
      </xdr:nvCxnSpPr>
      <xdr:spPr>
        <a:xfrm>
          <a:off x="15152007" y="2116817"/>
          <a:ext cx="591905" cy="40616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13</xdr:row>
      <xdr:rowOff>142875</xdr:rowOff>
    </xdr:from>
    <xdr:to>
      <xdr:col>11</xdr:col>
      <xdr:colOff>52918</xdr:colOff>
      <xdr:row>16</xdr:row>
      <xdr:rowOff>138143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CxnSpPr>
          <a:endCxn id="15" idx="1"/>
        </xdr:cNvCxnSpPr>
      </xdr:nvCxnSpPr>
      <xdr:spPr>
        <a:xfrm>
          <a:off x="15180733" y="2422525"/>
          <a:ext cx="582085" cy="47151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1091046</xdr:colOff>
      <xdr:row>31</xdr:row>
      <xdr:rowOff>80818</xdr:rowOff>
    </xdr:from>
    <xdr:to>
      <xdr:col>8</xdr:col>
      <xdr:colOff>1534584</xdr:colOff>
      <xdr:row>32</xdr:row>
      <xdr:rowOff>169333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 txBox="1"/>
      </xdr:nvSpPr>
      <xdr:spPr>
        <a:xfrm>
          <a:off x="11701896" y="5395768"/>
          <a:ext cx="443538" cy="27901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2456683</xdr:colOff>
      <xdr:row>32</xdr:row>
      <xdr:rowOff>99786</xdr:rowOff>
    </xdr:from>
    <xdr:ext cx="164959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/>
      </xdr:nvSpPr>
      <xdr:spPr>
        <a:xfrm flipH="1">
          <a:off x="13067533" y="5605236"/>
          <a:ext cx="16495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/>
            <a:t>s</a:t>
          </a:r>
        </a:p>
      </xdr:txBody>
    </xdr:sp>
    <xdr:clientData/>
  </xdr:oneCellAnchor>
  <xdr:twoCellAnchor>
    <xdr:from>
      <xdr:col>10</xdr:col>
      <xdr:colOff>5772</xdr:colOff>
      <xdr:row>23</xdr:row>
      <xdr:rowOff>92364</xdr:rowOff>
    </xdr:from>
    <xdr:to>
      <xdr:col>11</xdr:col>
      <xdr:colOff>12507</xdr:colOff>
      <xdr:row>23</xdr:row>
      <xdr:rowOff>101599</xdr:rowOff>
    </xdr:to>
    <xdr:cxnSp macro="">
      <xdr:nvCxnSpPr>
        <xdr:cNvPr id="23" name="Straight Arrow Connector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CxnSpPr/>
      </xdr:nvCxnSpPr>
      <xdr:spPr>
        <a:xfrm flipV="1">
          <a:off x="15194972" y="4023014"/>
          <a:ext cx="527435" cy="923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18</xdr:row>
      <xdr:rowOff>152402</xdr:rowOff>
    </xdr:from>
    <xdr:to>
      <xdr:col>11</xdr:col>
      <xdr:colOff>0</xdr:colOff>
      <xdr:row>19</xdr:row>
      <xdr:rowOff>0</xdr:rowOff>
    </xdr:to>
    <xdr:cxnSp macro="">
      <xdr:nvCxnSpPr>
        <xdr:cNvPr id="24" name="Straight Arrow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 flipV="1">
          <a:off x="15178012" y="3245759"/>
          <a:ext cx="524631" cy="1088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9</xdr:row>
      <xdr:rowOff>72571</xdr:rowOff>
    </xdr:to>
    <xdr:cxnSp macro="">
      <xdr:nvCxnSpPr>
        <xdr:cNvPr id="25" name="Straight Arrow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15004869" y="1551940"/>
          <a:ext cx="679631" cy="144417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26" name="Straight Arrow Connector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CxnSpPr/>
      </xdr:nvCxnSpPr>
      <xdr:spPr>
        <a:xfrm>
          <a:off x="15023707" y="1722211"/>
          <a:ext cx="669108" cy="32112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27" name="Straight Arrow Connector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CxnSpPr/>
      </xdr:nvCxnSpPr>
      <xdr:spPr>
        <a:xfrm flipV="1">
          <a:off x="15103929" y="1040741"/>
          <a:ext cx="578097" cy="179779"/>
        </a:xfrm>
        <a:prstGeom prst="straightConnector1">
          <a:avLst/>
        </a:prstGeom>
        <a:ln w="63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3138714</xdr:colOff>
      <xdr:row>7</xdr:row>
      <xdr:rowOff>44320</xdr:rowOff>
    </xdr:from>
    <xdr:to>
      <xdr:col>9</xdr:col>
      <xdr:colOff>63500</xdr:colOff>
      <xdr:row>7</xdr:row>
      <xdr:rowOff>75046</xdr:rowOff>
    </xdr:to>
    <xdr:cxnSp macro="">
      <xdr:nvCxnSpPr>
        <xdr:cNvPr id="28" name="Straight Arrow Connector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CxnSpPr/>
      </xdr:nvCxnSpPr>
      <xdr:spPr>
        <a:xfrm flipH="1" flipV="1">
          <a:off x="13743214" y="1341534"/>
          <a:ext cx="662215" cy="30726"/>
        </a:xfrm>
        <a:prstGeom prst="straightConnector1">
          <a:avLst/>
        </a:prstGeom>
        <a:ln w="63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48"/>
  <sheetViews>
    <sheetView tabSelected="1" topLeftCell="A3" zoomScale="70" zoomScaleNormal="70" workbookViewId="0">
      <selection activeCell="I30" sqref="I30"/>
    </sheetView>
  </sheetViews>
  <sheetFormatPr defaultRowHeight="12.5" x14ac:dyDescent="0.25"/>
  <cols>
    <col min="1" max="1" width="15.81640625" customWidth="1"/>
    <col min="3" max="3" width="51.81640625" customWidth="1"/>
    <col min="6" max="6" width="40.7265625" customWidth="1"/>
    <col min="7" max="7" width="15.7265625" customWidth="1"/>
    <col min="9" max="9" width="53.453125" customWidth="1"/>
    <col min="10" max="10" width="12.1796875" customWidth="1"/>
    <col min="11" max="11" width="7.453125" customWidth="1"/>
    <col min="12" max="12" width="9.1796875" customWidth="1"/>
    <col min="13" max="13" width="10.453125" customWidth="1"/>
    <col min="14" max="14" width="9.1796875" customWidth="1"/>
    <col min="15" max="15" width="11.1796875" customWidth="1"/>
    <col min="16" max="16" width="10.1796875" customWidth="1"/>
  </cols>
  <sheetData>
    <row r="1" spans="2:16" ht="18" thickBot="1" x14ac:dyDescent="0.4">
      <c r="C1" s="4" t="s">
        <v>79</v>
      </c>
      <c r="D1" s="13">
        <v>6</v>
      </c>
      <c r="F1" s="135" t="s">
        <v>123</v>
      </c>
      <c r="G1" s="131"/>
      <c r="H1" s="131"/>
    </row>
    <row r="2" spans="2:16" ht="13" thickBot="1" x14ac:dyDescent="0.3"/>
    <row r="3" spans="2:16" ht="16" thickBot="1" x14ac:dyDescent="0.4">
      <c r="B3" s="136" t="s">
        <v>12</v>
      </c>
      <c r="C3" s="137"/>
      <c r="D3" s="137"/>
      <c r="E3" s="137" t="s">
        <v>13</v>
      </c>
      <c r="F3" s="137"/>
      <c r="G3" s="137"/>
      <c r="H3" s="137" t="s">
        <v>15</v>
      </c>
      <c r="I3" s="137"/>
      <c r="J3" s="138"/>
    </row>
    <row r="4" spans="2:16" ht="14" x14ac:dyDescent="0.25">
      <c r="B4" s="2" t="s">
        <v>58</v>
      </c>
      <c r="C4" s="163" t="s">
        <v>125</v>
      </c>
      <c r="D4" s="200">
        <v>0.54600000000000004</v>
      </c>
      <c r="E4" s="156" t="s">
        <v>67</v>
      </c>
      <c r="F4" s="111" t="s">
        <v>46</v>
      </c>
      <c r="G4" s="148">
        <f>D8-D12</f>
        <v>156</v>
      </c>
      <c r="H4" s="139" t="s">
        <v>43</v>
      </c>
      <c r="I4" s="112" t="s">
        <v>84</v>
      </c>
      <c r="J4" s="169">
        <f>(D24^2*AVERAGE(G17:G18)*1000)/2</f>
        <v>21287.360651000003</v>
      </c>
      <c r="M4" s="9"/>
    </row>
    <row r="5" spans="2:16" ht="12" customHeight="1" thickBot="1" x14ac:dyDescent="0.3">
      <c r="B5" s="2" t="s">
        <v>59</v>
      </c>
      <c r="C5" s="163" t="s">
        <v>126</v>
      </c>
      <c r="D5" s="201">
        <v>0.54600000000000004</v>
      </c>
      <c r="E5" s="121" t="s">
        <v>68</v>
      </c>
      <c r="F5" s="2" t="s">
        <v>2</v>
      </c>
      <c r="G5" s="149">
        <f>D9-D13</f>
        <v>156</v>
      </c>
      <c r="H5" s="20" t="s">
        <v>23</v>
      </c>
      <c r="I5" s="2" t="s">
        <v>30</v>
      </c>
      <c r="J5" s="144">
        <f>(D25^2*AVERAGE(G19:G20)*1000)/2</f>
        <v>29796.57421875</v>
      </c>
      <c r="M5" s="8"/>
    </row>
    <row r="6" spans="2:16" ht="16.5" customHeight="1" thickBot="1" x14ac:dyDescent="0.3">
      <c r="B6" s="2" t="s">
        <v>60</v>
      </c>
      <c r="C6" s="163" t="s">
        <v>127</v>
      </c>
      <c r="D6" s="201">
        <v>0.625</v>
      </c>
      <c r="E6" s="121" t="s">
        <v>69</v>
      </c>
      <c r="F6" s="2" t="s">
        <v>48</v>
      </c>
      <c r="G6" s="149">
        <f>D10-D14</f>
        <v>164</v>
      </c>
      <c r="H6" s="20" t="s">
        <v>24</v>
      </c>
      <c r="I6" s="2" t="s">
        <v>29</v>
      </c>
      <c r="J6" s="144">
        <f>SUM(J4:J5)</f>
        <v>51083.934869750003</v>
      </c>
      <c r="L6" s="116" t="s">
        <v>133</v>
      </c>
      <c r="M6" s="117"/>
    </row>
    <row r="7" spans="2:16" ht="14" x14ac:dyDescent="0.25">
      <c r="B7" s="2" t="s">
        <v>37</v>
      </c>
      <c r="C7" s="163" t="s">
        <v>128</v>
      </c>
      <c r="D7" s="201">
        <v>0.625</v>
      </c>
      <c r="E7" s="121" t="s">
        <v>0</v>
      </c>
      <c r="F7" s="2" t="s">
        <v>47</v>
      </c>
      <c r="G7" s="149">
        <f>D11-D15</f>
        <v>164</v>
      </c>
      <c r="H7" s="20" t="s">
        <v>27</v>
      </c>
      <c r="I7" s="2" t="s">
        <v>28</v>
      </c>
      <c r="J7" s="152">
        <f>G10*D1*G25</f>
        <v>1262.8560000000002</v>
      </c>
    </row>
    <row r="8" spans="2:16" ht="14" x14ac:dyDescent="0.3">
      <c r="B8" s="2" t="s">
        <v>61</v>
      </c>
      <c r="C8" s="164" t="s">
        <v>50</v>
      </c>
      <c r="D8" s="201">
        <v>194</v>
      </c>
      <c r="E8" s="16" t="s">
        <v>7</v>
      </c>
      <c r="F8" s="2" t="s">
        <v>3</v>
      </c>
      <c r="G8" s="149">
        <f>G4+G5</f>
        <v>312</v>
      </c>
      <c r="H8" s="140" t="s">
        <v>85</v>
      </c>
      <c r="I8" s="3" t="s">
        <v>93</v>
      </c>
      <c r="J8" s="115">
        <f>J7/J6</f>
        <v>2.4721196658400259E-2</v>
      </c>
      <c r="K8" s="18">
        <f>J8*180/3.142</f>
        <v>1.4162366004175833</v>
      </c>
      <c r="L8" s="16" t="s">
        <v>92</v>
      </c>
      <c r="P8" s="11"/>
    </row>
    <row r="9" spans="2:16" ht="14.5" thickBot="1" x14ac:dyDescent="0.3">
      <c r="B9" s="2" t="s">
        <v>62</v>
      </c>
      <c r="C9" s="164" t="s">
        <v>51</v>
      </c>
      <c r="D9" s="201">
        <v>194</v>
      </c>
      <c r="E9" s="121" t="s">
        <v>6</v>
      </c>
      <c r="F9" s="2" t="s">
        <v>4</v>
      </c>
      <c r="G9" s="149">
        <f>G6+G7</f>
        <v>328</v>
      </c>
      <c r="H9" s="20" t="s">
        <v>11</v>
      </c>
      <c r="I9" s="2" t="s">
        <v>31</v>
      </c>
      <c r="J9" s="17">
        <f>J8*AVERAGE(G17:G18)*D24*1000/2</f>
        <v>414.36931416666334</v>
      </c>
      <c r="P9" s="5"/>
    </row>
    <row r="10" spans="2:16" ht="14.5" thickBot="1" x14ac:dyDescent="0.3">
      <c r="B10" s="2" t="s">
        <v>63</v>
      </c>
      <c r="C10" s="164" t="s">
        <v>52</v>
      </c>
      <c r="D10" s="201">
        <v>208</v>
      </c>
      <c r="E10" s="124" t="s">
        <v>137</v>
      </c>
      <c r="F10" s="107" t="s">
        <v>81</v>
      </c>
      <c r="G10" s="150">
        <f>G8+G9</f>
        <v>640</v>
      </c>
      <c r="H10" s="114" t="s">
        <v>14</v>
      </c>
      <c r="I10" s="3" t="s">
        <v>32</v>
      </c>
      <c r="J10" s="17">
        <f>J8*AVERAGE(G19:G20)*D25*1000/2</f>
        <v>551.76552135456018</v>
      </c>
      <c r="L10" s="89" t="s">
        <v>134</v>
      </c>
      <c r="M10" s="90"/>
      <c r="P10" s="5"/>
    </row>
    <row r="11" spans="2:16" ht="14.5" thickBot="1" x14ac:dyDescent="0.3">
      <c r="B11" s="2" t="s">
        <v>1</v>
      </c>
      <c r="C11" s="164" t="s">
        <v>53</v>
      </c>
      <c r="D11" s="201">
        <v>208</v>
      </c>
      <c r="E11" s="124" t="s">
        <v>80</v>
      </c>
      <c r="F11" s="107" t="s">
        <v>82</v>
      </c>
      <c r="G11" s="151">
        <f>SUM(D8:D11)</f>
        <v>804</v>
      </c>
      <c r="H11" s="20" t="s">
        <v>38</v>
      </c>
      <c r="I11" s="3" t="s">
        <v>113</v>
      </c>
      <c r="J11" s="14">
        <f>G8*D1*D31/D24</f>
        <v>44.220472440944881</v>
      </c>
      <c r="K11" s="1"/>
      <c r="P11" s="12"/>
    </row>
    <row r="12" spans="2:16" ht="14.5" thickBot="1" x14ac:dyDescent="0.3">
      <c r="B12" s="2" t="s">
        <v>64</v>
      </c>
      <c r="C12" s="164" t="s">
        <v>54</v>
      </c>
      <c r="D12" s="201">
        <v>38</v>
      </c>
      <c r="E12" s="124" t="s">
        <v>136</v>
      </c>
      <c r="F12" s="108" t="s">
        <v>89</v>
      </c>
      <c r="G12" s="151">
        <f>SUM(D12:D15)</f>
        <v>164</v>
      </c>
      <c r="H12" s="20" t="s">
        <v>41</v>
      </c>
      <c r="I12" s="3" t="s">
        <v>114</v>
      </c>
      <c r="J12" s="14">
        <f>G9*D1*D32/D25</f>
        <v>88.449438202247194</v>
      </c>
      <c r="L12" s="89" t="s">
        <v>135</v>
      </c>
      <c r="M12" s="90"/>
      <c r="P12" s="5"/>
    </row>
    <row r="13" spans="2:16" ht="14" x14ac:dyDescent="0.25">
      <c r="B13" s="2" t="s">
        <v>65</v>
      </c>
      <c r="C13" s="164" t="s">
        <v>55</v>
      </c>
      <c r="D13" s="201">
        <v>38</v>
      </c>
      <c r="E13" s="121" t="s">
        <v>72</v>
      </c>
      <c r="F13" s="2" t="s">
        <v>170</v>
      </c>
      <c r="G13" s="192">
        <f>D16*D4^2</f>
        <v>16.396380000000004</v>
      </c>
      <c r="H13" s="20" t="s">
        <v>39</v>
      </c>
      <c r="I13" s="3" t="s">
        <v>115</v>
      </c>
      <c r="J13" s="14">
        <f xml:space="preserve"> (SUM(D12:D13)*D1*D27)/D24</f>
        <v>98.740157480314963</v>
      </c>
      <c r="P13" s="5"/>
    </row>
    <row r="14" spans="2:16" ht="14" x14ac:dyDescent="0.25">
      <c r="B14" s="2" t="s">
        <v>66</v>
      </c>
      <c r="C14" s="164" t="s">
        <v>56</v>
      </c>
      <c r="D14" s="201">
        <v>44</v>
      </c>
      <c r="E14" s="121" t="s">
        <v>73</v>
      </c>
      <c r="F14" s="2" t="s">
        <v>169</v>
      </c>
      <c r="G14" s="192">
        <f>D17*D5^2</f>
        <v>16.396380000000004</v>
      </c>
      <c r="H14" s="20" t="s">
        <v>40</v>
      </c>
      <c r="I14" s="3" t="s">
        <v>116</v>
      </c>
      <c r="J14" s="14">
        <f xml:space="preserve"> (SUM(D14:D15)*D1*D28)/D25</f>
        <v>108.76404494382024</v>
      </c>
    </row>
    <row r="15" spans="2:16" ht="14" x14ac:dyDescent="0.25">
      <c r="B15" s="2" t="s">
        <v>5</v>
      </c>
      <c r="C15" s="164" t="s">
        <v>57</v>
      </c>
      <c r="D15" s="201">
        <v>44</v>
      </c>
      <c r="E15" s="121" t="s">
        <v>121</v>
      </c>
      <c r="F15" s="2" t="s">
        <v>167</v>
      </c>
      <c r="G15" s="192">
        <f>D18*D6^2</f>
        <v>23.4375</v>
      </c>
      <c r="H15" s="20"/>
      <c r="I15" s="107" t="s">
        <v>117</v>
      </c>
      <c r="J15" s="109">
        <f>J9+J11+J13</f>
        <v>557.3299440879232</v>
      </c>
      <c r="L15" s="85"/>
    </row>
    <row r="16" spans="2:16" ht="14" x14ac:dyDescent="0.25">
      <c r="B16" s="2" t="s">
        <v>75</v>
      </c>
      <c r="C16" s="164" t="s">
        <v>49</v>
      </c>
      <c r="D16" s="202">
        <v>55</v>
      </c>
      <c r="E16" s="121" t="s">
        <v>122</v>
      </c>
      <c r="F16" s="2" t="s">
        <v>168</v>
      </c>
      <c r="G16" s="192">
        <f>D19*D7^2</f>
        <v>23.4375</v>
      </c>
      <c r="H16" s="20"/>
      <c r="I16" s="107" t="s">
        <v>118</v>
      </c>
      <c r="J16" s="109">
        <f>J10+J12+J14</f>
        <v>748.97900450062752</v>
      </c>
    </row>
    <row r="17" spans="2:16" ht="14" x14ac:dyDescent="0.25">
      <c r="B17" s="2" t="s">
        <v>76</v>
      </c>
      <c r="C17" s="164" t="s">
        <v>157</v>
      </c>
      <c r="D17" s="202">
        <v>55</v>
      </c>
      <c r="E17" s="121" t="s">
        <v>160</v>
      </c>
      <c r="F17" s="2" t="s">
        <v>173</v>
      </c>
      <c r="G17" s="194">
        <f>G13+D20</f>
        <v>26.396380000000004</v>
      </c>
      <c r="H17" s="20"/>
      <c r="I17" s="107" t="s">
        <v>119</v>
      </c>
      <c r="J17" s="197">
        <f>J15+J16</f>
        <v>1306.3089485885507</v>
      </c>
      <c r="L17" s="85"/>
      <c r="P17" s="12"/>
    </row>
    <row r="18" spans="2:16" ht="14.5" thickBot="1" x14ac:dyDescent="0.3">
      <c r="B18" s="2" t="s">
        <v>70</v>
      </c>
      <c r="C18" s="164" t="s">
        <v>158</v>
      </c>
      <c r="D18" s="202">
        <v>60</v>
      </c>
      <c r="E18" s="121" t="s">
        <v>161</v>
      </c>
      <c r="F18" s="2" t="s">
        <v>166</v>
      </c>
      <c r="G18" s="194">
        <f t="shared" ref="G18:G20" si="0">G14+D21</f>
        <v>26.396380000000004</v>
      </c>
      <c r="H18" s="20" t="s">
        <v>74</v>
      </c>
      <c r="I18" s="2" t="s">
        <v>33</v>
      </c>
      <c r="J18" s="199">
        <f>(D8*9.81)+J15</f>
        <v>2460.4699440879231</v>
      </c>
      <c r="P18" s="12"/>
    </row>
    <row r="19" spans="2:16" ht="14" x14ac:dyDescent="0.25">
      <c r="B19" s="2" t="s">
        <v>71</v>
      </c>
      <c r="C19" s="164" t="s">
        <v>159</v>
      </c>
      <c r="D19" s="202">
        <v>60</v>
      </c>
      <c r="E19" s="121" t="s">
        <v>162</v>
      </c>
      <c r="F19" s="2" t="s">
        <v>164</v>
      </c>
      <c r="G19" s="194">
        <f t="shared" si="0"/>
        <v>33.4375</v>
      </c>
      <c r="H19" s="114" t="s">
        <v>78</v>
      </c>
      <c r="I19" s="2" t="s">
        <v>34</v>
      </c>
      <c r="J19" s="199">
        <f>(D9*9.81)-J15</f>
        <v>1345.8100559120769</v>
      </c>
      <c r="L19" s="91" t="s">
        <v>87</v>
      </c>
      <c r="M19" s="92"/>
      <c r="N19" s="93"/>
      <c r="O19" s="94"/>
      <c r="P19" s="12"/>
    </row>
    <row r="20" spans="2:16" ht="14" x14ac:dyDescent="0.25">
      <c r="B20" s="130" t="s">
        <v>179</v>
      </c>
      <c r="C20" s="165" t="s">
        <v>174</v>
      </c>
      <c r="D20" s="201">
        <v>10</v>
      </c>
      <c r="E20" s="121" t="s">
        <v>163</v>
      </c>
      <c r="F20" s="2" t="s">
        <v>165</v>
      </c>
      <c r="G20" s="194">
        <f t="shared" si="0"/>
        <v>33.4375</v>
      </c>
      <c r="H20" s="114" t="s">
        <v>77</v>
      </c>
      <c r="I20" s="2" t="s">
        <v>35</v>
      </c>
      <c r="J20" s="199">
        <f>(D10*9.81)+J16</f>
        <v>2789.4590045006275</v>
      </c>
      <c r="L20" s="95" t="s">
        <v>86</v>
      </c>
      <c r="M20" s="10"/>
      <c r="N20" s="10"/>
      <c r="O20" s="96"/>
      <c r="P20" s="12"/>
    </row>
    <row r="21" spans="2:16" ht="14" x14ac:dyDescent="0.25">
      <c r="B21" s="130" t="s">
        <v>180</v>
      </c>
      <c r="C21" s="165" t="s">
        <v>175</v>
      </c>
      <c r="D21" s="201">
        <v>10</v>
      </c>
      <c r="E21" s="121" t="s">
        <v>18</v>
      </c>
      <c r="F21" s="3" t="s">
        <v>141</v>
      </c>
      <c r="G21" s="160">
        <f>(G9*D26)/G10</f>
        <v>1.2048875000000001</v>
      </c>
      <c r="H21" s="20" t="s">
        <v>22</v>
      </c>
      <c r="I21" s="2" t="s">
        <v>36</v>
      </c>
      <c r="J21" s="199">
        <f>(D11 *9.81)-J16</f>
        <v>1291.5009954993725</v>
      </c>
      <c r="L21" s="97" t="s">
        <v>91</v>
      </c>
      <c r="M21" s="10"/>
      <c r="N21" s="10"/>
      <c r="O21" s="96"/>
    </row>
    <row r="22" spans="2:16" ht="14.5" thickBot="1" x14ac:dyDescent="0.3">
      <c r="B22" s="130" t="s">
        <v>181</v>
      </c>
      <c r="C22" s="165" t="s">
        <v>176</v>
      </c>
      <c r="D22" s="201">
        <v>10</v>
      </c>
      <c r="E22" s="121" t="s">
        <v>19</v>
      </c>
      <c r="F22" s="2" t="s">
        <v>26</v>
      </c>
      <c r="G22" s="150">
        <f>D32-D31</f>
        <v>0.03</v>
      </c>
      <c r="H22" s="20"/>
      <c r="I22" s="125" t="s">
        <v>156</v>
      </c>
      <c r="J22" s="142">
        <f>SUM(J18:J21)</f>
        <v>7887.24</v>
      </c>
      <c r="L22" s="98" t="s">
        <v>90</v>
      </c>
      <c r="M22" s="99"/>
      <c r="N22" s="99"/>
      <c r="O22" s="100"/>
    </row>
    <row r="23" spans="2:16" ht="16.5" customHeight="1" thickBot="1" x14ac:dyDescent="0.3">
      <c r="B23" s="130" t="s">
        <v>182</v>
      </c>
      <c r="C23" s="165" t="s">
        <v>177</v>
      </c>
      <c r="D23" s="201">
        <v>10</v>
      </c>
      <c r="E23" s="121" t="s">
        <v>20</v>
      </c>
      <c r="F23" s="2" t="s">
        <v>172</v>
      </c>
      <c r="G23" s="195">
        <f>G22*G21/D26</f>
        <v>1.5375000000000002E-2</v>
      </c>
      <c r="H23" s="20"/>
      <c r="I23" s="3" t="s">
        <v>151</v>
      </c>
      <c r="J23" s="193">
        <f>G11*9.81</f>
        <v>7887.2400000000007</v>
      </c>
    </row>
    <row r="24" spans="2:16" ht="14" x14ac:dyDescent="0.25">
      <c r="B24" s="2" t="s">
        <v>8</v>
      </c>
      <c r="C24" s="163" t="s">
        <v>150</v>
      </c>
      <c r="D24" s="201">
        <v>1.27</v>
      </c>
      <c r="E24" s="121" t="s">
        <v>21</v>
      </c>
      <c r="F24" s="2" t="s">
        <v>25</v>
      </c>
      <c r="G24" s="180">
        <f>G23+D31</f>
        <v>4.5374999999999999E-2</v>
      </c>
      <c r="H24" s="20" t="s">
        <v>44</v>
      </c>
      <c r="I24" s="3" t="s">
        <v>152</v>
      </c>
      <c r="J24" s="197">
        <f>G11*D1*D29/ AVERAGE(D24:D25)</f>
        <v>1311.0909788867561</v>
      </c>
      <c r="L24" s="101" t="s">
        <v>88</v>
      </c>
      <c r="M24" s="93"/>
      <c r="N24" s="93"/>
      <c r="O24" s="102"/>
      <c r="P24" s="94"/>
    </row>
    <row r="25" spans="2:16" ht="14.5" thickBot="1" x14ac:dyDescent="0.3">
      <c r="B25" s="2" t="s">
        <v>9</v>
      </c>
      <c r="C25" s="163" t="s">
        <v>148</v>
      </c>
      <c r="D25" s="201">
        <v>1.335</v>
      </c>
      <c r="E25" s="122" t="s">
        <v>45</v>
      </c>
      <c r="F25" s="21" t="s">
        <v>171</v>
      </c>
      <c r="G25" s="196">
        <f>D30-G24</f>
        <v>0.32886875000000004</v>
      </c>
      <c r="H25" s="114" t="s">
        <v>132</v>
      </c>
      <c r="I25" s="3" t="s">
        <v>153</v>
      </c>
      <c r="J25" s="14">
        <f>J18-J19</f>
        <v>1114.6598881758462</v>
      </c>
      <c r="L25" s="103" t="s">
        <v>120</v>
      </c>
      <c r="M25" s="99"/>
      <c r="N25" s="99"/>
      <c r="O25" s="104"/>
      <c r="P25" s="100"/>
    </row>
    <row r="26" spans="2:16" ht="14.5" thickBot="1" x14ac:dyDescent="0.3">
      <c r="B26" s="2" t="s">
        <v>10</v>
      </c>
      <c r="C26" s="163" t="s">
        <v>149</v>
      </c>
      <c r="D26" s="201">
        <v>2.351</v>
      </c>
      <c r="E26" s="5"/>
      <c r="G26" s="123"/>
      <c r="H26" s="114" t="s">
        <v>131</v>
      </c>
      <c r="I26" s="3" t="s">
        <v>154</v>
      </c>
      <c r="J26" s="14">
        <f>J20-J21</f>
        <v>1497.958009001255</v>
      </c>
    </row>
    <row r="27" spans="2:16" ht="16" thickBot="1" x14ac:dyDescent="0.4">
      <c r="B27" s="107" t="s">
        <v>95</v>
      </c>
      <c r="C27" s="166" t="s">
        <v>142</v>
      </c>
      <c r="D27" s="201">
        <v>0.27500000000000002</v>
      </c>
      <c r="E27" s="5"/>
      <c r="F27" s="126" t="s">
        <v>83</v>
      </c>
      <c r="G27" s="123"/>
      <c r="H27" s="145" t="s">
        <v>130</v>
      </c>
      <c r="I27" s="146" t="s">
        <v>184</v>
      </c>
      <c r="J27" s="147">
        <f>J25-J26</f>
        <v>-383.29812082540889</v>
      </c>
    </row>
    <row r="28" spans="2:16" ht="14" x14ac:dyDescent="0.25">
      <c r="B28" s="168" t="s">
        <v>94</v>
      </c>
      <c r="C28" s="166" t="s">
        <v>143</v>
      </c>
      <c r="D28" s="201">
        <v>0.27500000000000002</v>
      </c>
      <c r="E28" s="12"/>
      <c r="F28" s="12"/>
      <c r="G28" s="127"/>
      <c r="H28" s="5"/>
      <c r="I28" s="5"/>
      <c r="J28" s="123"/>
    </row>
    <row r="29" spans="2:16" ht="14.5" thickBot="1" x14ac:dyDescent="0.3">
      <c r="B29" s="3" t="s">
        <v>124</v>
      </c>
      <c r="C29" s="163" t="s">
        <v>144</v>
      </c>
      <c r="D29" s="203">
        <v>0.35399999999999998</v>
      </c>
      <c r="H29" s="5"/>
      <c r="I29" s="5"/>
      <c r="J29" s="5"/>
      <c r="L29" s="87"/>
      <c r="M29" s="87"/>
      <c r="N29" s="87"/>
      <c r="O29" s="87"/>
    </row>
    <row r="30" spans="2:16" ht="14" x14ac:dyDescent="0.3">
      <c r="B30" s="2" t="s">
        <v>42</v>
      </c>
      <c r="C30" s="163" t="s">
        <v>145</v>
      </c>
      <c r="D30" s="204">
        <f>((D29*G11)-(SUM(D12:D13)*D27)-( SUM(D14:D15)*D28))/G10</f>
        <v>0.37424375000000004</v>
      </c>
      <c r="E30" s="12"/>
      <c r="G30" s="118" t="s">
        <v>138</v>
      </c>
      <c r="H30" s="6"/>
      <c r="I30" s="6"/>
      <c r="L30" s="86"/>
      <c r="M30" s="86"/>
      <c r="N30" s="86"/>
      <c r="O30" s="86"/>
    </row>
    <row r="31" spans="2:16" ht="15" thickBot="1" x14ac:dyDescent="0.4">
      <c r="B31" s="2" t="s">
        <v>16</v>
      </c>
      <c r="C31" s="163" t="s">
        <v>146</v>
      </c>
      <c r="D31" s="201">
        <v>0.03</v>
      </c>
      <c r="G31" s="105" t="s">
        <v>139</v>
      </c>
      <c r="H31" s="7"/>
      <c r="I31" s="6"/>
    </row>
    <row r="32" spans="2:16" ht="15" thickBot="1" x14ac:dyDescent="0.3">
      <c r="B32" s="2" t="s">
        <v>17</v>
      </c>
      <c r="C32" s="163" t="s">
        <v>147</v>
      </c>
      <c r="D32" s="205">
        <v>0.06</v>
      </c>
      <c r="F32" s="119" t="s">
        <v>140</v>
      </c>
    </row>
    <row r="33" spans="2:9" ht="17.5" thickBot="1" x14ac:dyDescent="0.3">
      <c r="E33" s="132"/>
      <c r="F33" s="133" t="s">
        <v>129</v>
      </c>
      <c r="G33" s="134"/>
    </row>
    <row r="34" spans="2:9" x14ac:dyDescent="0.25">
      <c r="F34" s="12"/>
    </row>
    <row r="35" spans="2:9" x14ac:dyDescent="0.25">
      <c r="B35" s="15"/>
    </row>
    <row r="36" spans="2:9" x14ac:dyDescent="0.25">
      <c r="B36" s="12"/>
      <c r="C36" s="88"/>
      <c r="D36" s="12"/>
    </row>
    <row r="37" spans="2:9" x14ac:dyDescent="0.25">
      <c r="B37" s="12"/>
      <c r="C37" s="88"/>
      <c r="D37" s="12"/>
    </row>
    <row r="39" spans="2:9" x14ac:dyDescent="0.25">
      <c r="C39" s="15"/>
    </row>
    <row r="48" spans="2:9" ht="77" x14ac:dyDescent="4.5999999999999996">
      <c r="I48" s="19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48"/>
  <sheetViews>
    <sheetView topLeftCell="E10" zoomScale="82" zoomScaleNormal="82" workbookViewId="0">
      <selection activeCell="I27" sqref="I27"/>
    </sheetView>
  </sheetViews>
  <sheetFormatPr defaultColWidth="9.1796875" defaultRowHeight="12.5" x14ac:dyDescent="0.25"/>
  <cols>
    <col min="1" max="1" width="15.81640625" style="186" customWidth="1"/>
    <col min="2" max="2" width="9.1796875" style="186"/>
    <col min="3" max="3" width="51.81640625" style="186" customWidth="1"/>
    <col min="4" max="5" width="9.1796875" style="186"/>
    <col min="6" max="6" width="40.7265625" style="186" customWidth="1"/>
    <col min="7" max="7" width="15.7265625" style="186" customWidth="1"/>
    <col min="8" max="8" width="9.1796875" style="186"/>
    <col min="9" max="9" width="53.453125" style="186" customWidth="1"/>
    <col min="10" max="10" width="12.1796875" style="186" customWidth="1"/>
    <col min="11" max="11" width="7.453125" style="186" customWidth="1"/>
    <col min="12" max="12" width="9.1796875" style="186" customWidth="1"/>
    <col min="13" max="13" width="10.453125" style="186" customWidth="1"/>
    <col min="14" max="14" width="9.1796875" style="186" customWidth="1"/>
    <col min="15" max="15" width="11.1796875" style="186" customWidth="1"/>
    <col min="16" max="16" width="10.1796875" style="186" customWidth="1"/>
    <col min="17" max="16384" width="9.1796875" style="186"/>
  </cols>
  <sheetData>
    <row r="1" spans="2:16" ht="18" thickBot="1" x14ac:dyDescent="0.4">
      <c r="C1" s="4" t="s">
        <v>79</v>
      </c>
      <c r="D1" s="13">
        <v>6</v>
      </c>
      <c r="F1" s="135" t="s">
        <v>123</v>
      </c>
      <c r="G1" s="131"/>
      <c r="H1" s="131"/>
    </row>
    <row r="2" spans="2:16" ht="13" thickBot="1" x14ac:dyDescent="0.3"/>
    <row r="3" spans="2:16" ht="16" thickBot="1" x14ac:dyDescent="0.4">
      <c r="B3" s="136" t="s">
        <v>12</v>
      </c>
      <c r="C3" s="137"/>
      <c r="D3" s="137"/>
      <c r="E3" s="137" t="s">
        <v>13</v>
      </c>
      <c r="F3" s="137"/>
      <c r="G3" s="137"/>
      <c r="H3" s="137" t="s">
        <v>15</v>
      </c>
      <c r="I3" s="137"/>
      <c r="J3" s="138"/>
    </row>
    <row r="4" spans="2:16" ht="14" x14ac:dyDescent="0.25">
      <c r="B4" s="188" t="s">
        <v>58</v>
      </c>
      <c r="C4" s="163" t="s">
        <v>125</v>
      </c>
      <c r="D4" s="200">
        <v>0.54600000000000004</v>
      </c>
      <c r="E4" s="156" t="s">
        <v>67</v>
      </c>
      <c r="F4" s="190" t="s">
        <v>46</v>
      </c>
      <c r="G4" s="148">
        <v>156</v>
      </c>
      <c r="H4" s="139" t="s">
        <v>43</v>
      </c>
      <c r="I4" s="112" t="s">
        <v>84</v>
      </c>
      <c r="J4" s="169">
        <v>21287.360651000003</v>
      </c>
      <c r="M4" s="9"/>
    </row>
    <row r="5" spans="2:16" ht="12" customHeight="1" thickBot="1" x14ac:dyDescent="0.3">
      <c r="B5" s="188" t="s">
        <v>59</v>
      </c>
      <c r="C5" s="163" t="s">
        <v>126</v>
      </c>
      <c r="D5" s="201">
        <v>0.54600000000000004</v>
      </c>
      <c r="E5" s="121" t="s">
        <v>68</v>
      </c>
      <c r="F5" s="188" t="s">
        <v>2</v>
      </c>
      <c r="G5" s="149">
        <v>156</v>
      </c>
      <c r="H5" s="191" t="s">
        <v>23</v>
      </c>
      <c r="I5" s="188" t="s">
        <v>30</v>
      </c>
      <c r="J5" s="144">
        <v>29796.57421875</v>
      </c>
      <c r="M5" s="8"/>
    </row>
    <row r="6" spans="2:16" ht="16.5" customHeight="1" thickBot="1" x14ac:dyDescent="0.3">
      <c r="B6" s="188" t="s">
        <v>60</v>
      </c>
      <c r="C6" s="163" t="s">
        <v>127</v>
      </c>
      <c r="D6" s="201">
        <v>0.625</v>
      </c>
      <c r="E6" s="121" t="s">
        <v>69</v>
      </c>
      <c r="F6" s="188" t="s">
        <v>48</v>
      </c>
      <c r="G6" s="149">
        <v>164</v>
      </c>
      <c r="H6" s="191" t="s">
        <v>24</v>
      </c>
      <c r="I6" s="188" t="s">
        <v>29</v>
      </c>
      <c r="J6" s="144">
        <v>51083.934869750003</v>
      </c>
      <c r="L6" s="116" t="s">
        <v>133</v>
      </c>
      <c r="M6" s="117"/>
    </row>
    <row r="7" spans="2:16" ht="14" x14ac:dyDescent="0.25">
      <c r="B7" s="188" t="s">
        <v>37</v>
      </c>
      <c r="C7" s="163" t="s">
        <v>128</v>
      </c>
      <c r="D7" s="201">
        <v>0.625</v>
      </c>
      <c r="E7" s="121" t="s">
        <v>0</v>
      </c>
      <c r="F7" s="188" t="s">
        <v>47</v>
      </c>
      <c r="G7" s="149">
        <v>164</v>
      </c>
      <c r="H7" s="191" t="s">
        <v>27</v>
      </c>
      <c r="I7" s="188" t="s">
        <v>28</v>
      </c>
      <c r="J7" s="152">
        <v>1262.8560000000002</v>
      </c>
    </row>
    <row r="8" spans="2:16" ht="14" x14ac:dyDescent="0.3">
      <c r="B8" s="188" t="s">
        <v>61</v>
      </c>
      <c r="C8" s="164" t="s">
        <v>50</v>
      </c>
      <c r="D8" s="201">
        <v>194</v>
      </c>
      <c r="E8" s="16" t="s">
        <v>7</v>
      </c>
      <c r="F8" s="188" t="s">
        <v>3</v>
      </c>
      <c r="G8" s="149">
        <v>312</v>
      </c>
      <c r="H8" s="140" t="s">
        <v>85</v>
      </c>
      <c r="I8" s="3" t="s">
        <v>93</v>
      </c>
      <c r="J8" s="115">
        <v>2.4721196658400259E-2</v>
      </c>
      <c r="K8" s="18">
        <f>J8*180/3.142</f>
        <v>1.4162366004175833</v>
      </c>
      <c r="L8" s="16" t="s">
        <v>92</v>
      </c>
      <c r="P8" s="11"/>
    </row>
    <row r="9" spans="2:16" ht="14.5" thickBot="1" x14ac:dyDescent="0.3">
      <c r="B9" s="188" t="s">
        <v>62</v>
      </c>
      <c r="C9" s="164" t="s">
        <v>51</v>
      </c>
      <c r="D9" s="201">
        <v>194</v>
      </c>
      <c r="E9" s="121" t="s">
        <v>6</v>
      </c>
      <c r="F9" s="188" t="s">
        <v>4</v>
      </c>
      <c r="G9" s="149">
        <v>328</v>
      </c>
      <c r="H9" s="191" t="s">
        <v>11</v>
      </c>
      <c r="I9" s="188" t="s">
        <v>31</v>
      </c>
      <c r="J9" s="17">
        <v>414.36931416666334</v>
      </c>
      <c r="P9" s="187"/>
    </row>
    <row r="10" spans="2:16" ht="14.5" thickBot="1" x14ac:dyDescent="0.3">
      <c r="B10" s="188" t="s">
        <v>63</v>
      </c>
      <c r="C10" s="164" t="s">
        <v>52</v>
      </c>
      <c r="D10" s="201">
        <v>208</v>
      </c>
      <c r="E10" s="124" t="s">
        <v>137</v>
      </c>
      <c r="F10" s="107" t="s">
        <v>81</v>
      </c>
      <c r="G10" s="150">
        <v>640</v>
      </c>
      <c r="H10" s="114" t="s">
        <v>14</v>
      </c>
      <c r="I10" s="3" t="s">
        <v>32</v>
      </c>
      <c r="J10" s="17">
        <v>551.76552135456018</v>
      </c>
      <c r="L10" s="89" t="s">
        <v>134</v>
      </c>
      <c r="M10" s="90"/>
      <c r="P10" s="187"/>
    </row>
    <row r="11" spans="2:16" ht="14.5" thickBot="1" x14ac:dyDescent="0.3">
      <c r="B11" s="188" t="s">
        <v>1</v>
      </c>
      <c r="C11" s="164" t="s">
        <v>53</v>
      </c>
      <c r="D11" s="201">
        <v>208</v>
      </c>
      <c r="E11" s="124" t="s">
        <v>80</v>
      </c>
      <c r="F11" s="107" t="s">
        <v>82</v>
      </c>
      <c r="G11" s="151">
        <v>804</v>
      </c>
      <c r="H11" s="191" t="s">
        <v>38</v>
      </c>
      <c r="I11" s="3" t="s">
        <v>113</v>
      </c>
      <c r="J11" s="14">
        <v>44.220472440944881</v>
      </c>
      <c r="K11" s="1"/>
      <c r="P11" s="189"/>
    </row>
    <row r="12" spans="2:16" ht="14.5" thickBot="1" x14ac:dyDescent="0.3">
      <c r="B12" s="188" t="s">
        <v>64</v>
      </c>
      <c r="C12" s="164" t="s">
        <v>54</v>
      </c>
      <c r="D12" s="201">
        <v>38</v>
      </c>
      <c r="E12" s="124" t="s">
        <v>136</v>
      </c>
      <c r="F12" s="108" t="s">
        <v>89</v>
      </c>
      <c r="G12" s="151">
        <v>164</v>
      </c>
      <c r="H12" s="191" t="s">
        <v>41</v>
      </c>
      <c r="I12" s="3" t="s">
        <v>114</v>
      </c>
      <c r="J12" s="14">
        <v>88.449438202247194</v>
      </c>
      <c r="L12" s="89" t="s">
        <v>135</v>
      </c>
      <c r="M12" s="90"/>
      <c r="P12" s="187"/>
    </row>
    <row r="13" spans="2:16" ht="14" x14ac:dyDescent="0.25">
      <c r="B13" s="188" t="s">
        <v>65</v>
      </c>
      <c r="C13" s="164" t="s">
        <v>55</v>
      </c>
      <c r="D13" s="201">
        <v>38</v>
      </c>
      <c r="E13" s="121" t="s">
        <v>72</v>
      </c>
      <c r="F13" s="188" t="s">
        <v>170</v>
      </c>
      <c r="G13" s="192">
        <v>16.396380000000004</v>
      </c>
      <c r="H13" s="191" t="s">
        <v>39</v>
      </c>
      <c r="I13" s="3" t="s">
        <v>115</v>
      </c>
      <c r="J13" s="14">
        <v>98.740157480314963</v>
      </c>
      <c r="P13" s="187"/>
    </row>
    <row r="14" spans="2:16" ht="14" x14ac:dyDescent="0.25">
      <c r="B14" s="188" t="s">
        <v>66</v>
      </c>
      <c r="C14" s="164" t="s">
        <v>56</v>
      </c>
      <c r="D14" s="201">
        <v>44</v>
      </c>
      <c r="E14" s="121" t="s">
        <v>73</v>
      </c>
      <c r="F14" s="188" t="s">
        <v>169</v>
      </c>
      <c r="G14" s="192">
        <v>16.396380000000004</v>
      </c>
      <c r="H14" s="191" t="s">
        <v>40</v>
      </c>
      <c r="I14" s="3" t="s">
        <v>116</v>
      </c>
      <c r="J14" s="14">
        <v>108.76404494382024</v>
      </c>
    </row>
    <row r="15" spans="2:16" ht="14" x14ac:dyDescent="0.25">
      <c r="B15" s="188" t="s">
        <v>5</v>
      </c>
      <c r="C15" s="164" t="s">
        <v>57</v>
      </c>
      <c r="D15" s="201">
        <v>44</v>
      </c>
      <c r="E15" s="121" t="s">
        <v>121</v>
      </c>
      <c r="F15" s="188" t="s">
        <v>167</v>
      </c>
      <c r="G15" s="192">
        <v>23.4375</v>
      </c>
      <c r="H15" s="191"/>
      <c r="I15" s="107" t="s">
        <v>117</v>
      </c>
      <c r="J15" s="109">
        <v>557.3299440879232</v>
      </c>
      <c r="L15" s="85"/>
    </row>
    <row r="16" spans="2:16" ht="14" x14ac:dyDescent="0.25">
      <c r="B16" s="188" t="s">
        <v>75</v>
      </c>
      <c r="C16" s="164" t="s">
        <v>49</v>
      </c>
      <c r="D16" s="202">
        <v>55</v>
      </c>
      <c r="E16" s="121" t="s">
        <v>122</v>
      </c>
      <c r="F16" s="188" t="s">
        <v>168</v>
      </c>
      <c r="G16" s="192">
        <v>23.4375</v>
      </c>
      <c r="H16" s="191"/>
      <c r="I16" s="107" t="s">
        <v>118</v>
      </c>
      <c r="J16" s="109">
        <v>748.97900450062752</v>
      </c>
    </row>
    <row r="17" spans="2:16" ht="14" x14ac:dyDescent="0.25">
      <c r="B17" s="188" t="s">
        <v>76</v>
      </c>
      <c r="C17" s="164" t="s">
        <v>157</v>
      </c>
      <c r="D17" s="202">
        <v>55</v>
      </c>
      <c r="E17" s="121" t="s">
        <v>160</v>
      </c>
      <c r="F17" s="188" t="s">
        <v>173</v>
      </c>
      <c r="G17" s="194">
        <v>26.396380000000004</v>
      </c>
      <c r="H17" s="191"/>
      <c r="I17" s="107" t="s">
        <v>119</v>
      </c>
      <c r="J17" s="197">
        <v>1306.3089485885507</v>
      </c>
      <c r="L17" s="85"/>
      <c r="P17" s="189"/>
    </row>
    <row r="18" spans="2:16" ht="14.5" thickBot="1" x14ac:dyDescent="0.3">
      <c r="B18" s="188" t="s">
        <v>70</v>
      </c>
      <c r="C18" s="164" t="s">
        <v>158</v>
      </c>
      <c r="D18" s="202">
        <v>60</v>
      </c>
      <c r="E18" s="121" t="s">
        <v>161</v>
      </c>
      <c r="F18" s="188" t="s">
        <v>166</v>
      </c>
      <c r="G18" s="194">
        <v>26.396380000000004</v>
      </c>
      <c r="H18" s="191" t="s">
        <v>74</v>
      </c>
      <c r="I18" s="188" t="s">
        <v>33</v>
      </c>
      <c r="J18" s="199">
        <v>2460.4699440879231</v>
      </c>
      <c r="P18" s="189"/>
    </row>
    <row r="19" spans="2:16" ht="14" x14ac:dyDescent="0.25">
      <c r="B19" s="188" t="s">
        <v>71</v>
      </c>
      <c r="C19" s="164" t="s">
        <v>159</v>
      </c>
      <c r="D19" s="202">
        <v>60</v>
      </c>
      <c r="E19" s="121" t="s">
        <v>162</v>
      </c>
      <c r="F19" s="188" t="s">
        <v>164</v>
      </c>
      <c r="G19" s="194">
        <v>33.4375</v>
      </c>
      <c r="H19" s="114" t="s">
        <v>78</v>
      </c>
      <c r="I19" s="188" t="s">
        <v>34</v>
      </c>
      <c r="J19" s="199">
        <v>1345.8100559120769</v>
      </c>
      <c r="L19" s="91" t="s">
        <v>87</v>
      </c>
      <c r="M19" s="92"/>
      <c r="N19" s="93"/>
      <c r="O19" s="94"/>
      <c r="P19" s="189"/>
    </row>
    <row r="20" spans="2:16" ht="14" x14ac:dyDescent="0.25">
      <c r="B20" s="130" t="s">
        <v>179</v>
      </c>
      <c r="C20" s="165" t="s">
        <v>174</v>
      </c>
      <c r="D20" s="201">
        <v>10</v>
      </c>
      <c r="E20" s="121" t="s">
        <v>163</v>
      </c>
      <c r="F20" s="188" t="s">
        <v>165</v>
      </c>
      <c r="G20" s="194">
        <v>33.4375</v>
      </c>
      <c r="H20" s="114" t="s">
        <v>77</v>
      </c>
      <c r="I20" s="188" t="s">
        <v>35</v>
      </c>
      <c r="J20" s="199">
        <v>2789.4590045006275</v>
      </c>
      <c r="L20" s="95" t="s">
        <v>86</v>
      </c>
      <c r="M20" s="10"/>
      <c r="N20" s="10"/>
      <c r="O20" s="96"/>
      <c r="P20" s="189"/>
    </row>
    <row r="21" spans="2:16" ht="14" x14ac:dyDescent="0.25">
      <c r="B21" s="130" t="s">
        <v>180</v>
      </c>
      <c r="C21" s="165" t="s">
        <v>175</v>
      </c>
      <c r="D21" s="201">
        <v>10</v>
      </c>
      <c r="E21" s="121" t="s">
        <v>18</v>
      </c>
      <c r="F21" s="3" t="s">
        <v>141</v>
      </c>
      <c r="G21" s="160">
        <v>1.2048875000000001</v>
      </c>
      <c r="H21" s="191" t="s">
        <v>22</v>
      </c>
      <c r="I21" s="188" t="s">
        <v>36</v>
      </c>
      <c r="J21" s="199">
        <v>1291.5009954993725</v>
      </c>
      <c r="L21" s="97" t="s">
        <v>91</v>
      </c>
      <c r="M21" s="10"/>
      <c r="N21" s="10"/>
      <c r="O21" s="96"/>
    </row>
    <row r="22" spans="2:16" ht="14.5" thickBot="1" x14ac:dyDescent="0.3">
      <c r="B22" s="130" t="s">
        <v>181</v>
      </c>
      <c r="C22" s="165" t="s">
        <v>176</v>
      </c>
      <c r="D22" s="201">
        <v>10</v>
      </c>
      <c r="E22" s="121" t="s">
        <v>19</v>
      </c>
      <c r="F22" s="188" t="s">
        <v>26</v>
      </c>
      <c r="G22" s="150">
        <v>0.03</v>
      </c>
      <c r="H22" s="191"/>
      <c r="I22" s="125" t="s">
        <v>156</v>
      </c>
      <c r="J22" s="142">
        <v>7887.24</v>
      </c>
      <c r="L22" s="98" t="s">
        <v>90</v>
      </c>
      <c r="M22" s="99"/>
      <c r="N22" s="99"/>
      <c r="O22" s="100"/>
    </row>
    <row r="23" spans="2:16" ht="16.5" customHeight="1" thickBot="1" x14ac:dyDescent="0.3">
      <c r="B23" s="130" t="s">
        <v>182</v>
      </c>
      <c r="C23" s="165" t="s">
        <v>177</v>
      </c>
      <c r="D23" s="201">
        <v>10</v>
      </c>
      <c r="E23" s="121" t="s">
        <v>20</v>
      </c>
      <c r="F23" s="188" t="s">
        <v>172</v>
      </c>
      <c r="G23" s="195">
        <v>1.5375000000000002E-2</v>
      </c>
      <c r="H23" s="191"/>
      <c r="I23" s="3" t="s">
        <v>151</v>
      </c>
      <c r="J23" s="193">
        <v>7887.2400000000007</v>
      </c>
    </row>
    <row r="24" spans="2:16" ht="14" x14ac:dyDescent="0.25">
      <c r="B24" s="188" t="s">
        <v>8</v>
      </c>
      <c r="C24" s="163" t="s">
        <v>150</v>
      </c>
      <c r="D24" s="201">
        <v>1.27</v>
      </c>
      <c r="E24" s="121" t="s">
        <v>21</v>
      </c>
      <c r="F24" s="188" t="s">
        <v>25</v>
      </c>
      <c r="G24" s="180">
        <v>4.5374999999999999E-2</v>
      </c>
      <c r="H24" s="191" t="s">
        <v>44</v>
      </c>
      <c r="I24" s="3" t="s">
        <v>152</v>
      </c>
      <c r="J24" s="197">
        <v>1311.0909788867561</v>
      </c>
      <c r="L24" s="101" t="s">
        <v>88</v>
      </c>
      <c r="M24" s="93"/>
      <c r="N24" s="93"/>
      <c r="O24" s="102"/>
      <c r="P24" s="94"/>
    </row>
    <row r="25" spans="2:16" ht="14.5" thickBot="1" x14ac:dyDescent="0.3">
      <c r="B25" s="188" t="s">
        <v>9</v>
      </c>
      <c r="C25" s="163" t="s">
        <v>148</v>
      </c>
      <c r="D25" s="201">
        <v>1.335</v>
      </c>
      <c r="E25" s="122" t="s">
        <v>45</v>
      </c>
      <c r="F25" s="21" t="s">
        <v>171</v>
      </c>
      <c r="G25" s="196">
        <v>0.32886875000000004</v>
      </c>
      <c r="H25" s="114" t="s">
        <v>132</v>
      </c>
      <c r="I25" s="3" t="s">
        <v>153</v>
      </c>
      <c r="J25" s="14">
        <v>1114.6598881758462</v>
      </c>
      <c r="L25" s="103" t="s">
        <v>120</v>
      </c>
      <c r="M25" s="99"/>
      <c r="N25" s="99"/>
      <c r="O25" s="104"/>
      <c r="P25" s="100"/>
    </row>
    <row r="26" spans="2:16" ht="14.5" thickBot="1" x14ac:dyDescent="0.3">
      <c r="B26" s="188" t="s">
        <v>10</v>
      </c>
      <c r="C26" s="163" t="s">
        <v>149</v>
      </c>
      <c r="D26" s="201">
        <v>2.351</v>
      </c>
      <c r="E26" s="187"/>
      <c r="G26" s="123"/>
      <c r="H26" s="114" t="s">
        <v>131</v>
      </c>
      <c r="I26" s="3" t="s">
        <v>154</v>
      </c>
      <c r="J26" s="14">
        <v>1497.958009001255</v>
      </c>
    </row>
    <row r="27" spans="2:16" ht="16" thickBot="1" x14ac:dyDescent="0.4">
      <c r="B27" s="107" t="s">
        <v>95</v>
      </c>
      <c r="C27" s="166" t="s">
        <v>142</v>
      </c>
      <c r="D27" s="201">
        <v>0.27500000000000002</v>
      </c>
      <c r="E27" s="187"/>
      <c r="F27" s="126" t="s">
        <v>83</v>
      </c>
      <c r="G27" s="123"/>
      <c r="H27" s="145" t="s">
        <v>130</v>
      </c>
      <c r="I27" s="146" t="s">
        <v>185</v>
      </c>
      <c r="J27" s="147">
        <v>-383.29812082540889</v>
      </c>
    </row>
    <row r="28" spans="2:16" ht="14" x14ac:dyDescent="0.25">
      <c r="B28" s="168" t="s">
        <v>94</v>
      </c>
      <c r="C28" s="166" t="s">
        <v>143</v>
      </c>
      <c r="D28" s="201">
        <v>0.27500000000000002</v>
      </c>
      <c r="E28" s="189"/>
      <c r="F28" s="189"/>
      <c r="G28" s="127"/>
      <c r="H28" s="187"/>
      <c r="I28" s="187"/>
      <c r="J28" s="123"/>
    </row>
    <row r="29" spans="2:16" ht="14.5" thickBot="1" x14ac:dyDescent="0.3">
      <c r="B29" s="3" t="s">
        <v>124</v>
      </c>
      <c r="C29" s="163" t="s">
        <v>144</v>
      </c>
      <c r="D29" s="203">
        <v>0.35399999999999998</v>
      </c>
      <c r="H29" s="187"/>
      <c r="I29" s="187"/>
      <c r="J29" s="187"/>
      <c r="L29" s="87"/>
      <c r="M29" s="87"/>
      <c r="N29" s="87"/>
      <c r="O29" s="87"/>
    </row>
    <row r="30" spans="2:16" ht="14" x14ac:dyDescent="0.3">
      <c r="B30" s="188" t="s">
        <v>42</v>
      </c>
      <c r="C30" s="163" t="s">
        <v>145</v>
      </c>
      <c r="D30" s="204">
        <v>0.37424375000000004</v>
      </c>
      <c r="E30" s="189"/>
      <c r="G30" s="118" t="s">
        <v>138</v>
      </c>
      <c r="H30" s="6"/>
      <c r="I30" s="6"/>
      <c r="L30" s="86"/>
      <c r="M30" s="86"/>
      <c r="N30" s="86"/>
      <c r="O30" s="86"/>
    </row>
    <row r="31" spans="2:16" ht="15" thickBot="1" x14ac:dyDescent="0.4">
      <c r="B31" s="188" t="s">
        <v>16</v>
      </c>
      <c r="C31" s="163" t="s">
        <v>146</v>
      </c>
      <c r="D31" s="201">
        <v>0.03</v>
      </c>
      <c r="G31" s="105" t="s">
        <v>139</v>
      </c>
      <c r="H31" s="7"/>
      <c r="I31" s="6"/>
    </row>
    <row r="32" spans="2:16" ht="15" thickBot="1" x14ac:dyDescent="0.3">
      <c r="B32" s="188" t="s">
        <v>17</v>
      </c>
      <c r="C32" s="163" t="s">
        <v>147</v>
      </c>
      <c r="D32" s="205">
        <v>0.06</v>
      </c>
      <c r="F32" s="119" t="s">
        <v>140</v>
      </c>
    </row>
    <row r="33" spans="2:9" ht="17.5" thickBot="1" x14ac:dyDescent="0.3">
      <c r="E33" s="132"/>
      <c r="F33" s="133" t="s">
        <v>129</v>
      </c>
      <c r="G33" s="134"/>
    </row>
    <row r="34" spans="2:9" x14ac:dyDescent="0.25">
      <c r="F34" s="189"/>
    </row>
    <row r="35" spans="2:9" x14ac:dyDescent="0.25">
      <c r="B35" s="15"/>
    </row>
    <row r="36" spans="2:9" x14ac:dyDescent="0.25">
      <c r="B36" s="189"/>
      <c r="C36" s="88"/>
      <c r="D36" s="189"/>
    </row>
    <row r="37" spans="2:9" x14ac:dyDescent="0.25">
      <c r="B37" s="189"/>
      <c r="C37" s="88"/>
      <c r="D37" s="189"/>
    </row>
    <row r="39" spans="2:9" x14ac:dyDescent="0.25">
      <c r="C39" s="15"/>
    </row>
    <row r="48" spans="2:9" ht="77" x14ac:dyDescent="4.5999999999999996">
      <c r="I48" s="198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2:L23"/>
  <sheetViews>
    <sheetView workbookViewId="0">
      <selection activeCell="C21" sqref="C21"/>
    </sheetView>
  </sheetViews>
  <sheetFormatPr defaultColWidth="8.7265625" defaultRowHeight="12.5" x14ac:dyDescent="0.25"/>
  <cols>
    <col min="1" max="1" width="8.7265625" style="186"/>
    <col min="2" max="2" width="3.81640625" style="186" customWidth="1"/>
    <col min="3" max="3" width="19.54296875" style="186" customWidth="1"/>
    <col min="4" max="7" width="8.7265625" style="186"/>
    <col min="8" max="8" width="12.453125" style="186" customWidth="1"/>
    <col min="9" max="11" width="8.7265625" style="186"/>
    <col min="12" max="12" width="21.1796875" style="186" customWidth="1"/>
    <col min="13" max="16384" width="8.7265625" style="186"/>
  </cols>
  <sheetData>
    <row r="2" spans="3:12" ht="25" x14ac:dyDescent="0.5">
      <c r="C2" s="84" t="s">
        <v>112</v>
      </c>
      <c r="D2" s="84"/>
      <c r="E2" s="84"/>
    </row>
    <row r="4" spans="3:12" ht="13" thickBot="1" x14ac:dyDescent="0.3"/>
    <row r="5" spans="3:12" ht="15.5" x14ac:dyDescent="0.35">
      <c r="C5" s="22"/>
      <c r="D5" s="23"/>
      <c r="E5" s="23"/>
      <c r="F5" s="23"/>
      <c r="G5" s="23"/>
      <c r="H5" s="24">
        <f>H7/H11</f>
        <v>0.48258706467661688</v>
      </c>
      <c r="I5" s="25"/>
      <c r="J5" s="26"/>
      <c r="K5" s="25"/>
      <c r="L5" s="27"/>
    </row>
    <row r="6" spans="3:12" ht="15.5" x14ac:dyDescent="0.35">
      <c r="C6" s="28"/>
      <c r="D6" s="29"/>
      <c r="E6" s="30"/>
      <c r="F6" s="30"/>
      <c r="G6" s="30"/>
      <c r="H6" s="31" t="s">
        <v>96</v>
      </c>
      <c r="I6" s="30"/>
      <c r="J6" s="30"/>
      <c r="K6" s="30"/>
      <c r="L6" s="32"/>
    </row>
    <row r="7" spans="3:12" ht="16" thickBot="1" x14ac:dyDescent="0.4">
      <c r="C7" s="28"/>
      <c r="D7" s="30"/>
      <c r="E7" s="30"/>
      <c r="F7" s="30"/>
      <c r="G7" s="30"/>
      <c r="H7" s="33">
        <f>F9+J9</f>
        <v>3806.2799999999997</v>
      </c>
      <c r="I7" s="30"/>
      <c r="J7" s="30"/>
      <c r="K7" s="30"/>
      <c r="L7" s="32"/>
    </row>
    <row r="8" spans="3:12" ht="16" thickBot="1" x14ac:dyDescent="0.4">
      <c r="C8" s="28"/>
      <c r="D8" s="30"/>
      <c r="E8" s="34"/>
      <c r="F8" s="35">
        <f>F9/H11</f>
        <v>0.31195575944030146</v>
      </c>
      <c r="G8" s="36" t="s">
        <v>97</v>
      </c>
      <c r="H8" s="37"/>
      <c r="I8" s="38" t="s">
        <v>98</v>
      </c>
      <c r="J8" s="39">
        <f>J9/H11</f>
        <v>0.17063130523631548</v>
      </c>
      <c r="K8" s="30"/>
      <c r="L8" s="32"/>
    </row>
    <row r="9" spans="3:12" ht="16" thickBot="1" x14ac:dyDescent="0.4">
      <c r="C9" s="40" t="s">
        <v>99</v>
      </c>
      <c r="D9" s="41" t="s">
        <v>100</v>
      </c>
      <c r="E9" s="42">
        <f>F9-J9</f>
        <v>1114.6598881758462</v>
      </c>
      <c r="F9" s="43">
        <f>+'Example Calc '!J18</f>
        <v>2460.4699440879231</v>
      </c>
      <c r="G9" s="44"/>
      <c r="H9" s="45"/>
      <c r="I9" s="46"/>
      <c r="J9" s="47">
        <f>'Example Calc '!J19</f>
        <v>1345.8100559120769</v>
      </c>
      <c r="K9" s="30"/>
      <c r="L9" s="32"/>
    </row>
    <row r="10" spans="3:12" ht="16" thickBot="1" x14ac:dyDescent="0.4">
      <c r="C10" s="28"/>
      <c r="D10" s="48"/>
      <c r="E10" s="30"/>
      <c r="F10" s="48"/>
      <c r="G10" s="49"/>
      <c r="H10" s="45"/>
      <c r="I10" s="50"/>
      <c r="J10" s="51"/>
      <c r="K10" s="30"/>
      <c r="L10" s="32"/>
    </row>
    <row r="11" spans="3:12" ht="16" thickBot="1" x14ac:dyDescent="0.4">
      <c r="C11" s="28"/>
      <c r="D11" s="52" t="s">
        <v>101</v>
      </c>
      <c r="E11" s="53">
        <f>F11/H11</f>
        <v>0.66562307582735547</v>
      </c>
      <c r="F11" s="54">
        <f>F9+F13</f>
        <v>5249.9289485885511</v>
      </c>
      <c r="G11" s="55"/>
      <c r="H11" s="56">
        <f>H7+H14</f>
        <v>7887.24</v>
      </c>
      <c r="I11" s="55"/>
      <c r="J11" s="57">
        <f>J9+J13</f>
        <v>2637.3110514114496</v>
      </c>
      <c r="K11" s="58">
        <f>J11/H11</f>
        <v>0.33437692417264464</v>
      </c>
      <c r="L11" s="59" t="s">
        <v>102</v>
      </c>
    </row>
    <row r="12" spans="3:12" ht="16" thickBot="1" x14ac:dyDescent="0.4">
      <c r="C12" s="206" t="s">
        <v>183</v>
      </c>
      <c r="D12" s="60"/>
      <c r="E12" s="61">
        <f>E9-E13</f>
        <v>-383.29812082540889</v>
      </c>
      <c r="F12" s="62">
        <f>F13/H11</f>
        <v>0.35366731638705395</v>
      </c>
      <c r="G12" s="49"/>
      <c r="H12" s="45"/>
      <c r="I12" s="50"/>
      <c r="J12" s="63">
        <f>J13/H11</f>
        <v>0.16374561893632913</v>
      </c>
      <c r="K12" s="30"/>
      <c r="L12" s="32"/>
    </row>
    <row r="13" spans="3:12" ht="16" thickBot="1" x14ac:dyDescent="0.4">
      <c r="C13" s="40" t="s">
        <v>103</v>
      </c>
      <c r="D13" s="64" t="s">
        <v>104</v>
      </c>
      <c r="E13" s="42">
        <f>F13-J13</f>
        <v>1497.958009001255</v>
      </c>
      <c r="F13" s="43">
        <f>'Example Calc '!J20</f>
        <v>2789.4590045006275</v>
      </c>
      <c r="G13" s="65" t="s">
        <v>105</v>
      </c>
      <c r="H13" s="66"/>
      <c r="I13" s="67" t="s">
        <v>106</v>
      </c>
      <c r="J13" s="68">
        <f>'Example Calc '!J21</f>
        <v>1291.5009954993725</v>
      </c>
      <c r="K13" s="30"/>
      <c r="L13" s="32"/>
    </row>
    <row r="14" spans="3:12" ht="16" thickBot="1" x14ac:dyDescent="0.4">
      <c r="C14" s="28"/>
      <c r="D14" s="69"/>
      <c r="E14" s="70" t="s">
        <v>107</v>
      </c>
      <c r="F14" s="71">
        <f>F13-F9</f>
        <v>328.98906041270448</v>
      </c>
      <c r="G14" s="34"/>
      <c r="H14" s="72">
        <f>F13+J13</f>
        <v>4080.96</v>
      </c>
      <c r="I14" s="34"/>
      <c r="J14" s="73">
        <f>J13-J9</f>
        <v>-54.309060412704412</v>
      </c>
      <c r="K14" s="74" t="s">
        <v>108</v>
      </c>
      <c r="L14" s="59"/>
    </row>
    <row r="15" spans="3:12" ht="16" thickBot="1" x14ac:dyDescent="0.4">
      <c r="C15" s="28"/>
      <c r="D15" s="48"/>
      <c r="E15" s="75" t="s">
        <v>109</v>
      </c>
      <c r="F15" s="76">
        <f>(F13+J9)/H11</f>
        <v>0.52429862162336949</v>
      </c>
      <c r="G15" s="30"/>
      <c r="H15" s="77" t="s">
        <v>110</v>
      </c>
      <c r="I15" s="30"/>
      <c r="J15" s="30"/>
      <c r="K15" s="30"/>
      <c r="L15" s="32"/>
    </row>
    <row r="16" spans="3:12" ht="16" thickBot="1" x14ac:dyDescent="0.4">
      <c r="C16" s="78"/>
      <c r="D16" s="69"/>
      <c r="E16" s="70" t="s">
        <v>111</v>
      </c>
      <c r="F16" s="79">
        <f>F13-J9</f>
        <v>1443.6489485885506</v>
      </c>
      <c r="G16" s="80"/>
      <c r="H16" s="81">
        <f>H14/H11</f>
        <v>0.51741293532338306</v>
      </c>
      <c r="I16" s="80"/>
      <c r="J16" s="80"/>
      <c r="K16" s="82"/>
      <c r="L16" s="83"/>
    </row>
    <row r="19" spans="5:10" x14ac:dyDescent="0.25">
      <c r="E19" s="186">
        <v>156</v>
      </c>
    </row>
    <row r="23" spans="5:10" x14ac:dyDescent="0.25">
      <c r="J23" s="15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P37"/>
  <sheetViews>
    <sheetView topLeftCell="A2" zoomScale="70" zoomScaleNormal="70" workbookViewId="0">
      <selection activeCell="I27" sqref="I27"/>
    </sheetView>
  </sheetViews>
  <sheetFormatPr defaultRowHeight="12.5" x14ac:dyDescent="0.25"/>
  <cols>
    <col min="3" max="3" width="51.81640625" customWidth="1"/>
    <col min="6" max="6" width="40.7265625" customWidth="1"/>
    <col min="7" max="7" width="15.7265625" customWidth="1"/>
    <col min="9" max="9" width="53.453125" customWidth="1"/>
    <col min="10" max="10" width="12.1796875" customWidth="1"/>
    <col min="11" max="11" width="7.453125" customWidth="1"/>
    <col min="12" max="12" width="9.1796875" customWidth="1"/>
    <col min="13" max="13" width="10.453125" customWidth="1"/>
    <col min="14" max="14" width="9.1796875" customWidth="1"/>
    <col min="15" max="15" width="11.1796875" customWidth="1"/>
    <col min="16" max="16" width="10.1796875" customWidth="1"/>
  </cols>
  <sheetData>
    <row r="1" spans="2:16" ht="18" thickBot="1" x14ac:dyDescent="0.4">
      <c r="C1" s="4" t="s">
        <v>79</v>
      </c>
      <c r="D1" s="13">
        <v>5</v>
      </c>
      <c r="F1" s="135" t="s">
        <v>123</v>
      </c>
      <c r="G1" s="131"/>
      <c r="H1" s="131"/>
    </row>
    <row r="2" spans="2:16" ht="13" thickBot="1" x14ac:dyDescent="0.3"/>
    <row r="3" spans="2:16" ht="16" thickBot="1" x14ac:dyDescent="0.4">
      <c r="B3" s="136" t="s">
        <v>12</v>
      </c>
      <c r="C3" s="137"/>
      <c r="D3" s="137"/>
      <c r="E3" s="137" t="s">
        <v>13</v>
      </c>
      <c r="F3" s="137"/>
      <c r="G3" s="137"/>
      <c r="H3" s="137" t="s">
        <v>15</v>
      </c>
      <c r="I3" s="137"/>
      <c r="J3" s="138"/>
    </row>
    <row r="4" spans="2:16" ht="14" x14ac:dyDescent="0.25">
      <c r="B4" s="2" t="s">
        <v>58</v>
      </c>
      <c r="C4" s="163" t="s">
        <v>125</v>
      </c>
      <c r="D4" s="157">
        <v>1</v>
      </c>
      <c r="E4" s="156" t="s">
        <v>67</v>
      </c>
      <c r="F4" s="111" t="s">
        <v>46</v>
      </c>
      <c r="G4" s="148">
        <f>D8-D12</f>
        <v>225</v>
      </c>
      <c r="H4" s="139" t="s">
        <v>43</v>
      </c>
      <c r="I4" s="112" t="s">
        <v>84</v>
      </c>
      <c r="J4" s="169">
        <f>(D24^2*AVERAGE(G17:G18)*1000)/2</f>
        <v>67500</v>
      </c>
      <c r="M4" s="9"/>
    </row>
    <row r="5" spans="2:16" ht="12" customHeight="1" thickBot="1" x14ac:dyDescent="0.3">
      <c r="B5" s="2" t="s">
        <v>59</v>
      </c>
      <c r="C5" s="163" t="s">
        <v>126</v>
      </c>
      <c r="D5" s="158">
        <v>1</v>
      </c>
      <c r="E5" s="121" t="s">
        <v>68</v>
      </c>
      <c r="F5" s="2" t="s">
        <v>2</v>
      </c>
      <c r="G5" s="149">
        <f>D9-D13</f>
        <v>225</v>
      </c>
      <c r="H5" s="20" t="s">
        <v>23</v>
      </c>
      <c r="I5" s="2" t="s">
        <v>30</v>
      </c>
      <c r="J5" s="144">
        <f>(D25^2*AVERAGE(G19:G20)*1000)/2</f>
        <v>67500</v>
      </c>
      <c r="M5" s="8"/>
    </row>
    <row r="6" spans="2:16" ht="16.5" customHeight="1" thickBot="1" x14ac:dyDescent="0.3">
      <c r="B6" s="2" t="s">
        <v>60</v>
      </c>
      <c r="C6" s="163" t="s">
        <v>127</v>
      </c>
      <c r="D6" s="158">
        <v>1</v>
      </c>
      <c r="E6" s="121" t="s">
        <v>69</v>
      </c>
      <c r="F6" s="2" t="s">
        <v>48</v>
      </c>
      <c r="G6" s="149">
        <f>D10-D14</f>
        <v>225</v>
      </c>
      <c r="H6" s="20" t="s">
        <v>24</v>
      </c>
      <c r="I6" s="2" t="s">
        <v>29</v>
      </c>
      <c r="J6" s="144">
        <f>SUM(J4:J5)</f>
        <v>135000</v>
      </c>
      <c r="L6" s="116" t="s">
        <v>133</v>
      </c>
      <c r="M6" s="117"/>
    </row>
    <row r="7" spans="2:16" x14ac:dyDescent="0.25">
      <c r="B7" s="2" t="s">
        <v>37</v>
      </c>
      <c r="C7" s="163" t="s">
        <v>128</v>
      </c>
      <c r="D7" s="158">
        <v>1</v>
      </c>
      <c r="E7" s="121" t="s">
        <v>0</v>
      </c>
      <c r="F7" s="2" t="s">
        <v>47</v>
      </c>
      <c r="G7" s="149">
        <f>D11-D15</f>
        <v>225</v>
      </c>
      <c r="H7" s="20" t="s">
        <v>27</v>
      </c>
      <c r="I7" s="2" t="s">
        <v>28</v>
      </c>
      <c r="J7" s="14">
        <f>G10*D1*G25</f>
        <v>1187.4999999999998</v>
      </c>
    </row>
    <row r="8" spans="2:16" ht="13" x14ac:dyDescent="0.3">
      <c r="B8" s="2" t="s">
        <v>61</v>
      </c>
      <c r="C8" s="164" t="s">
        <v>50</v>
      </c>
      <c r="D8" s="158">
        <v>250</v>
      </c>
      <c r="E8" s="16" t="s">
        <v>7</v>
      </c>
      <c r="F8" s="2" t="s">
        <v>3</v>
      </c>
      <c r="G8" s="149">
        <f>G4+G5</f>
        <v>450</v>
      </c>
      <c r="H8" s="140" t="s">
        <v>85</v>
      </c>
      <c r="I8" s="3" t="s">
        <v>93</v>
      </c>
      <c r="J8" s="115">
        <f>J7/J6</f>
        <v>8.7962962962962951E-3</v>
      </c>
      <c r="K8" s="18">
        <f>J8*180/3.142</f>
        <v>0.50392531296414167</v>
      </c>
      <c r="L8" s="16" t="s">
        <v>92</v>
      </c>
      <c r="P8" s="11"/>
    </row>
    <row r="9" spans="2:16" ht="13" thickBot="1" x14ac:dyDescent="0.3">
      <c r="B9" s="2" t="s">
        <v>62</v>
      </c>
      <c r="C9" s="164" t="s">
        <v>51</v>
      </c>
      <c r="D9" s="158">
        <v>250</v>
      </c>
      <c r="E9" s="121" t="s">
        <v>6</v>
      </c>
      <c r="F9" s="2" t="s">
        <v>4</v>
      </c>
      <c r="G9" s="149">
        <f>G6+G7</f>
        <v>450</v>
      </c>
      <c r="H9" s="20" t="s">
        <v>11</v>
      </c>
      <c r="I9" s="2" t="s">
        <v>31</v>
      </c>
      <c r="J9" s="17">
        <f>J8*AVERAGE(G17:G18)*D24*1000/2</f>
        <v>395.83333333333326</v>
      </c>
      <c r="P9" s="5"/>
    </row>
    <row r="10" spans="2:16" ht="13" thickBot="1" x14ac:dyDescent="0.3">
      <c r="B10" s="2" t="s">
        <v>63</v>
      </c>
      <c r="C10" s="164" t="s">
        <v>52</v>
      </c>
      <c r="D10" s="158">
        <v>250</v>
      </c>
      <c r="E10" s="124" t="s">
        <v>137</v>
      </c>
      <c r="F10" s="107" t="s">
        <v>81</v>
      </c>
      <c r="G10" s="150">
        <f>G8+G9</f>
        <v>900</v>
      </c>
      <c r="H10" s="114" t="s">
        <v>14</v>
      </c>
      <c r="I10" s="3" t="s">
        <v>32</v>
      </c>
      <c r="J10" s="17">
        <f>J8*AVERAGE(G19:G20)*D25*1000/2</f>
        <v>395.83333333333326</v>
      </c>
      <c r="L10" s="89" t="s">
        <v>134</v>
      </c>
      <c r="M10" s="90"/>
      <c r="P10" s="5"/>
    </row>
    <row r="11" spans="2:16" ht="13" thickBot="1" x14ac:dyDescent="0.3">
      <c r="B11" s="2" t="s">
        <v>1</v>
      </c>
      <c r="C11" s="164" t="s">
        <v>53</v>
      </c>
      <c r="D11" s="158">
        <v>250</v>
      </c>
      <c r="E11" s="124" t="s">
        <v>80</v>
      </c>
      <c r="F11" s="107" t="s">
        <v>82</v>
      </c>
      <c r="G11" s="151">
        <f>SUM(D8:D11)</f>
        <v>1000</v>
      </c>
      <c r="H11" s="20" t="s">
        <v>38</v>
      </c>
      <c r="I11" s="3" t="s">
        <v>113</v>
      </c>
      <c r="J11" s="14">
        <f>G8*D1*D31/D24</f>
        <v>150</v>
      </c>
      <c r="K11" s="1"/>
      <c r="P11" s="12"/>
    </row>
    <row r="12" spans="2:16" ht="13" thickBot="1" x14ac:dyDescent="0.3">
      <c r="B12" s="2" t="s">
        <v>64</v>
      </c>
      <c r="C12" s="164" t="s">
        <v>54</v>
      </c>
      <c r="D12" s="159">
        <v>25</v>
      </c>
      <c r="E12" s="124" t="s">
        <v>136</v>
      </c>
      <c r="F12" s="108" t="s">
        <v>89</v>
      </c>
      <c r="G12" s="151">
        <f>SUM(D12:D15)</f>
        <v>100</v>
      </c>
      <c r="H12" s="20" t="s">
        <v>41</v>
      </c>
      <c r="I12" s="3" t="s">
        <v>114</v>
      </c>
      <c r="J12" s="14">
        <f>G9*D1*D32/D25</f>
        <v>300</v>
      </c>
      <c r="L12" s="89" t="s">
        <v>135</v>
      </c>
      <c r="M12" s="90"/>
      <c r="P12" s="5"/>
    </row>
    <row r="13" spans="2:16" x14ac:dyDescent="0.25">
      <c r="B13" s="2" t="s">
        <v>65</v>
      </c>
      <c r="C13" s="164" t="s">
        <v>55</v>
      </c>
      <c r="D13" s="158">
        <v>25</v>
      </c>
      <c r="E13" s="121" t="s">
        <v>72</v>
      </c>
      <c r="F13" s="2" t="s">
        <v>170</v>
      </c>
      <c r="G13" s="152">
        <f>D16*D4^2</f>
        <v>50</v>
      </c>
      <c r="H13" s="20" t="s">
        <v>39</v>
      </c>
      <c r="I13" s="3" t="s">
        <v>115</v>
      </c>
      <c r="J13" s="14">
        <f xml:space="preserve"> (SUM(D12:D13)*D1*D27)/D24</f>
        <v>45.833333333333336</v>
      </c>
      <c r="P13" s="5"/>
    </row>
    <row r="14" spans="2:16" x14ac:dyDescent="0.25">
      <c r="B14" s="2" t="s">
        <v>66</v>
      </c>
      <c r="C14" s="164" t="s">
        <v>56</v>
      </c>
      <c r="D14" s="158">
        <v>25</v>
      </c>
      <c r="E14" s="121" t="s">
        <v>73</v>
      </c>
      <c r="F14" s="2" t="s">
        <v>169</v>
      </c>
      <c r="G14" s="152">
        <f>D17*D5^2</f>
        <v>50</v>
      </c>
      <c r="H14" s="20" t="s">
        <v>40</v>
      </c>
      <c r="I14" s="3" t="s">
        <v>116</v>
      </c>
      <c r="J14" s="14">
        <f xml:space="preserve"> (SUM(D14:D15)*D1*D28)/D25</f>
        <v>45.833333333333336</v>
      </c>
    </row>
    <row r="15" spans="2:16" x14ac:dyDescent="0.25">
      <c r="B15" s="2" t="s">
        <v>5</v>
      </c>
      <c r="C15" s="164" t="s">
        <v>57</v>
      </c>
      <c r="D15" s="158">
        <v>25</v>
      </c>
      <c r="E15" s="121" t="s">
        <v>121</v>
      </c>
      <c r="F15" s="2" t="s">
        <v>167</v>
      </c>
      <c r="G15" s="152">
        <f>D18*D6^2</f>
        <v>50</v>
      </c>
      <c r="H15" s="20"/>
      <c r="I15" s="107" t="s">
        <v>117</v>
      </c>
      <c r="J15" s="109">
        <f>J9+J11+J13</f>
        <v>591.66666666666663</v>
      </c>
      <c r="L15" s="85"/>
    </row>
    <row r="16" spans="2:16" x14ac:dyDescent="0.25">
      <c r="B16" s="2" t="s">
        <v>75</v>
      </c>
      <c r="C16" s="164" t="s">
        <v>49</v>
      </c>
      <c r="D16" s="158">
        <v>50</v>
      </c>
      <c r="E16" s="121" t="s">
        <v>122</v>
      </c>
      <c r="F16" s="2" t="s">
        <v>168</v>
      </c>
      <c r="G16" s="152">
        <f>D19*D7^2</f>
        <v>50</v>
      </c>
      <c r="H16" s="20"/>
      <c r="I16" s="107" t="s">
        <v>118</v>
      </c>
      <c r="J16" s="109">
        <f>J10+J12+J14</f>
        <v>741.66666666666663</v>
      </c>
    </row>
    <row r="17" spans="2:16" x14ac:dyDescent="0.25">
      <c r="B17" s="2" t="s">
        <v>76</v>
      </c>
      <c r="C17" s="164" t="s">
        <v>157</v>
      </c>
      <c r="D17" s="158">
        <v>50</v>
      </c>
      <c r="E17" s="121" t="s">
        <v>160</v>
      </c>
      <c r="F17" s="2" t="s">
        <v>173</v>
      </c>
      <c r="G17" s="153">
        <f>G13+D20</f>
        <v>60</v>
      </c>
      <c r="H17" s="20"/>
      <c r="I17" s="107" t="s">
        <v>119</v>
      </c>
      <c r="J17" s="141">
        <f>J15+J16</f>
        <v>1333.3333333333333</v>
      </c>
      <c r="L17" s="85"/>
      <c r="P17" s="12"/>
    </row>
    <row r="18" spans="2:16" ht="13" thickBot="1" x14ac:dyDescent="0.3">
      <c r="B18" s="2" t="s">
        <v>70</v>
      </c>
      <c r="C18" s="164" t="s">
        <v>158</v>
      </c>
      <c r="D18" s="158">
        <v>50</v>
      </c>
      <c r="E18" s="121" t="s">
        <v>161</v>
      </c>
      <c r="F18" s="2" t="s">
        <v>166</v>
      </c>
      <c r="G18" s="153">
        <f t="shared" ref="G18:G20" si="0">G14+D21</f>
        <v>60</v>
      </c>
      <c r="H18" s="20" t="s">
        <v>74</v>
      </c>
      <c r="I18" s="2" t="s">
        <v>33</v>
      </c>
      <c r="J18" s="19">
        <f>(D8*9.81)+J15</f>
        <v>3044.1666666666665</v>
      </c>
      <c r="P18" s="12"/>
    </row>
    <row r="19" spans="2:16" x14ac:dyDescent="0.25">
      <c r="B19" s="2" t="s">
        <v>71</v>
      </c>
      <c r="C19" s="164" t="s">
        <v>159</v>
      </c>
      <c r="D19" s="158">
        <v>50</v>
      </c>
      <c r="E19" s="121" t="s">
        <v>162</v>
      </c>
      <c r="F19" s="2" t="s">
        <v>164</v>
      </c>
      <c r="G19" s="153">
        <f t="shared" si="0"/>
        <v>60</v>
      </c>
      <c r="H19" s="114" t="s">
        <v>78</v>
      </c>
      <c r="I19" s="2" t="s">
        <v>34</v>
      </c>
      <c r="J19" s="19">
        <f>(D9*9.81)-J15</f>
        <v>1860.8333333333335</v>
      </c>
      <c r="L19" s="91" t="s">
        <v>87</v>
      </c>
      <c r="M19" s="92"/>
      <c r="N19" s="93"/>
      <c r="O19" s="94"/>
      <c r="P19" s="12"/>
    </row>
    <row r="20" spans="2:16" x14ac:dyDescent="0.25">
      <c r="B20" s="130" t="s">
        <v>179</v>
      </c>
      <c r="C20" s="165" t="s">
        <v>174</v>
      </c>
      <c r="D20" s="158">
        <v>10</v>
      </c>
      <c r="E20" s="121" t="s">
        <v>163</v>
      </c>
      <c r="F20" s="2" t="s">
        <v>165</v>
      </c>
      <c r="G20" s="153">
        <f t="shared" si="0"/>
        <v>60</v>
      </c>
      <c r="H20" s="114" t="s">
        <v>77</v>
      </c>
      <c r="I20" s="2" t="s">
        <v>35</v>
      </c>
      <c r="J20" s="19">
        <f>(D10*9.81)+J16</f>
        <v>3194.1666666666665</v>
      </c>
      <c r="L20" s="95" t="s">
        <v>86</v>
      </c>
      <c r="M20" s="10"/>
      <c r="N20" s="10"/>
      <c r="O20" s="96"/>
      <c r="P20" s="12"/>
    </row>
    <row r="21" spans="2:16" x14ac:dyDescent="0.25">
      <c r="B21" s="130" t="s">
        <v>180</v>
      </c>
      <c r="C21" s="165" t="s">
        <v>175</v>
      </c>
      <c r="D21" s="158">
        <v>10</v>
      </c>
      <c r="E21" s="121" t="s">
        <v>18</v>
      </c>
      <c r="F21" s="3" t="s">
        <v>141</v>
      </c>
      <c r="G21" s="154">
        <f>(G9*D26)/G10</f>
        <v>1.25</v>
      </c>
      <c r="H21" s="20" t="s">
        <v>22</v>
      </c>
      <c r="I21" s="2" t="s">
        <v>36</v>
      </c>
      <c r="J21" s="19">
        <f>(D11 *9.81)-J16</f>
        <v>1710.8333333333335</v>
      </c>
      <c r="L21" s="97" t="s">
        <v>91</v>
      </c>
      <c r="M21" s="10"/>
      <c r="N21" s="10"/>
      <c r="O21" s="96"/>
    </row>
    <row r="22" spans="2:16" ht="13" thickBot="1" x14ac:dyDescent="0.3">
      <c r="B22" s="130" t="s">
        <v>181</v>
      </c>
      <c r="C22" s="165" t="s">
        <v>176</v>
      </c>
      <c r="D22" s="158">
        <v>10</v>
      </c>
      <c r="E22" s="121" t="s">
        <v>19</v>
      </c>
      <c r="F22" s="2" t="s">
        <v>26</v>
      </c>
      <c r="G22" s="150">
        <f>D32-D31</f>
        <v>0.1</v>
      </c>
      <c r="H22" s="20"/>
      <c r="I22" s="125" t="s">
        <v>156</v>
      </c>
      <c r="J22" s="142">
        <f>SUM(J18:J21)</f>
        <v>9810</v>
      </c>
      <c r="L22" s="98" t="s">
        <v>90</v>
      </c>
      <c r="M22" s="99"/>
      <c r="N22" s="99"/>
      <c r="O22" s="100"/>
    </row>
    <row r="23" spans="2:16" ht="16.5" customHeight="1" thickBot="1" x14ac:dyDescent="0.3">
      <c r="B23" s="130" t="s">
        <v>182</v>
      </c>
      <c r="C23" s="165" t="s">
        <v>177</v>
      </c>
      <c r="D23" s="158">
        <v>10</v>
      </c>
      <c r="E23" s="121" t="s">
        <v>20</v>
      </c>
      <c r="F23" s="2" t="s">
        <v>172</v>
      </c>
      <c r="G23" s="154">
        <f>G22*G21/D26</f>
        <v>0.05</v>
      </c>
      <c r="H23" s="20"/>
      <c r="I23" s="3" t="s">
        <v>151</v>
      </c>
      <c r="J23" s="143">
        <f>G11*9.81</f>
        <v>9810</v>
      </c>
    </row>
    <row r="24" spans="2:16" x14ac:dyDescent="0.25">
      <c r="B24" s="2" t="s">
        <v>8</v>
      </c>
      <c r="C24" s="163" t="s">
        <v>150</v>
      </c>
      <c r="D24" s="158">
        <v>1.5</v>
      </c>
      <c r="E24" s="121" t="s">
        <v>21</v>
      </c>
      <c r="F24" s="2" t="s">
        <v>25</v>
      </c>
      <c r="G24" s="150">
        <f>G23+D31</f>
        <v>0.15000000000000002</v>
      </c>
      <c r="H24" s="20" t="s">
        <v>44</v>
      </c>
      <c r="I24" s="3" t="s">
        <v>152</v>
      </c>
      <c r="J24" s="141">
        <f>G11*D1*D29/ AVERAGE(D24:D25)</f>
        <v>1333.3333333333333</v>
      </c>
      <c r="L24" s="101" t="s">
        <v>88</v>
      </c>
      <c r="M24" s="93"/>
      <c r="N24" s="93"/>
      <c r="O24" s="102"/>
      <c r="P24" s="94"/>
    </row>
    <row r="25" spans="2:16" ht="13" thickBot="1" x14ac:dyDescent="0.3">
      <c r="B25" s="2" t="s">
        <v>9</v>
      </c>
      <c r="C25" s="163" t="s">
        <v>148</v>
      </c>
      <c r="D25" s="158">
        <v>1.5</v>
      </c>
      <c r="E25" s="122" t="s">
        <v>45</v>
      </c>
      <c r="F25" s="21" t="s">
        <v>171</v>
      </c>
      <c r="G25" s="155">
        <f>D30-G24</f>
        <v>0.26388888888888884</v>
      </c>
      <c r="H25" s="114" t="s">
        <v>132</v>
      </c>
      <c r="I25" s="3" t="s">
        <v>153</v>
      </c>
      <c r="J25" s="144">
        <f>J18-J19</f>
        <v>1183.333333333333</v>
      </c>
      <c r="L25" s="103" t="s">
        <v>120</v>
      </c>
      <c r="M25" s="99"/>
      <c r="N25" s="99"/>
      <c r="O25" s="104"/>
      <c r="P25" s="100"/>
    </row>
    <row r="26" spans="2:16" ht="13" thickBot="1" x14ac:dyDescent="0.3">
      <c r="B26" s="2" t="s">
        <v>10</v>
      </c>
      <c r="C26" s="163" t="s">
        <v>149</v>
      </c>
      <c r="D26" s="158">
        <v>2.5</v>
      </c>
      <c r="E26" s="5"/>
      <c r="G26" s="123"/>
      <c r="H26" s="114" t="s">
        <v>131</v>
      </c>
      <c r="I26" s="3" t="s">
        <v>154</v>
      </c>
      <c r="J26" s="144">
        <f>J20-J21</f>
        <v>1483.333333333333</v>
      </c>
    </row>
    <row r="27" spans="2:16" ht="16" thickBot="1" x14ac:dyDescent="0.4">
      <c r="B27" s="107" t="s">
        <v>95</v>
      </c>
      <c r="C27" s="166" t="s">
        <v>142</v>
      </c>
      <c r="D27" s="158">
        <v>0.27500000000000002</v>
      </c>
      <c r="E27" s="5"/>
      <c r="F27" s="126" t="s">
        <v>83</v>
      </c>
      <c r="G27" s="123"/>
      <c r="H27" s="145" t="s">
        <v>130</v>
      </c>
      <c r="I27" s="146" t="s">
        <v>186</v>
      </c>
      <c r="J27" s="147">
        <f>J25-J26</f>
        <v>-300</v>
      </c>
    </row>
    <row r="28" spans="2:16" x14ac:dyDescent="0.25">
      <c r="B28" s="168" t="s">
        <v>94</v>
      </c>
      <c r="C28" s="166" t="s">
        <v>143</v>
      </c>
      <c r="D28" s="158">
        <v>0.27500000000000002</v>
      </c>
      <c r="E28" s="12"/>
      <c r="F28" s="12"/>
      <c r="G28" s="127"/>
      <c r="H28" s="5"/>
      <c r="I28" s="5"/>
      <c r="J28" s="123"/>
    </row>
    <row r="29" spans="2:16" ht="13" thickBot="1" x14ac:dyDescent="0.3">
      <c r="B29" s="3" t="s">
        <v>124</v>
      </c>
      <c r="C29" s="163" t="s">
        <v>144</v>
      </c>
      <c r="D29" s="158">
        <v>0.4</v>
      </c>
      <c r="H29" s="5"/>
      <c r="I29" s="5"/>
      <c r="J29" s="5"/>
      <c r="L29" s="87"/>
      <c r="M29" s="87"/>
      <c r="N29" s="87"/>
      <c r="O29" s="87"/>
    </row>
    <row r="30" spans="2:16" ht="14" x14ac:dyDescent="0.3">
      <c r="B30" s="2" t="s">
        <v>42</v>
      </c>
      <c r="C30" s="163" t="s">
        <v>145</v>
      </c>
      <c r="D30" s="160">
        <f>((D29*G11)-(SUM(D12:D13)*D27)-( SUM(D14:D15)*D28))/G10</f>
        <v>0.41388888888888886</v>
      </c>
      <c r="E30" s="12"/>
      <c r="G30" s="118" t="s">
        <v>138</v>
      </c>
      <c r="H30" s="6"/>
      <c r="I30" s="6"/>
      <c r="L30" s="86"/>
      <c r="M30" s="86"/>
      <c r="N30" s="86"/>
      <c r="O30" s="86"/>
    </row>
    <row r="31" spans="2:16" ht="15" thickBot="1" x14ac:dyDescent="0.4">
      <c r="B31" s="2" t="s">
        <v>16</v>
      </c>
      <c r="C31" s="163" t="s">
        <v>146</v>
      </c>
      <c r="D31" s="158">
        <v>0.1</v>
      </c>
      <c r="G31" s="105" t="s">
        <v>139</v>
      </c>
      <c r="H31" s="7"/>
      <c r="I31" s="6"/>
    </row>
    <row r="32" spans="2:16" ht="15" thickBot="1" x14ac:dyDescent="0.3">
      <c r="B32" s="2" t="s">
        <v>17</v>
      </c>
      <c r="C32" s="163" t="s">
        <v>147</v>
      </c>
      <c r="D32" s="161">
        <v>0.2</v>
      </c>
      <c r="F32" s="119" t="s">
        <v>140</v>
      </c>
    </row>
    <row r="33" spans="2:7" ht="17.5" thickBot="1" x14ac:dyDescent="0.3">
      <c r="E33" s="132"/>
      <c r="F33" s="133" t="s">
        <v>129</v>
      </c>
      <c r="G33" s="134"/>
    </row>
    <row r="34" spans="2:7" x14ac:dyDescent="0.25">
      <c r="F34" s="12"/>
    </row>
    <row r="35" spans="2:7" x14ac:dyDescent="0.25">
      <c r="B35" s="15"/>
    </row>
    <row r="36" spans="2:7" x14ac:dyDescent="0.25">
      <c r="B36" s="12"/>
      <c r="C36" s="88"/>
      <c r="D36" s="12"/>
    </row>
    <row r="37" spans="2:7" x14ac:dyDescent="0.25">
      <c r="B37" s="12"/>
      <c r="C37" s="88"/>
      <c r="D37" s="12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P37"/>
  <sheetViews>
    <sheetView topLeftCell="B1" zoomScale="70" zoomScaleNormal="70" workbookViewId="0">
      <selection activeCell="I29" sqref="I29"/>
    </sheetView>
  </sheetViews>
  <sheetFormatPr defaultRowHeight="12.5" x14ac:dyDescent="0.25"/>
  <cols>
    <col min="3" max="3" width="51.81640625" customWidth="1"/>
    <col min="6" max="6" width="40.7265625" customWidth="1"/>
    <col min="7" max="7" width="15.7265625" customWidth="1"/>
    <col min="9" max="9" width="53.453125" customWidth="1"/>
    <col min="10" max="10" width="12.1796875" customWidth="1"/>
    <col min="11" max="11" width="7.453125" customWidth="1"/>
    <col min="12" max="12" width="9.1796875" customWidth="1"/>
    <col min="13" max="13" width="10.453125" customWidth="1"/>
    <col min="14" max="14" width="9.1796875" customWidth="1"/>
    <col min="15" max="15" width="11.1796875" customWidth="1"/>
    <col min="16" max="16" width="10.1796875" customWidth="1"/>
  </cols>
  <sheetData>
    <row r="1" spans="2:16" ht="18" thickBot="1" x14ac:dyDescent="0.4">
      <c r="C1" s="4" t="s">
        <v>79</v>
      </c>
      <c r="D1" s="13">
        <v>5</v>
      </c>
      <c r="F1" s="135" t="s">
        <v>123</v>
      </c>
      <c r="G1" s="131"/>
      <c r="H1" s="131"/>
    </row>
    <row r="2" spans="2:16" ht="13" thickBot="1" x14ac:dyDescent="0.3"/>
    <row r="3" spans="2:16" ht="16" thickBot="1" x14ac:dyDescent="0.4">
      <c r="B3" s="136" t="s">
        <v>12</v>
      </c>
      <c r="C3" s="137"/>
      <c r="D3" s="137"/>
      <c r="E3" s="137" t="s">
        <v>13</v>
      </c>
      <c r="F3" s="137"/>
      <c r="G3" s="137"/>
      <c r="H3" s="137" t="s">
        <v>15</v>
      </c>
      <c r="I3" s="137"/>
      <c r="J3" s="138"/>
    </row>
    <row r="4" spans="2:16" ht="14" x14ac:dyDescent="0.25">
      <c r="B4" s="2" t="s">
        <v>58</v>
      </c>
      <c r="C4" s="163" t="s">
        <v>125</v>
      </c>
      <c r="D4" s="157">
        <v>1</v>
      </c>
      <c r="E4" s="156" t="s">
        <v>67</v>
      </c>
      <c r="F4" s="111" t="s">
        <v>46</v>
      </c>
      <c r="G4" s="148">
        <v>225</v>
      </c>
      <c r="H4" s="139" t="s">
        <v>43</v>
      </c>
      <c r="I4" s="112" t="s">
        <v>84</v>
      </c>
      <c r="J4" s="169">
        <v>67500</v>
      </c>
      <c r="M4" s="9"/>
    </row>
    <row r="5" spans="2:16" ht="12" customHeight="1" thickBot="1" x14ac:dyDescent="0.3">
      <c r="B5" s="2" t="s">
        <v>59</v>
      </c>
      <c r="C5" s="163" t="s">
        <v>126</v>
      </c>
      <c r="D5" s="158">
        <v>1</v>
      </c>
      <c r="E5" s="121" t="s">
        <v>68</v>
      </c>
      <c r="F5" s="2" t="s">
        <v>2</v>
      </c>
      <c r="G5" s="149">
        <v>225</v>
      </c>
      <c r="H5" s="20" t="s">
        <v>23</v>
      </c>
      <c r="I5" s="2" t="s">
        <v>30</v>
      </c>
      <c r="J5" s="144">
        <v>67500</v>
      </c>
      <c r="M5" s="8"/>
    </row>
    <row r="6" spans="2:16" ht="16.5" customHeight="1" thickBot="1" x14ac:dyDescent="0.3">
      <c r="B6" s="2" t="s">
        <v>60</v>
      </c>
      <c r="C6" s="163" t="s">
        <v>127</v>
      </c>
      <c r="D6" s="158">
        <v>1</v>
      </c>
      <c r="E6" s="121" t="s">
        <v>69</v>
      </c>
      <c r="F6" s="2" t="s">
        <v>48</v>
      </c>
      <c r="G6" s="149">
        <v>225</v>
      </c>
      <c r="H6" s="20" t="s">
        <v>24</v>
      </c>
      <c r="I6" s="2" t="s">
        <v>29</v>
      </c>
      <c r="J6" s="144">
        <v>135000</v>
      </c>
      <c r="L6" s="116" t="s">
        <v>133</v>
      </c>
      <c r="M6" s="117"/>
    </row>
    <row r="7" spans="2:16" x14ac:dyDescent="0.25">
      <c r="B7" s="2" t="s">
        <v>37</v>
      </c>
      <c r="C7" s="163" t="s">
        <v>128</v>
      </c>
      <c r="D7" s="158">
        <v>1</v>
      </c>
      <c r="E7" s="121" t="s">
        <v>0</v>
      </c>
      <c r="F7" s="2" t="s">
        <v>47</v>
      </c>
      <c r="G7" s="149">
        <v>225</v>
      </c>
      <c r="H7" s="20" t="s">
        <v>27</v>
      </c>
      <c r="I7" s="2" t="s">
        <v>28</v>
      </c>
      <c r="J7" s="14">
        <v>1187.4999999999998</v>
      </c>
    </row>
    <row r="8" spans="2:16" ht="13" x14ac:dyDescent="0.3">
      <c r="B8" s="2" t="s">
        <v>61</v>
      </c>
      <c r="C8" s="164" t="s">
        <v>50</v>
      </c>
      <c r="D8" s="158">
        <v>250</v>
      </c>
      <c r="E8" s="16" t="s">
        <v>7</v>
      </c>
      <c r="F8" s="2" t="s">
        <v>3</v>
      </c>
      <c r="G8" s="149">
        <v>450</v>
      </c>
      <c r="H8" s="140" t="s">
        <v>85</v>
      </c>
      <c r="I8" s="3" t="s">
        <v>93</v>
      </c>
      <c r="J8" s="115">
        <v>8.7962962962962951E-3</v>
      </c>
      <c r="K8" s="18">
        <f>J8*180/3.142</f>
        <v>0.50392531296414167</v>
      </c>
      <c r="L8" s="16" t="s">
        <v>92</v>
      </c>
      <c r="P8" s="11"/>
    </row>
    <row r="9" spans="2:16" ht="13" thickBot="1" x14ac:dyDescent="0.3">
      <c r="B9" s="2" t="s">
        <v>62</v>
      </c>
      <c r="C9" s="164" t="s">
        <v>51</v>
      </c>
      <c r="D9" s="158">
        <v>250</v>
      </c>
      <c r="E9" s="121" t="s">
        <v>6</v>
      </c>
      <c r="F9" s="2" t="s">
        <v>4</v>
      </c>
      <c r="G9" s="149">
        <v>450</v>
      </c>
      <c r="H9" s="20" t="s">
        <v>11</v>
      </c>
      <c r="I9" s="2" t="s">
        <v>31</v>
      </c>
      <c r="J9" s="17">
        <v>395.83333333333326</v>
      </c>
      <c r="P9" s="5"/>
    </row>
    <row r="10" spans="2:16" ht="13" thickBot="1" x14ac:dyDescent="0.3">
      <c r="B10" s="2" t="s">
        <v>63</v>
      </c>
      <c r="C10" s="164" t="s">
        <v>52</v>
      </c>
      <c r="D10" s="158">
        <v>250</v>
      </c>
      <c r="E10" s="124" t="s">
        <v>137</v>
      </c>
      <c r="F10" s="107" t="s">
        <v>81</v>
      </c>
      <c r="G10" s="150">
        <v>900</v>
      </c>
      <c r="H10" s="114" t="s">
        <v>14</v>
      </c>
      <c r="I10" s="3" t="s">
        <v>32</v>
      </c>
      <c r="J10" s="17">
        <v>395.83333333333326</v>
      </c>
      <c r="L10" s="89" t="s">
        <v>134</v>
      </c>
      <c r="M10" s="90"/>
      <c r="P10" s="5"/>
    </row>
    <row r="11" spans="2:16" ht="13" thickBot="1" x14ac:dyDescent="0.3">
      <c r="B11" s="2" t="s">
        <v>1</v>
      </c>
      <c r="C11" s="164" t="s">
        <v>53</v>
      </c>
      <c r="D11" s="158">
        <v>250</v>
      </c>
      <c r="E11" s="124" t="s">
        <v>80</v>
      </c>
      <c r="F11" s="107" t="s">
        <v>82</v>
      </c>
      <c r="G11" s="151">
        <v>1000</v>
      </c>
      <c r="H11" s="20" t="s">
        <v>38</v>
      </c>
      <c r="I11" s="3" t="s">
        <v>113</v>
      </c>
      <c r="J11" s="14">
        <v>150</v>
      </c>
      <c r="K11" s="1"/>
      <c r="P11" s="12"/>
    </row>
    <row r="12" spans="2:16" ht="13" thickBot="1" x14ac:dyDescent="0.3">
      <c r="B12" s="2" t="s">
        <v>64</v>
      </c>
      <c r="C12" s="164" t="s">
        <v>54</v>
      </c>
      <c r="D12" s="159">
        <v>25</v>
      </c>
      <c r="E12" s="124" t="s">
        <v>136</v>
      </c>
      <c r="F12" s="108" t="s">
        <v>89</v>
      </c>
      <c r="G12" s="151">
        <v>100</v>
      </c>
      <c r="H12" s="20" t="s">
        <v>41</v>
      </c>
      <c r="I12" s="3" t="s">
        <v>114</v>
      </c>
      <c r="J12" s="14">
        <v>300</v>
      </c>
      <c r="L12" s="89" t="s">
        <v>135</v>
      </c>
      <c r="M12" s="90"/>
      <c r="P12" s="5"/>
    </row>
    <row r="13" spans="2:16" x14ac:dyDescent="0.25">
      <c r="B13" s="2" t="s">
        <v>65</v>
      </c>
      <c r="C13" s="164" t="s">
        <v>55</v>
      </c>
      <c r="D13" s="158">
        <v>25</v>
      </c>
      <c r="E13" s="121" t="s">
        <v>72</v>
      </c>
      <c r="F13" s="2" t="s">
        <v>170</v>
      </c>
      <c r="G13" s="152">
        <v>50</v>
      </c>
      <c r="H13" s="20" t="s">
        <v>39</v>
      </c>
      <c r="I13" s="3" t="s">
        <v>115</v>
      </c>
      <c r="J13" s="14">
        <v>45.833333333333336</v>
      </c>
      <c r="P13" s="5"/>
    </row>
    <row r="14" spans="2:16" x14ac:dyDescent="0.25">
      <c r="B14" s="2" t="s">
        <v>66</v>
      </c>
      <c r="C14" s="164" t="s">
        <v>56</v>
      </c>
      <c r="D14" s="158">
        <v>25</v>
      </c>
      <c r="E14" s="121" t="s">
        <v>73</v>
      </c>
      <c r="F14" s="2" t="s">
        <v>169</v>
      </c>
      <c r="G14" s="152">
        <v>50</v>
      </c>
      <c r="H14" s="20" t="s">
        <v>40</v>
      </c>
      <c r="I14" s="3" t="s">
        <v>116</v>
      </c>
      <c r="J14" s="14">
        <v>45.833333333333336</v>
      </c>
    </row>
    <row r="15" spans="2:16" x14ac:dyDescent="0.25">
      <c r="B15" s="2" t="s">
        <v>5</v>
      </c>
      <c r="C15" s="164" t="s">
        <v>57</v>
      </c>
      <c r="D15" s="158">
        <v>25</v>
      </c>
      <c r="E15" s="121" t="s">
        <v>121</v>
      </c>
      <c r="F15" s="2" t="s">
        <v>167</v>
      </c>
      <c r="G15" s="152">
        <v>50</v>
      </c>
      <c r="H15" s="20"/>
      <c r="I15" s="107" t="s">
        <v>117</v>
      </c>
      <c r="J15" s="109">
        <v>591.66666666666663</v>
      </c>
      <c r="L15" s="85"/>
    </row>
    <row r="16" spans="2:16" x14ac:dyDescent="0.25">
      <c r="B16" s="2" t="s">
        <v>75</v>
      </c>
      <c r="C16" s="164" t="s">
        <v>49</v>
      </c>
      <c r="D16" s="158">
        <v>50</v>
      </c>
      <c r="E16" s="121" t="s">
        <v>122</v>
      </c>
      <c r="F16" s="2" t="s">
        <v>168</v>
      </c>
      <c r="G16" s="152">
        <v>50</v>
      </c>
      <c r="H16" s="20"/>
      <c r="I16" s="107" t="s">
        <v>118</v>
      </c>
      <c r="J16" s="109">
        <v>741.66666666666663</v>
      </c>
    </row>
    <row r="17" spans="2:16" x14ac:dyDescent="0.25">
      <c r="B17" s="2" t="s">
        <v>76</v>
      </c>
      <c r="C17" s="164" t="s">
        <v>157</v>
      </c>
      <c r="D17" s="158">
        <v>50</v>
      </c>
      <c r="E17" s="121" t="s">
        <v>160</v>
      </c>
      <c r="F17" s="2" t="s">
        <v>173</v>
      </c>
      <c r="G17" s="153">
        <v>60</v>
      </c>
      <c r="H17" s="20"/>
      <c r="I17" s="107" t="s">
        <v>119</v>
      </c>
      <c r="J17" s="141">
        <v>1333.3333333333333</v>
      </c>
      <c r="L17" s="85"/>
      <c r="P17" s="12"/>
    </row>
    <row r="18" spans="2:16" ht="13" thickBot="1" x14ac:dyDescent="0.3">
      <c r="B18" s="2" t="s">
        <v>70</v>
      </c>
      <c r="C18" s="164" t="s">
        <v>158</v>
      </c>
      <c r="D18" s="158">
        <v>50</v>
      </c>
      <c r="E18" s="121" t="s">
        <v>161</v>
      </c>
      <c r="F18" s="2" t="s">
        <v>166</v>
      </c>
      <c r="G18" s="153">
        <v>60</v>
      </c>
      <c r="H18" s="20" t="s">
        <v>74</v>
      </c>
      <c r="I18" s="2" t="s">
        <v>33</v>
      </c>
      <c r="J18" s="19">
        <v>3044.1666666666665</v>
      </c>
      <c r="P18" s="12"/>
    </row>
    <row r="19" spans="2:16" x14ac:dyDescent="0.25">
      <c r="B19" s="2" t="s">
        <v>71</v>
      </c>
      <c r="C19" s="164" t="s">
        <v>159</v>
      </c>
      <c r="D19" s="158">
        <v>50</v>
      </c>
      <c r="E19" s="121" t="s">
        <v>162</v>
      </c>
      <c r="F19" s="2" t="s">
        <v>164</v>
      </c>
      <c r="G19" s="153">
        <v>60</v>
      </c>
      <c r="H19" s="114" t="s">
        <v>78</v>
      </c>
      <c r="I19" s="2" t="s">
        <v>34</v>
      </c>
      <c r="J19" s="19">
        <v>1860.8333333333335</v>
      </c>
      <c r="L19" s="91" t="s">
        <v>87</v>
      </c>
      <c r="M19" s="92"/>
      <c r="N19" s="93"/>
      <c r="O19" s="94"/>
      <c r="P19" s="12"/>
    </row>
    <row r="20" spans="2:16" x14ac:dyDescent="0.25">
      <c r="B20" s="130" t="s">
        <v>179</v>
      </c>
      <c r="C20" s="165" t="s">
        <v>174</v>
      </c>
      <c r="D20" s="158">
        <v>10</v>
      </c>
      <c r="E20" s="121" t="s">
        <v>163</v>
      </c>
      <c r="F20" s="2" t="s">
        <v>165</v>
      </c>
      <c r="G20" s="153">
        <v>60</v>
      </c>
      <c r="H20" s="114" t="s">
        <v>77</v>
      </c>
      <c r="I20" s="2" t="s">
        <v>35</v>
      </c>
      <c r="J20" s="19">
        <v>3194.1666666666665</v>
      </c>
      <c r="L20" s="95" t="s">
        <v>86</v>
      </c>
      <c r="M20" s="10"/>
      <c r="N20" s="10"/>
      <c r="O20" s="96"/>
      <c r="P20" s="12"/>
    </row>
    <row r="21" spans="2:16" x14ac:dyDescent="0.25">
      <c r="B21" s="130" t="s">
        <v>180</v>
      </c>
      <c r="C21" s="165" t="s">
        <v>175</v>
      </c>
      <c r="D21" s="158">
        <v>10</v>
      </c>
      <c r="E21" s="121" t="s">
        <v>18</v>
      </c>
      <c r="F21" s="3" t="s">
        <v>141</v>
      </c>
      <c r="G21" s="154">
        <v>1.25</v>
      </c>
      <c r="H21" s="20" t="s">
        <v>22</v>
      </c>
      <c r="I21" s="2" t="s">
        <v>36</v>
      </c>
      <c r="J21" s="19">
        <v>1710.8333333333335</v>
      </c>
      <c r="L21" s="97" t="s">
        <v>91</v>
      </c>
      <c r="M21" s="10"/>
      <c r="N21" s="10"/>
      <c r="O21" s="96"/>
    </row>
    <row r="22" spans="2:16" ht="13" thickBot="1" x14ac:dyDescent="0.3">
      <c r="B22" s="130" t="s">
        <v>181</v>
      </c>
      <c r="C22" s="165" t="s">
        <v>176</v>
      </c>
      <c r="D22" s="158">
        <v>10</v>
      </c>
      <c r="E22" s="121" t="s">
        <v>19</v>
      </c>
      <c r="F22" s="2" t="s">
        <v>26</v>
      </c>
      <c r="G22" s="150">
        <v>0.1</v>
      </c>
      <c r="H22" s="20"/>
      <c r="I22" s="125" t="s">
        <v>156</v>
      </c>
      <c r="J22" s="142">
        <v>9810</v>
      </c>
      <c r="L22" s="98" t="s">
        <v>90</v>
      </c>
      <c r="M22" s="99"/>
      <c r="N22" s="99"/>
      <c r="O22" s="100"/>
    </row>
    <row r="23" spans="2:16" ht="16.5" customHeight="1" thickBot="1" x14ac:dyDescent="0.3">
      <c r="B23" s="130" t="s">
        <v>182</v>
      </c>
      <c r="C23" s="165" t="s">
        <v>177</v>
      </c>
      <c r="D23" s="158">
        <v>10</v>
      </c>
      <c r="E23" s="121" t="s">
        <v>20</v>
      </c>
      <c r="F23" s="2" t="s">
        <v>172</v>
      </c>
      <c r="G23" s="154">
        <v>0.05</v>
      </c>
      <c r="H23" s="20"/>
      <c r="I23" s="3" t="s">
        <v>151</v>
      </c>
      <c r="J23" s="143">
        <v>9810</v>
      </c>
    </row>
    <row r="24" spans="2:16" x14ac:dyDescent="0.25">
      <c r="B24" s="2" t="s">
        <v>8</v>
      </c>
      <c r="C24" s="163" t="s">
        <v>150</v>
      </c>
      <c r="D24" s="158">
        <v>1.5</v>
      </c>
      <c r="E24" s="121" t="s">
        <v>21</v>
      </c>
      <c r="F24" s="2" t="s">
        <v>25</v>
      </c>
      <c r="G24" s="150">
        <v>0.15000000000000002</v>
      </c>
      <c r="H24" s="20" t="s">
        <v>44</v>
      </c>
      <c r="I24" s="3" t="s">
        <v>152</v>
      </c>
      <c r="J24" s="141">
        <v>1333.3333333333333</v>
      </c>
      <c r="L24" s="101" t="s">
        <v>88</v>
      </c>
      <c r="M24" s="93"/>
      <c r="N24" s="93"/>
      <c r="O24" s="102"/>
      <c r="P24" s="94"/>
    </row>
    <row r="25" spans="2:16" ht="13" thickBot="1" x14ac:dyDescent="0.3">
      <c r="B25" s="2" t="s">
        <v>9</v>
      </c>
      <c r="C25" s="163" t="s">
        <v>148</v>
      </c>
      <c r="D25" s="158">
        <v>1.5</v>
      </c>
      <c r="E25" s="122" t="s">
        <v>45</v>
      </c>
      <c r="F25" s="21" t="s">
        <v>171</v>
      </c>
      <c r="G25" s="155">
        <v>0.26388888888888884</v>
      </c>
      <c r="H25" s="114" t="s">
        <v>132</v>
      </c>
      <c r="I25" s="3" t="s">
        <v>153</v>
      </c>
      <c r="J25" s="144">
        <v>1183.333333333333</v>
      </c>
      <c r="L25" s="103" t="s">
        <v>120</v>
      </c>
      <c r="M25" s="99"/>
      <c r="N25" s="99"/>
      <c r="O25" s="104"/>
      <c r="P25" s="100"/>
    </row>
    <row r="26" spans="2:16" ht="13" thickBot="1" x14ac:dyDescent="0.3">
      <c r="B26" s="2" t="s">
        <v>10</v>
      </c>
      <c r="C26" s="163" t="s">
        <v>149</v>
      </c>
      <c r="D26" s="158">
        <v>2.5</v>
      </c>
      <c r="E26" s="5"/>
      <c r="G26" s="123"/>
      <c r="H26" s="114" t="s">
        <v>131</v>
      </c>
      <c r="I26" s="3" t="s">
        <v>154</v>
      </c>
      <c r="J26" s="144">
        <v>1483.333333333333</v>
      </c>
    </row>
    <row r="27" spans="2:16" ht="16" thickBot="1" x14ac:dyDescent="0.4">
      <c r="B27" s="107" t="s">
        <v>95</v>
      </c>
      <c r="C27" s="166" t="s">
        <v>142</v>
      </c>
      <c r="D27" s="158">
        <v>0.27500000000000002</v>
      </c>
      <c r="E27" s="5"/>
      <c r="F27" s="126" t="s">
        <v>83</v>
      </c>
      <c r="G27" s="123"/>
      <c r="H27" s="145" t="s">
        <v>130</v>
      </c>
      <c r="I27" s="146" t="s">
        <v>186</v>
      </c>
      <c r="J27" s="147">
        <v>-300</v>
      </c>
    </row>
    <row r="28" spans="2:16" x14ac:dyDescent="0.25">
      <c r="B28" s="168" t="s">
        <v>94</v>
      </c>
      <c r="C28" s="166" t="s">
        <v>143</v>
      </c>
      <c r="D28" s="158">
        <v>0.27500000000000002</v>
      </c>
      <c r="E28" s="12"/>
      <c r="F28" s="12"/>
      <c r="G28" s="127"/>
      <c r="H28" s="5"/>
      <c r="I28" s="5"/>
      <c r="J28" s="123"/>
    </row>
    <row r="29" spans="2:16" ht="13" thickBot="1" x14ac:dyDescent="0.3">
      <c r="B29" s="3" t="s">
        <v>124</v>
      </c>
      <c r="C29" s="163" t="s">
        <v>144</v>
      </c>
      <c r="D29" s="158">
        <v>0.4</v>
      </c>
      <c r="H29" s="5"/>
      <c r="I29" s="5"/>
      <c r="J29" s="5"/>
      <c r="L29" s="87"/>
      <c r="M29" s="87"/>
      <c r="N29" s="87"/>
      <c r="O29" s="87"/>
    </row>
    <row r="30" spans="2:16" ht="14" x14ac:dyDescent="0.3">
      <c r="B30" s="2" t="s">
        <v>42</v>
      </c>
      <c r="C30" s="163" t="s">
        <v>145</v>
      </c>
      <c r="D30" s="160">
        <v>0.41388888888888886</v>
      </c>
      <c r="E30" s="12"/>
      <c r="G30" s="118" t="s">
        <v>138</v>
      </c>
      <c r="H30" s="6"/>
      <c r="I30" s="6"/>
      <c r="L30" s="86"/>
      <c r="M30" s="86"/>
      <c r="N30" s="86"/>
      <c r="O30" s="86"/>
    </row>
    <row r="31" spans="2:16" ht="15" thickBot="1" x14ac:dyDescent="0.4">
      <c r="B31" s="2" t="s">
        <v>16</v>
      </c>
      <c r="C31" s="163" t="s">
        <v>146</v>
      </c>
      <c r="D31" s="158">
        <v>0.1</v>
      </c>
      <c r="G31" s="105" t="s">
        <v>139</v>
      </c>
      <c r="H31" s="7"/>
      <c r="I31" s="6"/>
    </row>
    <row r="32" spans="2:16" ht="15" thickBot="1" x14ac:dyDescent="0.3">
      <c r="B32" s="2" t="s">
        <v>17</v>
      </c>
      <c r="C32" s="163" t="s">
        <v>147</v>
      </c>
      <c r="D32" s="161">
        <v>0.2</v>
      </c>
      <c r="F32" s="119" t="s">
        <v>140</v>
      </c>
    </row>
    <row r="33" spans="2:7" ht="17.5" thickBot="1" x14ac:dyDescent="0.3">
      <c r="E33" s="132"/>
      <c r="F33" s="133" t="s">
        <v>129</v>
      </c>
      <c r="G33" s="134"/>
    </row>
    <row r="34" spans="2:7" x14ac:dyDescent="0.25">
      <c r="F34" s="12"/>
    </row>
    <row r="35" spans="2:7" x14ac:dyDescent="0.25">
      <c r="B35" s="15"/>
      <c r="C35" s="183" t="s">
        <v>178</v>
      </c>
    </row>
    <row r="36" spans="2:7" x14ac:dyDescent="0.25">
      <c r="B36" s="12"/>
      <c r="C36" s="88"/>
      <c r="D36" s="12"/>
    </row>
    <row r="37" spans="2:7" x14ac:dyDescent="0.25">
      <c r="B37" s="12"/>
      <c r="C37" s="88"/>
      <c r="D37" s="12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2:L23"/>
  <sheetViews>
    <sheetView workbookViewId="0">
      <selection activeCell="H20" sqref="H20"/>
    </sheetView>
  </sheetViews>
  <sheetFormatPr defaultRowHeight="12.5" x14ac:dyDescent="0.25"/>
  <cols>
    <col min="2" max="2" width="3.81640625" customWidth="1"/>
    <col min="3" max="3" width="19.54296875" customWidth="1"/>
    <col min="8" max="8" width="12.453125" customWidth="1"/>
    <col min="12" max="12" width="21.1796875" customWidth="1"/>
  </cols>
  <sheetData>
    <row r="2" spans="3:12" ht="25" x14ac:dyDescent="0.5">
      <c r="C2" s="84" t="s">
        <v>112</v>
      </c>
      <c r="D2" s="84"/>
      <c r="E2" s="84"/>
    </row>
    <row r="4" spans="3:12" ht="13" thickBot="1" x14ac:dyDescent="0.3"/>
    <row r="5" spans="3:12" ht="15.5" x14ac:dyDescent="0.35">
      <c r="C5" s="22"/>
      <c r="D5" s="23"/>
      <c r="E5" s="23"/>
      <c r="F5" s="23"/>
      <c r="G5" s="23"/>
      <c r="H5" s="24">
        <f>H7/H11</f>
        <v>0.5</v>
      </c>
      <c r="I5" s="25"/>
      <c r="J5" s="26"/>
      <c r="K5" s="25"/>
      <c r="L5" s="27"/>
    </row>
    <row r="6" spans="3:12" ht="15.5" x14ac:dyDescent="0.35">
      <c r="C6" s="28"/>
      <c r="D6" s="29"/>
      <c r="E6" s="30"/>
      <c r="F6" s="30"/>
      <c r="G6" s="30"/>
      <c r="H6" s="31" t="s">
        <v>96</v>
      </c>
      <c r="I6" s="30"/>
      <c r="J6" s="30"/>
      <c r="K6" s="30"/>
      <c r="L6" s="32"/>
    </row>
    <row r="7" spans="3:12" ht="16" thickBot="1" x14ac:dyDescent="0.4">
      <c r="C7" s="28"/>
      <c r="D7" s="30"/>
      <c r="E7" s="30"/>
      <c r="F7" s="30"/>
      <c r="G7" s="30"/>
      <c r="H7" s="33">
        <f>F9+J9</f>
        <v>4905</v>
      </c>
      <c r="I7" s="30"/>
      <c r="J7" s="30"/>
      <c r="K7" s="30"/>
      <c r="L7" s="32"/>
    </row>
    <row r="8" spans="3:12" ht="16" thickBot="1" x14ac:dyDescent="0.4">
      <c r="C8" s="28"/>
      <c r="D8" s="30"/>
      <c r="E8" s="34"/>
      <c r="F8" s="35">
        <f>F9/H11</f>
        <v>0.31031260618416578</v>
      </c>
      <c r="G8" s="36" t="s">
        <v>97</v>
      </c>
      <c r="H8" s="37"/>
      <c r="I8" s="38" t="s">
        <v>98</v>
      </c>
      <c r="J8" s="39">
        <f>J9/H11</f>
        <v>0.18968739381583419</v>
      </c>
      <c r="K8" s="30"/>
      <c r="L8" s="32"/>
    </row>
    <row r="9" spans="3:12" ht="16" thickBot="1" x14ac:dyDescent="0.4">
      <c r="C9" s="40" t="s">
        <v>99</v>
      </c>
      <c r="D9" s="41" t="s">
        <v>100</v>
      </c>
      <c r="E9" s="42">
        <f>F9-J9</f>
        <v>1183.333333333333</v>
      </c>
      <c r="F9" s="43">
        <f>'Simple  Calc'!J18</f>
        <v>3044.1666666666665</v>
      </c>
      <c r="G9" s="44"/>
      <c r="H9" s="45"/>
      <c r="I9" s="46"/>
      <c r="J9" s="47">
        <f>'Simple  Calc'!J19</f>
        <v>1860.8333333333335</v>
      </c>
      <c r="K9" s="30"/>
      <c r="L9" s="32"/>
    </row>
    <row r="10" spans="3:12" ht="16" thickBot="1" x14ac:dyDescent="0.4">
      <c r="C10" s="28"/>
      <c r="D10" s="48"/>
      <c r="E10" s="30"/>
      <c r="F10" s="48"/>
      <c r="G10" s="49"/>
      <c r="H10" s="45"/>
      <c r="I10" s="50"/>
      <c r="J10" s="51"/>
      <c r="K10" s="30"/>
      <c r="L10" s="32"/>
    </row>
    <row r="11" spans="3:12" ht="16" thickBot="1" x14ac:dyDescent="0.4">
      <c r="C11" s="28"/>
      <c r="D11" s="52" t="s">
        <v>101</v>
      </c>
      <c r="E11" s="53">
        <f>F11/H11</f>
        <v>0.63591573224600739</v>
      </c>
      <c r="F11" s="54">
        <f>F9+F13</f>
        <v>6238.333333333333</v>
      </c>
      <c r="G11" s="55"/>
      <c r="H11" s="56">
        <f>H7+H14</f>
        <v>9810</v>
      </c>
      <c r="I11" s="55"/>
      <c r="J11" s="57">
        <f>J9+J13</f>
        <v>3571.666666666667</v>
      </c>
      <c r="K11" s="58">
        <f>J11/H11</f>
        <v>0.36408426775399255</v>
      </c>
      <c r="L11" s="59" t="s">
        <v>102</v>
      </c>
    </row>
    <row r="12" spans="3:12" ht="16" thickBot="1" x14ac:dyDescent="0.4">
      <c r="C12" s="206" t="s">
        <v>183</v>
      </c>
      <c r="D12" s="60"/>
      <c r="E12" s="61">
        <f>E9-E13</f>
        <v>-300</v>
      </c>
      <c r="F12" s="62">
        <f>F13/H11</f>
        <v>0.32560312606184166</v>
      </c>
      <c r="G12" s="49"/>
      <c r="H12" s="45"/>
      <c r="I12" s="50"/>
      <c r="J12" s="63">
        <f>J13/H11</f>
        <v>0.17439687393815836</v>
      </c>
      <c r="K12" s="30"/>
      <c r="L12" s="32"/>
    </row>
    <row r="13" spans="3:12" ht="16" thickBot="1" x14ac:dyDescent="0.4">
      <c r="C13" s="40" t="s">
        <v>103</v>
      </c>
      <c r="D13" s="64" t="s">
        <v>104</v>
      </c>
      <c r="E13" s="42">
        <f>F13-J13</f>
        <v>1483.333333333333</v>
      </c>
      <c r="F13" s="43">
        <f>'Simple  Calc'!J20</f>
        <v>3194.1666666666665</v>
      </c>
      <c r="G13" s="65" t="s">
        <v>105</v>
      </c>
      <c r="H13" s="66"/>
      <c r="I13" s="67" t="s">
        <v>106</v>
      </c>
      <c r="J13" s="68">
        <f>'Simple  Calc'!J21</f>
        <v>1710.8333333333335</v>
      </c>
      <c r="K13" s="30"/>
      <c r="L13" s="32"/>
    </row>
    <row r="14" spans="3:12" ht="16" thickBot="1" x14ac:dyDescent="0.4">
      <c r="C14" s="28"/>
      <c r="D14" s="69"/>
      <c r="E14" s="70" t="s">
        <v>107</v>
      </c>
      <c r="F14" s="71">
        <f>F13-F9</f>
        <v>150</v>
      </c>
      <c r="G14" s="34"/>
      <c r="H14" s="72">
        <f>F13+J13</f>
        <v>4905</v>
      </c>
      <c r="I14" s="34"/>
      <c r="J14" s="73">
        <f>J13-J9</f>
        <v>-150</v>
      </c>
      <c r="K14" s="74" t="s">
        <v>108</v>
      </c>
      <c r="L14" s="59"/>
    </row>
    <row r="15" spans="3:12" ht="16" thickBot="1" x14ac:dyDescent="0.4">
      <c r="C15" s="28"/>
      <c r="D15" s="48"/>
      <c r="E15" s="75" t="s">
        <v>109</v>
      </c>
      <c r="F15" s="76">
        <f>(F13+J9)/H11</f>
        <v>0.51529051987767582</v>
      </c>
      <c r="G15" s="30"/>
      <c r="H15" s="77" t="s">
        <v>110</v>
      </c>
      <c r="I15" s="30"/>
      <c r="J15" s="30"/>
      <c r="K15" s="30"/>
      <c r="L15" s="32"/>
    </row>
    <row r="16" spans="3:12" ht="16" thickBot="1" x14ac:dyDescent="0.4">
      <c r="C16" s="78"/>
      <c r="D16" s="69"/>
      <c r="E16" s="70" t="s">
        <v>111</v>
      </c>
      <c r="F16" s="79">
        <f>F13-J9</f>
        <v>1333.333333333333</v>
      </c>
      <c r="G16" s="80"/>
      <c r="H16" s="81">
        <f>H14/H11</f>
        <v>0.5</v>
      </c>
      <c r="I16" s="80"/>
      <c r="J16" s="80"/>
      <c r="K16" s="82"/>
      <c r="L16" s="83"/>
    </row>
    <row r="19" spans="5:10" x14ac:dyDescent="0.25">
      <c r="E19">
        <v>156</v>
      </c>
    </row>
    <row r="23" spans="5:10" x14ac:dyDescent="0.25">
      <c r="J23" s="1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J37"/>
  <sheetViews>
    <sheetView zoomScale="70" zoomScaleNormal="70" workbookViewId="0">
      <selection activeCell="F33" sqref="F33"/>
    </sheetView>
  </sheetViews>
  <sheetFormatPr defaultRowHeight="12.5" x14ac:dyDescent="0.25"/>
  <cols>
    <col min="2" max="2" width="7.26953125" customWidth="1"/>
    <col min="3" max="3" width="51.81640625" customWidth="1"/>
    <col min="4" max="4" width="15.1796875" customWidth="1"/>
    <col min="5" max="5" width="6.81640625" customWidth="1"/>
    <col min="6" max="6" width="40.7265625" customWidth="1"/>
    <col min="7" max="7" width="15.7265625" customWidth="1"/>
    <col min="8" max="8" width="7.81640625" customWidth="1"/>
    <col min="9" max="9" width="53.453125" customWidth="1"/>
    <col min="10" max="10" width="15.26953125" customWidth="1"/>
  </cols>
  <sheetData>
    <row r="1" spans="2:10" ht="18" thickBot="1" x14ac:dyDescent="0.4">
      <c r="C1" s="184" t="s">
        <v>79</v>
      </c>
      <c r="D1" s="185"/>
      <c r="F1" s="88"/>
      <c r="G1" s="12"/>
      <c r="H1" s="12"/>
    </row>
    <row r="2" spans="2:10" ht="13" thickBot="1" x14ac:dyDescent="0.3"/>
    <row r="3" spans="2:10" ht="16" thickBot="1" x14ac:dyDescent="0.4">
      <c r="B3" s="136" t="s">
        <v>12</v>
      </c>
      <c r="C3" s="137"/>
      <c r="D3" s="137"/>
      <c r="E3" s="137" t="s">
        <v>13</v>
      </c>
      <c r="F3" s="137"/>
      <c r="G3" s="137"/>
      <c r="H3" s="137" t="s">
        <v>15</v>
      </c>
      <c r="I3" s="137"/>
      <c r="J3" s="138"/>
    </row>
    <row r="4" spans="2:10" x14ac:dyDescent="0.25">
      <c r="B4" s="110" t="s">
        <v>58</v>
      </c>
      <c r="C4" s="162" t="s">
        <v>125</v>
      </c>
      <c r="D4" s="176"/>
      <c r="E4" s="156" t="s">
        <v>67</v>
      </c>
      <c r="F4" s="111" t="s">
        <v>46</v>
      </c>
      <c r="G4" s="176"/>
      <c r="H4" s="139" t="s">
        <v>43</v>
      </c>
      <c r="I4" s="112" t="s">
        <v>84</v>
      </c>
      <c r="J4" s="170"/>
    </row>
    <row r="5" spans="2:10" ht="12" customHeight="1" x14ac:dyDescent="0.25">
      <c r="B5" s="20" t="s">
        <v>59</v>
      </c>
      <c r="C5" s="163" t="s">
        <v>126</v>
      </c>
      <c r="D5" s="150"/>
      <c r="E5" s="121" t="s">
        <v>68</v>
      </c>
      <c r="F5" s="2" t="s">
        <v>2</v>
      </c>
      <c r="G5" s="150"/>
      <c r="H5" s="20" t="s">
        <v>23</v>
      </c>
      <c r="I5" s="2" t="s">
        <v>30</v>
      </c>
      <c r="J5" s="171"/>
    </row>
    <row r="6" spans="2:10" ht="16.5" customHeight="1" x14ac:dyDescent="0.25">
      <c r="B6" s="20" t="s">
        <v>60</v>
      </c>
      <c r="C6" s="163" t="s">
        <v>127</v>
      </c>
      <c r="D6" s="150"/>
      <c r="E6" s="121" t="s">
        <v>69</v>
      </c>
      <c r="F6" s="2" t="s">
        <v>48</v>
      </c>
      <c r="G6" s="150"/>
      <c r="H6" s="20" t="s">
        <v>24</v>
      </c>
      <c r="I6" s="2" t="s">
        <v>29</v>
      </c>
      <c r="J6" s="171"/>
    </row>
    <row r="7" spans="2:10" x14ac:dyDescent="0.25">
      <c r="B7" s="20" t="s">
        <v>37</v>
      </c>
      <c r="C7" s="163" t="s">
        <v>128</v>
      </c>
      <c r="D7" s="150"/>
      <c r="E7" s="121" t="s">
        <v>0</v>
      </c>
      <c r="F7" s="2" t="s">
        <v>47</v>
      </c>
      <c r="G7" s="150"/>
      <c r="H7" s="20" t="s">
        <v>27</v>
      </c>
      <c r="I7" s="2" t="s">
        <v>28</v>
      </c>
      <c r="J7" s="172"/>
    </row>
    <row r="8" spans="2:10" ht="13" x14ac:dyDescent="0.3">
      <c r="B8" s="20" t="s">
        <v>61</v>
      </c>
      <c r="C8" s="164" t="s">
        <v>50</v>
      </c>
      <c r="D8" s="150"/>
      <c r="E8" s="16" t="s">
        <v>7</v>
      </c>
      <c r="F8" s="2" t="s">
        <v>3</v>
      </c>
      <c r="G8" s="150"/>
      <c r="H8" s="140" t="s">
        <v>85</v>
      </c>
      <c r="I8" s="3" t="s">
        <v>93</v>
      </c>
      <c r="J8" s="173"/>
    </row>
    <row r="9" spans="2:10" x14ac:dyDescent="0.25">
      <c r="B9" s="20" t="s">
        <v>62</v>
      </c>
      <c r="C9" s="164" t="s">
        <v>51</v>
      </c>
      <c r="D9" s="150"/>
      <c r="E9" s="121" t="s">
        <v>6</v>
      </c>
      <c r="F9" s="2" t="s">
        <v>4</v>
      </c>
      <c r="G9" s="150"/>
      <c r="H9" s="20" t="s">
        <v>11</v>
      </c>
      <c r="I9" s="2" t="s">
        <v>31</v>
      </c>
      <c r="J9" s="172"/>
    </row>
    <row r="10" spans="2:10" x14ac:dyDescent="0.25">
      <c r="B10" s="20" t="s">
        <v>63</v>
      </c>
      <c r="C10" s="164" t="s">
        <v>52</v>
      </c>
      <c r="D10" s="150"/>
      <c r="E10" s="124" t="s">
        <v>137</v>
      </c>
      <c r="F10" s="107" t="s">
        <v>81</v>
      </c>
      <c r="G10" s="150"/>
      <c r="H10" s="114" t="s">
        <v>14</v>
      </c>
      <c r="I10" s="3" t="s">
        <v>32</v>
      </c>
      <c r="J10" s="172"/>
    </row>
    <row r="11" spans="2:10" x14ac:dyDescent="0.25">
      <c r="B11" s="20" t="s">
        <v>1</v>
      </c>
      <c r="C11" s="164" t="s">
        <v>53</v>
      </c>
      <c r="D11" s="150"/>
      <c r="E11" s="124" t="s">
        <v>80</v>
      </c>
      <c r="F11" s="107" t="s">
        <v>82</v>
      </c>
      <c r="G11" s="151"/>
      <c r="H11" s="20" t="s">
        <v>38</v>
      </c>
      <c r="I11" s="3" t="s">
        <v>113</v>
      </c>
      <c r="J11" s="172"/>
    </row>
    <row r="12" spans="2:10" x14ac:dyDescent="0.25">
      <c r="B12" s="20" t="s">
        <v>64</v>
      </c>
      <c r="C12" s="164" t="s">
        <v>54</v>
      </c>
      <c r="D12" s="179"/>
      <c r="E12" s="124" t="s">
        <v>136</v>
      </c>
      <c r="F12" s="108" t="s">
        <v>89</v>
      </c>
      <c r="G12" s="151"/>
      <c r="H12" s="20" t="s">
        <v>41</v>
      </c>
      <c r="I12" s="3" t="s">
        <v>114</v>
      </c>
      <c r="J12" s="172"/>
    </row>
    <row r="13" spans="2:10" x14ac:dyDescent="0.25">
      <c r="B13" s="20" t="s">
        <v>65</v>
      </c>
      <c r="C13" s="164" t="s">
        <v>55</v>
      </c>
      <c r="D13" s="150"/>
      <c r="E13" s="121" t="s">
        <v>72</v>
      </c>
      <c r="F13" s="2" t="s">
        <v>170</v>
      </c>
      <c r="G13" s="177"/>
      <c r="H13" s="20" t="s">
        <v>39</v>
      </c>
      <c r="I13" s="3" t="s">
        <v>115</v>
      </c>
      <c r="J13" s="172"/>
    </row>
    <row r="14" spans="2:10" x14ac:dyDescent="0.25">
      <c r="B14" s="20" t="s">
        <v>66</v>
      </c>
      <c r="C14" s="164" t="s">
        <v>56</v>
      </c>
      <c r="D14" s="150"/>
      <c r="E14" s="121" t="s">
        <v>73</v>
      </c>
      <c r="F14" s="2" t="s">
        <v>169</v>
      </c>
      <c r="G14" s="177"/>
      <c r="H14" s="20" t="s">
        <v>40</v>
      </c>
      <c r="I14" s="3" t="s">
        <v>116</v>
      </c>
      <c r="J14" s="172"/>
    </row>
    <row r="15" spans="2:10" x14ac:dyDescent="0.25">
      <c r="B15" s="20" t="s">
        <v>5</v>
      </c>
      <c r="C15" s="164" t="s">
        <v>57</v>
      </c>
      <c r="D15" s="150"/>
      <c r="E15" s="121" t="s">
        <v>121</v>
      </c>
      <c r="F15" s="2" t="s">
        <v>167</v>
      </c>
      <c r="G15" s="177"/>
      <c r="H15" s="20"/>
      <c r="I15" s="107" t="s">
        <v>117</v>
      </c>
      <c r="J15" s="109"/>
    </row>
    <row r="16" spans="2:10" x14ac:dyDescent="0.25">
      <c r="B16" s="20" t="s">
        <v>75</v>
      </c>
      <c r="C16" s="164" t="s">
        <v>49</v>
      </c>
      <c r="D16" s="150"/>
      <c r="E16" s="121" t="s">
        <v>122</v>
      </c>
      <c r="F16" s="2" t="s">
        <v>168</v>
      </c>
      <c r="G16" s="177"/>
      <c r="H16" s="20"/>
      <c r="I16" s="107" t="s">
        <v>118</v>
      </c>
      <c r="J16" s="109"/>
    </row>
    <row r="17" spans="2:10" x14ac:dyDescent="0.25">
      <c r="B17" s="20" t="s">
        <v>76</v>
      </c>
      <c r="C17" s="164" t="s">
        <v>157</v>
      </c>
      <c r="D17" s="150"/>
      <c r="E17" s="121" t="s">
        <v>160</v>
      </c>
      <c r="F17" s="2" t="s">
        <v>173</v>
      </c>
      <c r="G17" s="178"/>
      <c r="H17" s="20"/>
      <c r="I17" s="107" t="s">
        <v>119</v>
      </c>
      <c r="J17" s="171"/>
    </row>
    <row r="18" spans="2:10" x14ac:dyDescent="0.25">
      <c r="B18" s="20" t="s">
        <v>70</v>
      </c>
      <c r="C18" s="164" t="s">
        <v>158</v>
      </c>
      <c r="D18" s="150"/>
      <c r="E18" s="121" t="s">
        <v>161</v>
      </c>
      <c r="F18" s="2" t="s">
        <v>166</v>
      </c>
      <c r="G18" s="178"/>
      <c r="H18" s="20" t="s">
        <v>74</v>
      </c>
      <c r="I18" s="2" t="s">
        <v>33</v>
      </c>
      <c r="J18" s="171"/>
    </row>
    <row r="19" spans="2:10" x14ac:dyDescent="0.25">
      <c r="B19" s="20" t="s">
        <v>71</v>
      </c>
      <c r="C19" s="164" t="s">
        <v>159</v>
      </c>
      <c r="D19" s="150"/>
      <c r="E19" s="121" t="s">
        <v>162</v>
      </c>
      <c r="F19" s="2" t="s">
        <v>164</v>
      </c>
      <c r="G19" s="178"/>
      <c r="H19" s="114" t="s">
        <v>78</v>
      </c>
      <c r="I19" s="2" t="s">
        <v>34</v>
      </c>
      <c r="J19" s="171"/>
    </row>
    <row r="20" spans="2:10" x14ac:dyDescent="0.25">
      <c r="B20" s="130" t="s">
        <v>179</v>
      </c>
      <c r="C20" s="165" t="s">
        <v>174</v>
      </c>
      <c r="D20" s="150"/>
      <c r="E20" s="121" t="s">
        <v>163</v>
      </c>
      <c r="F20" s="2" t="s">
        <v>165</v>
      </c>
      <c r="G20" s="178"/>
      <c r="H20" s="114" t="s">
        <v>77</v>
      </c>
      <c r="I20" s="2" t="s">
        <v>35</v>
      </c>
      <c r="J20" s="171"/>
    </row>
    <row r="21" spans="2:10" x14ac:dyDescent="0.25">
      <c r="B21" s="130" t="s">
        <v>180</v>
      </c>
      <c r="C21" s="165" t="s">
        <v>175</v>
      </c>
      <c r="D21" s="150"/>
      <c r="E21" s="121" t="s">
        <v>18</v>
      </c>
      <c r="F21" s="3" t="s">
        <v>141</v>
      </c>
      <c r="G21" s="150"/>
      <c r="H21" s="20" t="s">
        <v>22</v>
      </c>
      <c r="I21" s="2" t="s">
        <v>36</v>
      </c>
      <c r="J21" s="171"/>
    </row>
    <row r="22" spans="2:10" x14ac:dyDescent="0.25">
      <c r="B22" s="130" t="s">
        <v>181</v>
      </c>
      <c r="C22" s="165" t="s">
        <v>176</v>
      </c>
      <c r="D22" s="150"/>
      <c r="E22" s="121" t="s">
        <v>19</v>
      </c>
      <c r="F22" s="2" t="s">
        <v>26</v>
      </c>
      <c r="G22" s="150"/>
      <c r="H22" s="20"/>
      <c r="I22" s="125" t="s">
        <v>156</v>
      </c>
      <c r="J22" s="174"/>
    </row>
    <row r="23" spans="2:10" ht="16.5" customHeight="1" x14ac:dyDescent="0.25">
      <c r="B23" s="130" t="s">
        <v>182</v>
      </c>
      <c r="C23" s="165" t="s">
        <v>177</v>
      </c>
      <c r="D23" s="150"/>
      <c r="E23" s="121" t="s">
        <v>20</v>
      </c>
      <c r="F23" s="2" t="s">
        <v>172</v>
      </c>
      <c r="G23" s="150"/>
      <c r="H23" s="20"/>
      <c r="I23" s="3" t="s">
        <v>151</v>
      </c>
      <c r="J23" s="150"/>
    </row>
    <row r="24" spans="2:10" x14ac:dyDescent="0.25">
      <c r="B24" s="20" t="s">
        <v>8</v>
      </c>
      <c r="C24" s="163" t="s">
        <v>150</v>
      </c>
      <c r="D24" s="150"/>
      <c r="E24" s="121" t="s">
        <v>21</v>
      </c>
      <c r="F24" s="2" t="s">
        <v>25</v>
      </c>
      <c r="G24" s="150"/>
      <c r="H24" s="20" t="s">
        <v>44</v>
      </c>
      <c r="I24" s="3" t="s">
        <v>152</v>
      </c>
      <c r="J24" s="171"/>
    </row>
    <row r="25" spans="2:10" ht="13" thickBot="1" x14ac:dyDescent="0.3">
      <c r="B25" s="20" t="s">
        <v>9</v>
      </c>
      <c r="C25" s="163" t="s">
        <v>148</v>
      </c>
      <c r="D25" s="150"/>
      <c r="E25" s="122" t="s">
        <v>45</v>
      </c>
      <c r="F25" s="21" t="s">
        <v>171</v>
      </c>
      <c r="G25" s="155"/>
      <c r="H25" s="114" t="s">
        <v>132</v>
      </c>
      <c r="I25" s="3" t="s">
        <v>153</v>
      </c>
      <c r="J25" s="171"/>
    </row>
    <row r="26" spans="2:10" x14ac:dyDescent="0.25">
      <c r="B26" s="20" t="s">
        <v>10</v>
      </c>
      <c r="C26" s="163" t="s">
        <v>149</v>
      </c>
      <c r="D26" s="150"/>
      <c r="E26" s="12"/>
      <c r="F26" s="12"/>
      <c r="G26" s="127"/>
      <c r="H26" s="114" t="s">
        <v>131</v>
      </c>
      <c r="I26" s="3" t="s">
        <v>154</v>
      </c>
      <c r="J26" s="171"/>
    </row>
    <row r="27" spans="2:10" ht="16" thickBot="1" x14ac:dyDescent="0.4">
      <c r="B27" s="106" t="s">
        <v>95</v>
      </c>
      <c r="C27" s="166" t="s">
        <v>142</v>
      </c>
      <c r="D27" s="150"/>
      <c r="E27" s="12"/>
      <c r="F27" s="128"/>
      <c r="G27" s="127"/>
      <c r="H27" s="145" t="s">
        <v>130</v>
      </c>
      <c r="I27" s="146" t="s">
        <v>155</v>
      </c>
      <c r="J27" s="175"/>
    </row>
    <row r="28" spans="2:10" x14ac:dyDescent="0.25">
      <c r="B28" s="182" t="s">
        <v>94</v>
      </c>
      <c r="C28" s="166" t="s">
        <v>143</v>
      </c>
      <c r="D28" s="150"/>
      <c r="E28" s="12"/>
      <c r="F28" s="12"/>
      <c r="G28" s="127"/>
      <c r="H28" s="5"/>
      <c r="I28" s="5"/>
      <c r="J28" s="123"/>
    </row>
    <row r="29" spans="2:10" x14ac:dyDescent="0.25">
      <c r="B29" s="114" t="s">
        <v>124</v>
      </c>
      <c r="C29" s="163" t="s">
        <v>144</v>
      </c>
      <c r="D29" s="150"/>
      <c r="E29" s="12"/>
      <c r="F29" s="12"/>
      <c r="G29" s="12"/>
      <c r="H29" s="5"/>
      <c r="I29" s="5"/>
      <c r="J29" s="5"/>
    </row>
    <row r="30" spans="2:10" ht="14" x14ac:dyDescent="0.3">
      <c r="B30" s="20" t="s">
        <v>42</v>
      </c>
      <c r="C30" s="163" t="s">
        <v>145</v>
      </c>
      <c r="D30" s="180"/>
      <c r="E30" s="12"/>
      <c r="F30" s="12"/>
      <c r="G30" s="120"/>
      <c r="H30" s="6"/>
      <c r="I30" s="6"/>
    </row>
    <row r="31" spans="2:10" ht="14.5" x14ac:dyDescent="0.35">
      <c r="B31" s="20" t="s">
        <v>16</v>
      </c>
      <c r="C31" s="163" t="s">
        <v>146</v>
      </c>
      <c r="D31" s="150"/>
      <c r="E31" s="12"/>
      <c r="F31" s="12"/>
      <c r="G31" s="120"/>
      <c r="H31" s="7"/>
      <c r="I31" s="6"/>
    </row>
    <row r="32" spans="2:10" ht="15" thickBot="1" x14ac:dyDescent="0.3">
      <c r="B32" s="113" t="s">
        <v>17</v>
      </c>
      <c r="C32" s="167" t="s">
        <v>147</v>
      </c>
      <c r="D32" s="181"/>
      <c r="E32" s="12"/>
      <c r="F32" s="119" t="s">
        <v>140</v>
      </c>
      <c r="G32" s="12"/>
    </row>
    <row r="33" spans="2:7" ht="17" x14ac:dyDescent="0.25">
      <c r="E33" s="12"/>
      <c r="F33" s="129"/>
      <c r="G33" s="12"/>
    </row>
    <row r="34" spans="2:7" x14ac:dyDescent="0.25">
      <c r="E34" s="12"/>
      <c r="F34" s="12"/>
      <c r="G34" s="12"/>
    </row>
    <row r="35" spans="2:7" x14ac:dyDescent="0.25">
      <c r="B35" s="15"/>
    </row>
    <row r="36" spans="2:7" x14ac:dyDescent="0.25">
      <c r="B36" s="12"/>
      <c r="C36" s="88"/>
      <c r="D36" s="12"/>
    </row>
    <row r="37" spans="2:7" x14ac:dyDescent="0.25">
      <c r="B37" s="12"/>
      <c r="C37" s="88"/>
      <c r="D37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Example Calc </vt:lpstr>
      <vt:lpstr>Example Calc  (No Formulae)</vt:lpstr>
      <vt:lpstr>Example  Calc Load Splits </vt:lpstr>
      <vt:lpstr>Simple  Calc</vt:lpstr>
      <vt:lpstr>Simple Calc  No Formulae </vt:lpstr>
      <vt:lpstr>Simple  Calc Load Splits</vt:lpstr>
      <vt:lpstr>Blank WT Structure</vt:lpstr>
    </vt:vector>
  </TitlesOfParts>
  <Company>Swansea Institute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Dowden</dc:creator>
  <cp:lastModifiedBy>Roger</cp:lastModifiedBy>
  <cp:lastPrinted>2011-02-13T19:11:45Z</cp:lastPrinted>
  <dcterms:created xsi:type="dcterms:W3CDTF">2008-02-09T17:39:24Z</dcterms:created>
  <dcterms:modified xsi:type="dcterms:W3CDTF">2018-05-21T05:46:38Z</dcterms:modified>
</cp:coreProperties>
</file>