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13"/>
  <workbookPr defaultThemeVersion="124226"/>
  <mc:AlternateContent xmlns:mc="http://schemas.openxmlformats.org/markup-compatibility/2006">
    <mc:Choice Requires="x15">
      <x15ac:absPath xmlns:x15ac="http://schemas.microsoft.com/office/spreadsheetml/2010/11/ac" url="/Users/danieldavies1/Desktop/Daniel Davies_(1801345) _Exam_ 4:5:"/>
    </mc:Choice>
  </mc:AlternateContent>
  <xr:revisionPtr revIDLastSave="0" documentId="13_ncr:1_{6D5AF601-2AAA-5046-A9F2-6654CEAA6801}" xr6:coauthVersionLast="45" xr6:coauthVersionMax="45" xr10:uidLastSave="{00000000-0000-0000-0000-000000000000}"/>
  <bookViews>
    <workbookView xWindow="-600" yWindow="460" windowWidth="20880" windowHeight="19760" activeTab="6" xr2:uid="{00000000-000D-0000-FFFF-FFFF00000000}"/>
  </bookViews>
  <sheets>
    <sheet name="EXAM Q1" sheetId="7" r:id="rId1"/>
    <sheet name="EXAM Q2" sheetId="9" r:id="rId2"/>
    <sheet name="EXAM Q3" sheetId="10" r:id="rId3"/>
    <sheet name="EXAM Q4" sheetId="11" r:id="rId4"/>
    <sheet name="EXAM Q5" sheetId="12" r:id="rId5"/>
    <sheet name="EXAM Q6" sheetId="13" r:id="rId6"/>
    <sheet name="EXAM Q6,ii" sheetId="14" r:id="rId7"/>
    <sheet name="Spring Rate Conversion" sheetId="2" r:id="rId8"/>
    <sheet name="Load Spliits" sheetId="8" r:id="rId9"/>
  </sheets>
  <definedNames>
    <definedName name="Left_front__corner_sprung_mass__kg" comment="FL" localSheetId="0">#REF!</definedName>
    <definedName name="Left_front__corner_sprung_mass__kg" comment="FL" localSheetId="1">#REF!</definedName>
    <definedName name="Left_front__corner_sprung_mass__kg" comment="FL" localSheetId="2">#REF!</definedName>
    <definedName name="Left_front__corner_sprung_mass__kg" comment="FL" localSheetId="3">#REF!</definedName>
    <definedName name="Left_front__corner_sprung_mass__kg" comment="FL" localSheetId="4">#REF!</definedName>
    <definedName name="Left_front__corner_sprung_mass__kg" comment="FL" localSheetId="5">#REF!</definedName>
    <definedName name="Left_front__corner_sprung_mass__kg" comment="FL" localSheetId="6">#REF!</definedName>
    <definedName name="Left_front__corner_sprung_mass__kg" comment="FL">#REF!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3" i="14" l="1"/>
  <c r="G24" i="14"/>
  <c r="G16" i="14"/>
  <c r="G20" i="14" s="1"/>
  <c r="J15" i="14"/>
  <c r="G15" i="14"/>
  <c r="G19" i="14" s="1"/>
  <c r="J14" i="14"/>
  <c r="G14" i="14"/>
  <c r="G18" i="14" s="1"/>
  <c r="G13" i="14"/>
  <c r="G17" i="14" s="1"/>
  <c r="G21" i="14" s="1"/>
  <c r="J4" i="14" s="1"/>
  <c r="G12" i="14"/>
  <c r="G7" i="14"/>
  <c r="G6" i="14"/>
  <c r="G9" i="14" s="1"/>
  <c r="G5" i="14"/>
  <c r="G4" i="14"/>
  <c r="G8" i="14" s="1"/>
  <c r="G24" i="13"/>
  <c r="G16" i="13"/>
  <c r="G20" i="13" s="1"/>
  <c r="J15" i="13"/>
  <c r="G15" i="13"/>
  <c r="G19" i="13" s="1"/>
  <c r="J14" i="13"/>
  <c r="G14" i="13"/>
  <c r="G18" i="13" s="1"/>
  <c r="G13" i="13"/>
  <c r="G17" i="13" s="1"/>
  <c r="G21" i="13" s="1"/>
  <c r="J4" i="13" s="1"/>
  <c r="G12" i="13"/>
  <c r="G7" i="13"/>
  <c r="G6" i="13"/>
  <c r="G5" i="13"/>
  <c r="G4" i="13"/>
  <c r="G24" i="12"/>
  <c r="G16" i="12"/>
  <c r="G20" i="12" s="1"/>
  <c r="J15" i="12"/>
  <c r="G15" i="12"/>
  <c r="G19" i="12" s="1"/>
  <c r="J14" i="12"/>
  <c r="G14" i="12"/>
  <c r="G18" i="12" s="1"/>
  <c r="G13" i="12"/>
  <c r="G17" i="12" s="1"/>
  <c r="G12" i="12"/>
  <c r="G7" i="12"/>
  <c r="G6" i="12"/>
  <c r="G9" i="12" s="1"/>
  <c r="G5" i="12"/>
  <c r="G4" i="12"/>
  <c r="G8" i="12" s="1"/>
  <c r="G24" i="11"/>
  <c r="G16" i="11"/>
  <c r="G20" i="11" s="1"/>
  <c r="J15" i="11"/>
  <c r="G15" i="11"/>
  <c r="G19" i="11" s="1"/>
  <c r="J14" i="11"/>
  <c r="G14" i="11"/>
  <c r="G18" i="11" s="1"/>
  <c r="G13" i="11"/>
  <c r="G17" i="11" s="1"/>
  <c r="G21" i="11" s="1"/>
  <c r="J4" i="11" s="1"/>
  <c r="G12" i="11"/>
  <c r="G7" i="11"/>
  <c r="G6" i="11"/>
  <c r="G9" i="11" s="1"/>
  <c r="G5" i="11"/>
  <c r="G4" i="11"/>
  <c r="G8" i="11" s="1"/>
  <c r="G24" i="10"/>
  <c r="G16" i="10"/>
  <c r="G20" i="10" s="1"/>
  <c r="J15" i="10"/>
  <c r="G15" i="10"/>
  <c r="G19" i="10" s="1"/>
  <c r="G22" i="10" s="1"/>
  <c r="J5" i="10" s="1"/>
  <c r="J14" i="10"/>
  <c r="G14" i="10"/>
  <c r="G18" i="10" s="1"/>
  <c r="G13" i="10"/>
  <c r="G17" i="10" s="1"/>
  <c r="G12" i="10"/>
  <c r="G7" i="10"/>
  <c r="G6" i="10"/>
  <c r="G9" i="10" s="1"/>
  <c r="G5" i="10"/>
  <c r="G4" i="10"/>
  <c r="G8" i="10" s="1"/>
  <c r="G24" i="9"/>
  <c r="G16" i="9"/>
  <c r="G20" i="9" s="1"/>
  <c r="J15" i="9"/>
  <c r="G15" i="9"/>
  <c r="G19" i="9" s="1"/>
  <c r="J14" i="9"/>
  <c r="G14" i="9"/>
  <c r="G18" i="9" s="1"/>
  <c r="G13" i="9"/>
  <c r="G17" i="9" s="1"/>
  <c r="G12" i="9"/>
  <c r="G7" i="9"/>
  <c r="G6" i="9"/>
  <c r="G5" i="9"/>
  <c r="G4" i="9"/>
  <c r="J32" i="7"/>
  <c r="J31" i="7"/>
  <c r="J30" i="7"/>
  <c r="J29" i="7"/>
  <c r="J12" i="14" l="1"/>
  <c r="G10" i="14"/>
  <c r="G22" i="14"/>
  <c r="J5" i="14" s="1"/>
  <c r="J6" i="14" s="1"/>
  <c r="G23" i="14"/>
  <c r="G25" i="14" s="1"/>
  <c r="J13" i="14"/>
  <c r="G9" i="13"/>
  <c r="J13" i="13" s="1"/>
  <c r="G8" i="13"/>
  <c r="J12" i="13" s="1"/>
  <c r="G22" i="13"/>
  <c r="J5" i="13" s="1"/>
  <c r="J6" i="13" s="1"/>
  <c r="G22" i="12"/>
  <c r="J5" i="12" s="1"/>
  <c r="G21" i="12"/>
  <c r="J4" i="12" s="1"/>
  <c r="J12" i="12"/>
  <c r="G10" i="12"/>
  <c r="G23" i="12"/>
  <c r="G25" i="12" s="1"/>
  <c r="J13" i="12"/>
  <c r="G22" i="11"/>
  <c r="J5" i="11" s="1"/>
  <c r="J6" i="11" s="1"/>
  <c r="J12" i="11"/>
  <c r="G10" i="11"/>
  <c r="G23" i="11"/>
  <c r="G25" i="11" s="1"/>
  <c r="J13" i="11"/>
  <c r="G21" i="10"/>
  <c r="J4" i="10" s="1"/>
  <c r="J6" i="10" s="1"/>
  <c r="J12" i="10"/>
  <c r="G10" i="10"/>
  <c r="G23" i="10" s="1"/>
  <c r="G25" i="10" s="1"/>
  <c r="J13" i="10"/>
  <c r="G9" i="9"/>
  <c r="J13" i="9" s="1"/>
  <c r="G8" i="9"/>
  <c r="J12" i="9" s="1"/>
  <c r="G22" i="9"/>
  <c r="J5" i="9" s="1"/>
  <c r="G21" i="9"/>
  <c r="J4" i="9" s="1"/>
  <c r="G13" i="7"/>
  <c r="G27" i="14" l="1"/>
  <c r="J7" i="14" s="1"/>
  <c r="J8" i="14" s="1"/>
  <c r="G26" i="14"/>
  <c r="G11" i="14"/>
  <c r="G10" i="13"/>
  <c r="G23" i="13" s="1"/>
  <c r="G25" i="13" s="1"/>
  <c r="G27" i="13" s="1"/>
  <c r="J7" i="13" s="1"/>
  <c r="J8" i="13" s="1"/>
  <c r="J6" i="12"/>
  <c r="G27" i="12"/>
  <c r="G26" i="12"/>
  <c r="G11" i="12"/>
  <c r="J7" i="12"/>
  <c r="G27" i="11"/>
  <c r="G26" i="11"/>
  <c r="G11" i="11"/>
  <c r="J7" i="11"/>
  <c r="J8" i="11" s="1"/>
  <c r="G27" i="10"/>
  <c r="J7" i="10" s="1"/>
  <c r="J8" i="10" s="1"/>
  <c r="G26" i="10"/>
  <c r="G11" i="10"/>
  <c r="G10" i="9"/>
  <c r="G23" i="9" s="1"/>
  <c r="G25" i="9" s="1"/>
  <c r="G27" i="9" s="1"/>
  <c r="J7" i="9" s="1"/>
  <c r="J6" i="9"/>
  <c r="G22" i="7"/>
  <c r="J7" i="7"/>
  <c r="J9" i="14" l="1"/>
  <c r="J16" i="14" s="1"/>
  <c r="J10" i="14"/>
  <c r="J17" i="14" s="1"/>
  <c r="K8" i="14"/>
  <c r="J24" i="14"/>
  <c r="J27" i="14"/>
  <c r="G11" i="13"/>
  <c r="G26" i="13"/>
  <c r="J10" i="13"/>
  <c r="J17" i="13" s="1"/>
  <c r="J9" i="13"/>
  <c r="J16" i="13" s="1"/>
  <c r="K8" i="13"/>
  <c r="J24" i="13"/>
  <c r="J27" i="13"/>
  <c r="J8" i="12"/>
  <c r="J10" i="12" s="1"/>
  <c r="J17" i="12" s="1"/>
  <c r="J27" i="12"/>
  <c r="J24" i="12"/>
  <c r="J9" i="11"/>
  <c r="J16" i="11" s="1"/>
  <c r="J10" i="11"/>
  <c r="J17" i="11" s="1"/>
  <c r="K8" i="11"/>
  <c r="J24" i="11"/>
  <c r="J27" i="11"/>
  <c r="K8" i="10"/>
  <c r="J9" i="10"/>
  <c r="J16" i="10" s="1"/>
  <c r="J10" i="10"/>
  <c r="J17" i="10" s="1"/>
  <c r="J24" i="10"/>
  <c r="J27" i="10"/>
  <c r="J8" i="9"/>
  <c r="J10" i="9" s="1"/>
  <c r="J17" i="9" s="1"/>
  <c r="G11" i="9"/>
  <c r="J24" i="9" s="1"/>
  <c r="G26" i="9"/>
  <c r="G4" i="7"/>
  <c r="J22" i="14" l="1"/>
  <c r="J21" i="14"/>
  <c r="J20" i="14"/>
  <c r="J19" i="14"/>
  <c r="J18" i="14"/>
  <c r="J32" i="14" s="1"/>
  <c r="J20" i="13"/>
  <c r="J19" i="13"/>
  <c r="J18" i="13"/>
  <c r="J32" i="13" s="1"/>
  <c r="J22" i="13"/>
  <c r="J21" i="13"/>
  <c r="K8" i="12"/>
  <c r="J9" i="12"/>
  <c r="J16" i="12" s="1"/>
  <c r="J19" i="12" s="1"/>
  <c r="J22" i="12"/>
  <c r="J21" i="12"/>
  <c r="J22" i="11"/>
  <c r="J21" i="11"/>
  <c r="J20" i="11"/>
  <c r="J19" i="11"/>
  <c r="J18" i="11"/>
  <c r="J32" i="11" s="1"/>
  <c r="J22" i="10"/>
  <c r="J21" i="10"/>
  <c r="J30" i="10" s="1"/>
  <c r="J20" i="10"/>
  <c r="J19" i="10"/>
  <c r="J18" i="10"/>
  <c r="J32" i="10" s="1"/>
  <c r="J9" i="9"/>
  <c r="J16" i="9" s="1"/>
  <c r="J19" i="9" s="1"/>
  <c r="K8" i="9"/>
  <c r="J27" i="9"/>
  <c r="J22" i="9"/>
  <c r="J21" i="9"/>
  <c r="G24" i="7"/>
  <c r="J23" i="14" l="1"/>
  <c r="J29" i="14"/>
  <c r="J30" i="14"/>
  <c r="J30" i="13"/>
  <c r="J23" i="13"/>
  <c r="J29" i="13"/>
  <c r="J31" i="13" s="1"/>
  <c r="J20" i="12"/>
  <c r="J29" i="12" s="1"/>
  <c r="J18" i="12"/>
  <c r="J32" i="12" s="1"/>
  <c r="J30" i="12"/>
  <c r="J30" i="11"/>
  <c r="J23" i="11"/>
  <c r="J29" i="11"/>
  <c r="J23" i="10"/>
  <c r="J29" i="10"/>
  <c r="J31" i="10" s="1"/>
  <c r="J20" i="9"/>
  <c r="J23" i="9" s="1"/>
  <c r="J18" i="9"/>
  <c r="J32" i="9" s="1"/>
  <c r="J30" i="9"/>
  <c r="J15" i="7"/>
  <c r="J14" i="7"/>
  <c r="J31" i="14" l="1"/>
  <c r="J23" i="12"/>
  <c r="J31" i="12"/>
  <c r="J31" i="11"/>
  <c r="J29" i="9"/>
  <c r="J31" i="9" s="1"/>
  <c r="G17" i="7"/>
  <c r="G21" i="7" s="1"/>
  <c r="G16" i="7"/>
  <c r="G20" i="7" s="1"/>
  <c r="G15" i="7"/>
  <c r="G19" i="7" s="1"/>
  <c r="G14" i="7"/>
  <c r="G18" i="7" s="1"/>
  <c r="G12" i="7"/>
  <c r="G7" i="7"/>
  <c r="G6" i="7"/>
  <c r="G5" i="7"/>
  <c r="G8" i="7" l="1"/>
  <c r="J12" i="7" s="1"/>
  <c r="J5" i="7"/>
  <c r="J4" i="7"/>
  <c r="G9" i="7"/>
  <c r="J13" i="7" s="1"/>
  <c r="G10" i="7" l="1"/>
  <c r="G23" i="7" s="1"/>
  <c r="G25" i="7" s="1"/>
  <c r="J6" i="7"/>
  <c r="G11" i="7" l="1"/>
  <c r="G27" i="7"/>
  <c r="J8" i="7" s="1"/>
  <c r="G26" i="7"/>
  <c r="J24" i="7"/>
  <c r="J27" i="7"/>
  <c r="K8" i="7" l="1"/>
  <c r="J10" i="7"/>
  <c r="J17" i="7" s="1"/>
  <c r="J9" i="7"/>
  <c r="J16" i="7" s="1"/>
  <c r="J20" i="7" s="1"/>
  <c r="J9" i="8" s="1"/>
  <c r="J19" i="7" l="1"/>
  <c r="F9" i="8" s="1"/>
  <c r="H7" i="8" s="1"/>
  <c r="J18" i="7"/>
  <c r="J22" i="7"/>
  <c r="J13" i="8" s="1"/>
  <c r="J14" i="8" s="1"/>
  <c r="J21" i="7"/>
  <c r="F13" i="8" s="1"/>
  <c r="F16" i="8" s="1"/>
  <c r="E9" i="8" l="1"/>
  <c r="J11" i="8"/>
  <c r="F11" i="8"/>
  <c r="J23" i="7"/>
  <c r="F14" i="8"/>
  <c r="H14" i="8"/>
  <c r="H11" i="8" s="1"/>
  <c r="H5" i="8" s="1"/>
  <c r="E13" i="8"/>
  <c r="E12" i="8" l="1"/>
  <c r="J12" i="8"/>
  <c r="E11" i="8"/>
  <c r="K11" i="8"/>
  <c r="F8" i="8"/>
  <c r="H16" i="8"/>
  <c r="F12" i="8"/>
  <c r="F15" i="8"/>
  <c r="J8" i="8"/>
</calcChain>
</file>

<file path=xl/sharedStrings.xml><?xml version="1.0" encoding="utf-8"?>
<sst xmlns="http://schemas.openxmlformats.org/spreadsheetml/2006/main" count="1057" uniqueCount="179">
  <si>
    <t>Ms rr</t>
  </si>
  <si>
    <t>M rr</t>
  </si>
  <si>
    <t>Front Right corner sprung mass [kg]</t>
  </si>
  <si>
    <t>Spring Rate Conversions</t>
  </si>
  <si>
    <t>kg/mm to N/m</t>
  </si>
  <si>
    <t>lb/in to N/mm</t>
  </si>
  <si>
    <t>lb/in to N/m</t>
  </si>
  <si>
    <t>lb/in to kg/mm</t>
  </si>
  <si>
    <t>N/mm to kg/mm</t>
  </si>
  <si>
    <t>N/mm to lb/in</t>
  </si>
  <si>
    <t>N/mm to N/m</t>
  </si>
  <si>
    <t>N/m to N/mm</t>
  </si>
  <si>
    <t>N/m to kg/mm</t>
  </si>
  <si>
    <t>N/m to lb/in</t>
  </si>
  <si>
    <t>N/mm</t>
  </si>
  <si>
    <t>N/m</t>
  </si>
  <si>
    <t>kg/mm</t>
  </si>
  <si>
    <t>lb/in</t>
  </si>
  <si>
    <r>
      <rPr>
        <sz val="10"/>
        <color indexed="10"/>
        <rFont val="Verdana"/>
        <family val="2"/>
      </rPr>
      <t>By Warren Rowley</t>
    </r>
    <r>
      <rPr>
        <sz val="10"/>
        <color indexed="8"/>
        <rFont val="Verdana"/>
        <family val="2"/>
      </rPr>
      <t xml:space="preserve"> </t>
    </r>
  </si>
  <si>
    <t>Total front sprung mass [kg]</t>
  </si>
  <si>
    <t>Total rear sprung mass  [kg]</t>
  </si>
  <si>
    <t>Mus rr</t>
  </si>
  <si>
    <t>Ms r</t>
  </si>
  <si>
    <t>Ms f</t>
  </si>
  <si>
    <t xml:space="preserve">Rear track </t>
  </si>
  <si>
    <t>Tf</t>
  </si>
  <si>
    <t>Tr</t>
  </si>
  <si>
    <t xml:space="preserve">Wheel base  </t>
  </si>
  <si>
    <t xml:space="preserve">L </t>
  </si>
  <si>
    <t>WTsf</t>
  </si>
  <si>
    <t>Measured Suspension  Data</t>
  </si>
  <si>
    <t xml:space="preserve">Calculated Suspension Data </t>
  </si>
  <si>
    <t>WTsr</t>
  </si>
  <si>
    <t xml:space="preserve">Results </t>
  </si>
  <si>
    <t xml:space="preserve">hf </t>
  </si>
  <si>
    <t xml:space="preserve">hr </t>
  </si>
  <si>
    <t>b</t>
  </si>
  <si>
    <t>hr -hf</t>
  </si>
  <si>
    <t>z</t>
  </si>
  <si>
    <t>z+hf</t>
  </si>
  <si>
    <t>Fz rr</t>
  </si>
  <si>
    <t>Kϕr</t>
  </si>
  <si>
    <t>Kϕt</t>
  </si>
  <si>
    <t>Depth  of triangle at CG [m]</t>
  </si>
  <si>
    <t>Height of roll axis at CG [m]</t>
  </si>
  <si>
    <t>Height of CG above roll axis [m]</t>
  </si>
  <si>
    <t>Rear -Front RC Height [m]</t>
  </si>
  <si>
    <t>Mot</t>
  </si>
  <si>
    <t>Overturning moment [Nm]</t>
  </si>
  <si>
    <t>Total Roll Stiffness [Nm/rad]</t>
  </si>
  <si>
    <t>Rear Roll Stiffness [Nm/rad]</t>
  </si>
  <si>
    <t>Front weight transfer due to spung mass [N]</t>
  </si>
  <si>
    <t>Rear  weight transfer due to spung mass [N]</t>
  </si>
  <si>
    <t>Left front  vertical force [N]</t>
  </si>
  <si>
    <t>Rear Left vertical force [N]</t>
  </si>
  <si>
    <t>Rear Right  vertical force [N]</t>
  </si>
  <si>
    <t>MR rr</t>
  </si>
  <si>
    <t>WTsrcf</t>
  </si>
  <si>
    <t>Wtusf</t>
  </si>
  <si>
    <t>Wtusr</t>
  </si>
  <si>
    <t>WTsrcr</t>
  </si>
  <si>
    <t xml:space="preserve">Hs </t>
  </si>
  <si>
    <t xml:space="preserve">Height of CG of sprung mass  above ground </t>
  </si>
  <si>
    <t xml:space="preserve">Height of CG of total mass above ground </t>
  </si>
  <si>
    <t>Kϕf</t>
  </si>
  <si>
    <t xml:space="preserve">WT </t>
  </si>
  <si>
    <t xml:space="preserve">Total WT calculated for 'solid' car </t>
  </si>
  <si>
    <t>Hsra</t>
  </si>
  <si>
    <t>Front Left   corner sprung mass [kg]</t>
  </si>
  <si>
    <t>Rear Right corner sprung  mass [kg]</t>
  </si>
  <si>
    <t>Rear Left   corner sprung mass [kg]</t>
  </si>
  <si>
    <t>Front Left Spring rate [N/mm]</t>
  </si>
  <si>
    <t>Front Right rspring rate [N/mm]</t>
  </si>
  <si>
    <t>Rear Left  Spring rate [N/mm]</t>
  </si>
  <si>
    <t>Rear Right  Spring Rate [N/mm]</t>
  </si>
  <si>
    <t>Front Left   wheel rate  [N/mm]</t>
  </si>
  <si>
    <t>Front Left total measured static corner mass [kg]</t>
  </si>
  <si>
    <t>Front Right  measured static corner mass [kg]</t>
  </si>
  <si>
    <t>Rear Left  total measured static corner mass [kg]</t>
  </si>
  <si>
    <t>Rear Right   total measured static corner mass [kg]</t>
  </si>
  <si>
    <t>Front Left  unsprung mass  [kg]</t>
  </si>
  <si>
    <t>Front Right total unsprung mass  [kg]</t>
  </si>
  <si>
    <t>Rear Left unsprung mass  [kg]</t>
  </si>
  <si>
    <t>Rear Right unsprung mass  [kg]</t>
  </si>
  <si>
    <t>MR fl</t>
  </si>
  <si>
    <t>MR fr</t>
  </si>
  <si>
    <t>MR rl</t>
  </si>
  <si>
    <t>M fl</t>
  </si>
  <si>
    <t>M fr</t>
  </si>
  <si>
    <t>M rl</t>
  </si>
  <si>
    <t>Mus fl</t>
  </si>
  <si>
    <t>Mus fr</t>
  </si>
  <si>
    <t>Mus rl</t>
  </si>
  <si>
    <t>Ms fl</t>
  </si>
  <si>
    <t>Ms fr</t>
  </si>
  <si>
    <t>Ms rl</t>
  </si>
  <si>
    <t>Ks rl</t>
  </si>
  <si>
    <t>Ks rr</t>
  </si>
  <si>
    <t>Kw fl</t>
  </si>
  <si>
    <t>Kw fr</t>
  </si>
  <si>
    <t>Front Right wheel rate  [N/mm]</t>
  </si>
  <si>
    <t>Fz fl</t>
  </si>
  <si>
    <t xml:space="preserve">Ks fl  </t>
  </si>
  <si>
    <t xml:space="preserve">Ks fr </t>
  </si>
  <si>
    <t>Front Left Spring rate [lb/in]</t>
  </si>
  <si>
    <t>Front Right Spring rate [lb/in]</t>
  </si>
  <si>
    <t>Rear Left   Spring rate [lb/in]</t>
  </si>
  <si>
    <t>Rear Right  Spring rate [lb/in]</t>
  </si>
  <si>
    <t>Fz rl</t>
  </si>
  <si>
    <t>Ks fl</t>
  </si>
  <si>
    <t>Ks fr</t>
  </si>
  <si>
    <t>Fz fr</t>
  </si>
  <si>
    <t xml:space="preserve">Lateral Acceleration </t>
  </si>
  <si>
    <t>Mtot</t>
  </si>
  <si>
    <t>distance of cg of sprung mass from front axle [m]</t>
  </si>
  <si>
    <t xml:space="preserve">Total  sprung mass </t>
  </si>
  <si>
    <t xml:space="preserve">Total Mass </t>
  </si>
  <si>
    <t>Mstot</t>
  </si>
  <si>
    <t>Front Roll Stiffness [Nm/rad]</t>
  </si>
  <si>
    <t>ϕ</t>
  </si>
  <si>
    <t>Mustot</t>
  </si>
  <si>
    <t>Total unsprung mass</t>
  </si>
  <si>
    <t>deg</t>
  </si>
  <si>
    <t>Roll angle  (Radians)</t>
  </si>
  <si>
    <t>Rolling  Radius front</t>
  </si>
  <si>
    <t>Rrr</t>
  </si>
  <si>
    <t>Rrf</t>
  </si>
  <si>
    <t>Rolling Radius rear</t>
  </si>
  <si>
    <t>LF+RF</t>
  </si>
  <si>
    <t>LF</t>
  </si>
  <si>
    <t>RF</t>
  </si>
  <si>
    <t xml:space="preserve">Front Split </t>
  </si>
  <si>
    <t xml:space="preserve">LF-RF </t>
  </si>
  <si>
    <t>LF+LR</t>
  </si>
  <si>
    <t xml:space="preserve">   RF+RR</t>
  </si>
  <si>
    <t xml:space="preserve"> (LR-RR) -</t>
  </si>
  <si>
    <t xml:space="preserve">(LF-RF) </t>
  </si>
  <si>
    <t xml:space="preserve">Rear Split </t>
  </si>
  <si>
    <t xml:space="preserve">LR-RR </t>
  </si>
  <si>
    <t>LR</t>
  </si>
  <si>
    <t>RR</t>
  </si>
  <si>
    <t>LR-LF Split</t>
  </si>
  <si>
    <t>RR-RF Split</t>
  </si>
  <si>
    <t>Wedge</t>
  </si>
  <si>
    <t>LR+RR</t>
  </si>
  <si>
    <t>LR-RF Split</t>
  </si>
  <si>
    <t xml:space="preserve">Wheel load distribution </t>
  </si>
  <si>
    <t>Front WT due to sprung mass at RC Height</t>
  </si>
  <si>
    <t>Rear WT due to sprung mass at RC Height</t>
  </si>
  <si>
    <t>Front WT due to Unsprung mass at wheel centre height</t>
  </si>
  <si>
    <t>Rear WT due to Unsprung mass at wheel centre height</t>
  </si>
  <si>
    <t xml:space="preserve">Total front WT </t>
  </si>
  <si>
    <t>Total Rear WT</t>
  </si>
  <si>
    <t xml:space="preserve">Total wheel loads  by individual wheel load check </t>
  </si>
  <si>
    <t xml:space="preserve">Total  wheel load  by static corner weight check </t>
  </si>
  <si>
    <t>Rear Left Wheel Rate [N/mm]</t>
  </si>
  <si>
    <t>Rear  Right wheel  rate [N/mm]</t>
  </si>
  <si>
    <t>Kw rl</t>
  </si>
  <si>
    <t>Kw rr</t>
  </si>
  <si>
    <t xml:space="preserve">Height of Front roll centre above ground  </t>
  </si>
  <si>
    <t xml:space="preserve">Height of Rear roll centre above ground  </t>
  </si>
  <si>
    <t>Motion Ratio front left</t>
  </si>
  <si>
    <t>Motion Ratio front right</t>
  </si>
  <si>
    <t xml:space="preserve">Motion Ratio rear left </t>
  </si>
  <si>
    <t xml:space="preserve">Motion Ratio rear right </t>
  </si>
  <si>
    <t>Average Front wheel rate [N/m]</t>
  </si>
  <si>
    <t>Average Rear wheel rate [N/m]</t>
  </si>
  <si>
    <t xml:space="preserve">Total WT calculated by adding all Weight Transfers </t>
  </si>
  <si>
    <t>Front Right vertical force  [N]</t>
  </si>
  <si>
    <t>Front Track</t>
  </si>
  <si>
    <t>Htot</t>
  </si>
  <si>
    <t>Fs</t>
  </si>
  <si>
    <t>Rs</t>
  </si>
  <si>
    <t xml:space="preserve">FRLSD </t>
  </si>
  <si>
    <t xml:space="preserve">Front Rear Load Split Difference </t>
  </si>
  <si>
    <t>Rear Weight Percenatge [%]</t>
  </si>
  <si>
    <t>÷</t>
  </si>
  <si>
    <t>Wdg</t>
  </si>
  <si>
    <t xml:space="preserve">Wedge, Load Distribution/bias (degrees)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</si>
</sst>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
    <numFmt numFmtId="165" formatCode="0.000"/>
    <numFmt numFmtId="166" formatCode="0.0"/>
    <numFmt numFmtId="167" formatCode="0.0%"/>
    <numFmt numFmtId="168" formatCode="0.000000"/>
  </numFmts>
  <fonts count="24" x14ac:knownFonts="1">
    <font>
      <sz val="10"/>
      <name val="Arial"/>
    </font>
    <font>
      <sz val="8"/>
      <name val="Arial"/>
      <family val="2"/>
    </font>
    <font>
      <b/>
      <sz val="14"/>
      <color indexed="10"/>
      <name val="Verdana"/>
      <family val="2"/>
    </font>
    <font>
      <sz val="10"/>
      <color indexed="8"/>
      <name val="Verdana"/>
      <family val="2"/>
    </font>
    <font>
      <sz val="10"/>
      <color indexed="10"/>
      <name val="Verdana"/>
      <family val="2"/>
    </font>
    <font>
      <sz val="10"/>
      <color rgb="FFFF0000"/>
      <name val="Arial"/>
      <family val="2"/>
    </font>
    <font>
      <b/>
      <sz val="10"/>
      <color rgb="FFFF0000"/>
      <name val="Arial"/>
      <family val="2"/>
    </font>
    <font>
      <b/>
      <sz val="10"/>
      <name val="Arial"/>
      <family val="2"/>
    </font>
    <font>
      <b/>
      <sz val="12"/>
      <name val="Arial"/>
      <family val="2"/>
    </font>
    <font>
      <sz val="10"/>
      <name val="Arial"/>
      <family val="2"/>
    </font>
    <font>
      <sz val="14"/>
      <name val="Arial"/>
      <family val="2"/>
    </font>
    <font>
      <u/>
      <sz val="11"/>
      <color rgb="FF000000"/>
      <name val="Calibri"/>
      <family val="2"/>
    </font>
    <font>
      <sz val="11"/>
      <color rgb="FF000000"/>
      <name val="Calibri"/>
      <family val="2"/>
    </font>
    <font>
      <sz val="11"/>
      <name val="Arial"/>
      <family val="2"/>
    </font>
    <font>
      <sz val="10"/>
      <name val="Calibri"/>
      <family val="2"/>
    </font>
    <font>
      <sz val="24"/>
      <color rgb="FFFF0000"/>
      <name val="Arial"/>
      <family val="2"/>
    </font>
    <font>
      <sz val="11"/>
      <color rgb="FFFF0000"/>
      <name val="Arial"/>
      <family val="2"/>
    </font>
    <font>
      <sz val="13"/>
      <color rgb="FF000000"/>
      <name val="Calibri"/>
      <family val="2"/>
    </font>
    <font>
      <sz val="10"/>
      <name val="Arial"/>
      <family val="2"/>
    </font>
    <font>
      <sz val="12"/>
      <name val="Arial"/>
      <family val="2"/>
    </font>
    <font>
      <b/>
      <sz val="20"/>
      <name val="Arial"/>
      <family val="2"/>
    </font>
    <font>
      <sz val="10"/>
      <color theme="0"/>
      <name val="Arial"/>
      <family val="2"/>
    </font>
    <font>
      <sz val="28"/>
      <color rgb="FF000000"/>
      <name val="Calibri"/>
      <family val="2"/>
    </font>
    <font>
      <sz val="10"/>
      <color theme="1"/>
      <name val="Arial"/>
      <family val="2"/>
    </font>
  </fonts>
  <fills count="1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7"/>
        <bgColor indexed="64"/>
      </patternFill>
    </fill>
    <fill>
      <patternFill patternType="solid">
        <fgColor rgb="FFFFFF00"/>
        <bgColor indexed="64"/>
      </patternFill>
    </fill>
    <fill>
      <patternFill patternType="solid">
        <fgColor theme="0"/>
        <bgColor indexed="64"/>
      </patternFill>
    </fill>
    <fill>
      <patternFill patternType="solid">
        <fgColor theme="7" tint="0.39997558519241921"/>
        <bgColor indexed="64"/>
      </patternFill>
    </fill>
    <fill>
      <patternFill patternType="solid">
        <fgColor rgb="FFCCFFCC"/>
        <bgColor indexed="64"/>
      </patternFill>
    </fill>
    <fill>
      <patternFill patternType="solid">
        <fgColor indexed="22"/>
        <bgColor indexed="64"/>
      </patternFill>
    </fill>
    <fill>
      <patternFill patternType="solid">
        <fgColor rgb="FF66FF33"/>
        <bgColor indexed="64"/>
      </patternFill>
    </fill>
    <fill>
      <patternFill patternType="solid">
        <fgColor rgb="FF92D050"/>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9" fontId="18" fillId="0" borderId="0" applyFont="0" applyFill="0" applyBorder="0" applyAlignment="0" applyProtection="0"/>
  </cellStyleXfs>
  <cellXfs count="170">
    <xf numFmtId="0" fontId="0" fillId="0" borderId="0" xfId="0"/>
    <xf numFmtId="2" fontId="0" fillId="4" borderId="7" xfId="0" applyNumberFormat="1" applyFill="1" applyBorder="1" applyAlignment="1" applyProtection="1">
      <alignment horizontal="center"/>
      <protection locked="0"/>
    </xf>
    <xf numFmtId="0" fontId="2" fillId="0" borderId="1" xfId="0" applyFont="1" applyBorder="1" applyAlignment="1" applyProtection="1">
      <alignment horizontal="left"/>
    </xf>
    <xf numFmtId="0" fontId="0" fillId="0" borderId="2" xfId="0" applyBorder="1" applyProtection="1"/>
    <xf numFmtId="0" fontId="0" fillId="0" borderId="2" xfId="0" applyBorder="1" applyProtection="1">
      <protection locked="0"/>
    </xf>
    <xf numFmtId="0" fontId="0" fillId="0" borderId="3" xfId="0" applyBorder="1" applyProtection="1"/>
    <xf numFmtId="0" fontId="3" fillId="0" borderId="4" xfId="0" applyFont="1" applyBorder="1" applyProtection="1"/>
    <xf numFmtId="0" fontId="0" fillId="0" borderId="0" xfId="0" applyBorder="1" applyProtection="1"/>
    <xf numFmtId="0" fontId="0" fillId="2" borderId="5" xfId="0" applyFill="1" applyBorder="1" applyAlignment="1" applyProtection="1">
      <alignment horizontal="center"/>
    </xf>
    <xf numFmtId="0" fontId="0" fillId="0" borderId="0" xfId="0" applyBorder="1" applyAlignment="1" applyProtection="1">
      <alignment horizontal="right"/>
    </xf>
    <xf numFmtId="0" fontId="0" fillId="0" borderId="4" xfId="0" applyBorder="1" applyProtection="1"/>
    <xf numFmtId="0" fontId="0" fillId="0" borderId="0" xfId="0" applyFill="1" applyBorder="1" applyProtection="1"/>
    <xf numFmtId="0" fontId="0" fillId="0" borderId="4" xfId="0" applyFill="1" applyBorder="1" applyProtection="1"/>
    <xf numFmtId="0" fontId="0" fillId="0" borderId="0" xfId="0" applyBorder="1" applyAlignment="1" applyProtection="1">
      <alignment horizontal="center"/>
    </xf>
    <xf numFmtId="0" fontId="0" fillId="0" borderId="6" xfId="0" applyBorder="1" applyAlignment="1" applyProtection="1">
      <alignment horizontal="center"/>
    </xf>
    <xf numFmtId="0" fontId="0" fillId="0" borderId="4" xfId="0" applyBorder="1" applyAlignment="1" applyProtection="1">
      <alignment horizontal="right"/>
    </xf>
    <xf numFmtId="0" fontId="0" fillId="0" borderId="8" xfId="0" applyBorder="1" applyAlignment="1" applyProtection="1">
      <alignment horizontal="right"/>
    </xf>
    <xf numFmtId="0" fontId="2" fillId="0" borderId="4" xfId="0" applyFont="1" applyBorder="1" applyAlignment="1" applyProtection="1">
      <alignment horizontal="left"/>
    </xf>
    <xf numFmtId="0" fontId="0" fillId="0" borderId="0" xfId="0" applyBorder="1" applyProtection="1">
      <protection locked="0"/>
    </xf>
    <xf numFmtId="0" fontId="0" fillId="0" borderId="6" xfId="0" applyBorder="1" applyProtection="1"/>
    <xf numFmtId="2" fontId="0" fillId="5" borderId="7" xfId="0" applyNumberFormat="1" applyFill="1" applyBorder="1" applyAlignment="1" applyProtection="1">
      <alignment horizontal="center"/>
    </xf>
    <xf numFmtId="2" fontId="0" fillId="5" borderId="5" xfId="0" applyNumberFormat="1" applyFill="1" applyBorder="1" applyAlignment="1" applyProtection="1">
      <alignment horizontal="center"/>
    </xf>
    <xf numFmtId="2" fontId="0" fillId="4" borderId="9" xfId="0" applyNumberFormat="1" applyFill="1" applyBorder="1" applyAlignment="1" applyProtection="1">
      <alignment horizontal="center"/>
      <protection locked="0"/>
    </xf>
    <xf numFmtId="2" fontId="0" fillId="5" borderId="9" xfId="0" applyNumberFormat="1" applyFill="1" applyBorder="1" applyAlignment="1" applyProtection="1">
      <alignment horizontal="center"/>
    </xf>
    <xf numFmtId="2" fontId="0" fillId="5" borderId="10" xfId="0" applyNumberFormat="1" applyFill="1" applyBorder="1" applyAlignment="1" applyProtection="1">
      <alignment horizontal="center"/>
    </xf>
    <xf numFmtId="2" fontId="0" fillId="3" borderId="5" xfId="0" applyNumberFormat="1" applyFill="1" applyBorder="1" applyAlignment="1" applyProtection="1">
      <alignment horizontal="center"/>
    </xf>
    <xf numFmtId="2" fontId="3" fillId="3" borderId="5" xfId="0" applyNumberFormat="1" applyFont="1" applyFill="1" applyBorder="1" applyAlignment="1" applyProtection="1">
      <alignment horizontal="center"/>
    </xf>
    <xf numFmtId="0" fontId="5" fillId="0" borderId="0" xfId="0" applyFont="1"/>
    <xf numFmtId="0" fontId="0" fillId="0" borderId="7" xfId="0" applyBorder="1"/>
    <xf numFmtId="0" fontId="6" fillId="0" borderId="7" xfId="0" applyFont="1" applyBorder="1"/>
    <xf numFmtId="0" fontId="9" fillId="0" borderId="7" xfId="0" applyFont="1" applyBorder="1"/>
    <xf numFmtId="0" fontId="10" fillId="6" borderId="13" xfId="0" applyFont="1" applyFill="1" applyBorder="1"/>
    <xf numFmtId="0" fontId="0" fillId="0" borderId="7" xfId="0" applyBorder="1" applyAlignment="1">
      <alignment horizontal="center" vertical="center"/>
    </xf>
    <xf numFmtId="164" fontId="0" fillId="3" borderId="5" xfId="0" applyNumberFormat="1" applyFill="1" applyBorder="1" applyAlignment="1" applyProtection="1">
      <alignment horizontal="center"/>
    </xf>
    <xf numFmtId="2" fontId="0" fillId="0" borderId="7" xfId="0" applyNumberFormat="1" applyBorder="1" applyAlignment="1">
      <alignment horizontal="center" vertical="center"/>
    </xf>
    <xf numFmtId="0" fontId="0" fillId="0" borderId="0" xfId="0" applyBorder="1"/>
    <xf numFmtId="0" fontId="13" fillId="0" borderId="0" xfId="0" applyFont="1"/>
    <xf numFmtId="0" fontId="0" fillId="7" borderId="7" xfId="0" applyFill="1" applyBorder="1" applyAlignment="1">
      <alignment horizontal="center" vertical="center"/>
    </xf>
    <xf numFmtId="0" fontId="10" fillId="6" borderId="13" xfId="0" applyFont="1" applyFill="1" applyBorder="1" applyAlignment="1">
      <alignment horizontal="left"/>
    </xf>
    <xf numFmtId="166" fontId="0" fillId="0" borderId="5" xfId="0" applyNumberFormat="1" applyBorder="1" applyAlignment="1">
      <alignment horizontal="center" vertical="center"/>
    </xf>
    <xf numFmtId="166" fontId="6" fillId="0" borderId="5" xfId="0" applyNumberFormat="1" applyFont="1" applyBorder="1" applyAlignment="1">
      <alignment horizontal="center" vertical="center"/>
    </xf>
    <xf numFmtId="0" fontId="9" fillId="0" borderId="0" xfId="0" applyFont="1"/>
    <xf numFmtId="0" fontId="0" fillId="0" borderId="19" xfId="0" applyBorder="1"/>
    <xf numFmtId="0" fontId="0" fillId="0" borderId="20" xfId="0" applyBorder="1"/>
    <xf numFmtId="0" fontId="0" fillId="0" borderId="9" xfId="0" applyBorder="1"/>
    <xf numFmtId="0" fontId="8" fillId="0" borderId="1" xfId="0" applyFont="1" applyFill="1" applyBorder="1" applyAlignment="1">
      <alignment horizontal="left"/>
    </xf>
    <xf numFmtId="0" fontId="0" fillId="0" borderId="2" xfId="0" applyFill="1" applyBorder="1"/>
    <xf numFmtId="167" fontId="19" fillId="9" borderId="22" xfId="1" applyNumberFormat="1" applyFont="1" applyFill="1" applyBorder="1" applyAlignment="1">
      <alignment horizontal="center"/>
    </xf>
    <xf numFmtId="0" fontId="19" fillId="0" borderId="2" xfId="0" applyFont="1" applyFill="1" applyBorder="1"/>
    <xf numFmtId="0" fontId="19" fillId="0" borderId="2" xfId="0" applyFont="1" applyFill="1" applyBorder="1" applyAlignment="1">
      <alignment horizontal="center"/>
    </xf>
    <xf numFmtId="0" fontId="19" fillId="0" borderId="3" xfId="0" applyFont="1" applyFill="1" applyBorder="1"/>
    <xf numFmtId="0" fontId="19" fillId="0" borderId="4" xfId="0" applyFont="1" applyFill="1" applyBorder="1"/>
    <xf numFmtId="0" fontId="8" fillId="0" borderId="0" xfId="0" applyFont="1" applyFill="1" applyBorder="1"/>
    <xf numFmtId="0" fontId="19" fillId="0" borderId="0" xfId="0" applyFont="1" applyFill="1" applyBorder="1"/>
    <xf numFmtId="0" fontId="8" fillId="9" borderId="23" xfId="0" applyFont="1" applyFill="1" applyBorder="1" applyAlignment="1">
      <alignment horizontal="center"/>
    </xf>
    <xf numFmtId="0" fontId="19" fillId="0" borderId="6" xfId="0" applyFont="1" applyFill="1" applyBorder="1"/>
    <xf numFmtId="166" fontId="19" fillId="9" borderId="24" xfId="0" applyNumberFormat="1" applyFont="1" applyFill="1" applyBorder="1" applyAlignment="1">
      <alignment horizontal="center"/>
    </xf>
    <xf numFmtId="167" fontId="19" fillId="0" borderId="0" xfId="1" applyNumberFormat="1" applyFont="1" applyFill="1" applyBorder="1" applyAlignment="1">
      <alignment horizontal="center"/>
    </xf>
    <xf numFmtId="167" fontId="19" fillId="6" borderId="25" xfId="1" applyNumberFormat="1" applyFont="1" applyFill="1" applyBorder="1" applyAlignment="1">
      <alignment horizontal="center"/>
    </xf>
    <xf numFmtId="0" fontId="8" fillId="10" borderId="1" xfId="0" applyFont="1" applyFill="1" applyBorder="1" applyAlignment="1">
      <alignment horizontal="center"/>
    </xf>
    <xf numFmtId="166" fontId="7" fillId="10" borderId="2" xfId="0" applyNumberFormat="1" applyFont="1" applyFill="1" applyBorder="1" applyAlignment="1">
      <alignment horizontal="center"/>
    </xf>
    <xf numFmtId="0" fontId="8" fillId="10" borderId="3" xfId="0" applyFont="1" applyFill="1" applyBorder="1" applyAlignment="1">
      <alignment horizontal="center"/>
    </xf>
    <xf numFmtId="167" fontId="19" fillId="6" borderId="26" xfId="1" applyNumberFormat="1" applyFont="1" applyFill="1" applyBorder="1" applyAlignment="1">
      <alignment horizontal="center"/>
    </xf>
    <xf numFmtId="0" fontId="8" fillId="9" borderId="16" xfId="0" applyFont="1" applyFill="1" applyBorder="1"/>
    <xf numFmtId="0" fontId="8" fillId="9" borderId="11" xfId="0" applyFont="1" applyFill="1" applyBorder="1" applyAlignment="1">
      <alignment horizontal="right"/>
    </xf>
    <xf numFmtId="166" fontId="19" fillId="9" borderId="18" xfId="0" applyNumberFormat="1" applyFont="1" applyFill="1" applyBorder="1" applyAlignment="1">
      <alignment horizontal="center"/>
    </xf>
    <xf numFmtId="166" fontId="19" fillId="4" borderId="27" xfId="0" applyNumberFormat="1" applyFont="1" applyFill="1" applyBorder="1" applyAlignment="1">
      <alignment horizontal="center"/>
    </xf>
    <xf numFmtId="0" fontId="7" fillId="10" borderId="4" xfId="0" applyFont="1" applyFill="1" applyBorder="1"/>
    <xf numFmtId="0" fontId="8" fillId="10" borderId="0" xfId="0" applyFont="1" applyFill="1" applyBorder="1"/>
    <xf numFmtId="0" fontId="7" fillId="10" borderId="6" xfId="0" applyFont="1" applyFill="1" applyBorder="1"/>
    <xf numFmtId="166" fontId="19" fillId="4" borderId="28" xfId="0" applyNumberFormat="1" applyFont="1" applyFill="1" applyBorder="1" applyAlignment="1">
      <alignment horizontal="center"/>
    </xf>
    <xf numFmtId="0" fontId="19" fillId="0" borderId="0" xfId="0" applyFont="1" applyFill="1" applyBorder="1" applyAlignment="1">
      <alignment horizontal="center"/>
    </xf>
    <xf numFmtId="0" fontId="8" fillId="10" borderId="4" xfId="0" applyFont="1" applyFill="1" applyBorder="1" applyAlignment="1">
      <alignment horizontal="center"/>
    </xf>
    <xf numFmtId="0" fontId="8" fillId="10" borderId="6" xfId="0" applyFont="1" applyFill="1" applyBorder="1" applyAlignment="1">
      <alignment horizontal="center"/>
    </xf>
    <xf numFmtId="166" fontId="19" fillId="0" borderId="0" xfId="0" applyNumberFormat="1" applyFont="1" applyFill="1" applyBorder="1" applyAlignment="1">
      <alignment horizontal="center"/>
    </xf>
    <xf numFmtId="166" fontId="8" fillId="9" borderId="29" xfId="0" applyNumberFormat="1" applyFont="1" applyFill="1" applyBorder="1" applyAlignment="1">
      <alignment horizontal="center"/>
    </xf>
    <xf numFmtId="167" fontId="19" fillId="9" borderId="11" xfId="0" applyNumberFormat="1" applyFont="1" applyFill="1" applyBorder="1" applyAlignment="1">
      <alignment horizontal="center"/>
    </xf>
    <xf numFmtId="0" fontId="19" fillId="9" borderId="12" xfId="0" applyFont="1" applyFill="1" applyBorder="1" applyAlignment="1">
      <alignment horizontal="center"/>
    </xf>
    <xf numFmtId="0" fontId="8" fillId="10" borderId="0" xfId="0" applyFont="1" applyFill="1" applyBorder="1" applyAlignment="1">
      <alignment horizontal="center"/>
    </xf>
    <xf numFmtId="166" fontId="19" fillId="0" borderId="13" xfId="0" applyNumberFormat="1" applyFont="1" applyFill="1" applyBorder="1" applyAlignment="1">
      <alignment horizontal="center"/>
    </xf>
    <xf numFmtId="166" fontId="19" fillId="9" borderId="29" xfId="0" applyNumberFormat="1" applyFont="1" applyFill="1" applyBorder="1" applyAlignment="1">
      <alignment horizontal="center"/>
    </xf>
    <xf numFmtId="167" fontId="19" fillId="9" borderId="30" xfId="0" applyNumberFormat="1" applyFont="1" applyFill="1" applyBorder="1" applyAlignment="1">
      <alignment horizontal="center"/>
    </xf>
    <xf numFmtId="0" fontId="8" fillId="9" borderId="18" xfId="0" applyFont="1" applyFill="1" applyBorder="1" applyAlignment="1">
      <alignment horizontal="left"/>
    </xf>
    <xf numFmtId="0" fontId="8" fillId="11" borderId="31" xfId="0" applyFont="1" applyFill="1" applyBorder="1" applyAlignment="1">
      <alignment horizontal="right"/>
    </xf>
    <xf numFmtId="0" fontId="8" fillId="11" borderId="15" xfId="0" applyFont="1" applyFill="1" applyBorder="1" applyAlignment="1"/>
    <xf numFmtId="166" fontId="8" fillId="11" borderId="0" xfId="0" applyNumberFormat="1" applyFont="1" applyFill="1" applyBorder="1" applyAlignment="1">
      <alignment horizontal="center"/>
    </xf>
    <xf numFmtId="167" fontId="19" fillId="6" borderId="32" xfId="1" applyNumberFormat="1" applyFont="1" applyFill="1" applyBorder="1" applyAlignment="1">
      <alignment horizontal="center"/>
    </xf>
    <xf numFmtId="167" fontId="19" fillId="6" borderId="33" xfId="1" applyNumberFormat="1" applyFont="1" applyFill="1" applyBorder="1" applyAlignment="1">
      <alignment horizontal="center"/>
    </xf>
    <xf numFmtId="0" fontId="8" fillId="9" borderId="34" xfId="0" applyFont="1" applyFill="1" applyBorder="1" applyAlignment="1">
      <alignment horizontal="center"/>
    </xf>
    <xf numFmtId="0" fontId="8" fillId="10" borderId="8" xfId="0" applyFont="1" applyFill="1" applyBorder="1" applyAlignment="1">
      <alignment horizontal="center"/>
    </xf>
    <xf numFmtId="0" fontId="8" fillId="10" borderId="21" xfId="0" applyFont="1" applyFill="1" applyBorder="1"/>
    <xf numFmtId="0" fontId="8" fillId="10" borderId="35" xfId="0" applyFont="1" applyFill="1" applyBorder="1" applyAlignment="1">
      <alignment horizontal="center"/>
    </xf>
    <xf numFmtId="166" fontId="19" fillId="4" borderId="36" xfId="0" applyNumberFormat="1" applyFont="1" applyFill="1" applyBorder="1" applyAlignment="1">
      <alignment horizontal="center"/>
    </xf>
    <xf numFmtId="0" fontId="19" fillId="0" borderId="16" xfId="0" applyFont="1" applyFill="1" applyBorder="1" applyAlignment="1">
      <alignment horizontal="center"/>
    </xf>
    <xf numFmtId="0" fontId="8" fillId="0" borderId="17" xfId="0" applyFont="1" applyFill="1" applyBorder="1" applyAlignment="1">
      <alignment horizontal="right"/>
    </xf>
    <xf numFmtId="166" fontId="19" fillId="0" borderId="18" xfId="0" applyNumberFormat="1" applyFont="1" applyFill="1" applyBorder="1" applyAlignment="1">
      <alignment horizontal="center"/>
    </xf>
    <xf numFmtId="166" fontId="19" fillId="9" borderId="37" xfId="0" applyNumberFormat="1" applyFont="1" applyFill="1" applyBorder="1" applyAlignment="1">
      <alignment horizontal="center"/>
    </xf>
    <xf numFmtId="166" fontId="19" fillId="9" borderId="16" xfId="0" applyNumberFormat="1" applyFont="1" applyFill="1" applyBorder="1" applyAlignment="1">
      <alignment horizontal="center"/>
    </xf>
    <xf numFmtId="0" fontId="8" fillId="9" borderId="17" xfId="0" applyFont="1" applyFill="1" applyBorder="1" applyAlignment="1">
      <alignment horizontal="left"/>
    </xf>
    <xf numFmtId="0" fontId="8" fillId="9" borderId="4" xfId="0" applyFont="1" applyFill="1" applyBorder="1" applyAlignment="1">
      <alignment horizontal="right"/>
    </xf>
    <xf numFmtId="167" fontId="19" fillId="9" borderId="6" xfId="1" applyNumberFormat="1" applyFont="1" applyFill="1" applyBorder="1" applyAlignment="1">
      <alignment horizontal="center"/>
    </xf>
    <xf numFmtId="0" fontId="8" fillId="9" borderId="38" xfId="0" applyFont="1" applyFill="1" applyBorder="1" applyAlignment="1">
      <alignment horizontal="center"/>
    </xf>
    <xf numFmtId="0" fontId="19" fillId="0" borderId="8" xfId="0" applyFont="1" applyFill="1" applyBorder="1"/>
    <xf numFmtId="166" fontId="19" fillId="0" borderId="18" xfId="1" applyNumberFormat="1" applyFont="1" applyFill="1" applyBorder="1" applyAlignment="1">
      <alignment horizontal="center"/>
    </xf>
    <xf numFmtId="0" fontId="19" fillId="0" borderId="21" xfId="0" applyFont="1" applyFill="1" applyBorder="1"/>
    <xf numFmtId="167" fontId="19" fillId="9" borderId="39" xfId="1" applyNumberFormat="1" applyFont="1" applyFill="1" applyBorder="1" applyAlignment="1">
      <alignment horizontal="center"/>
    </xf>
    <xf numFmtId="2" fontId="8" fillId="7" borderId="21" xfId="0" applyNumberFormat="1" applyFont="1" applyFill="1" applyBorder="1"/>
    <xf numFmtId="0" fontId="7" fillId="7" borderId="35" xfId="0" applyFont="1" applyFill="1" applyBorder="1"/>
    <xf numFmtId="0" fontId="20" fillId="0" borderId="0" xfId="0" applyFont="1"/>
    <xf numFmtId="0" fontId="9" fillId="7" borderId="20" xfId="0" applyFont="1" applyFill="1" applyBorder="1"/>
    <xf numFmtId="0" fontId="9" fillId="7" borderId="7" xfId="0" applyFont="1" applyFill="1" applyBorder="1"/>
    <xf numFmtId="0" fontId="0" fillId="7" borderId="7" xfId="0" applyFill="1" applyBorder="1" applyAlignment="1">
      <alignment horizontal="center"/>
    </xf>
    <xf numFmtId="0" fontId="0" fillId="7" borderId="7" xfId="0" applyFill="1" applyBorder="1"/>
    <xf numFmtId="0" fontId="14" fillId="7" borderId="7" xfId="0" applyFont="1" applyFill="1" applyBorder="1"/>
    <xf numFmtId="166" fontId="0" fillId="7" borderId="5" xfId="0" applyNumberFormat="1" applyFill="1" applyBorder="1" applyAlignment="1">
      <alignment horizontal="center"/>
    </xf>
    <xf numFmtId="0" fontId="0" fillId="0" borderId="43" xfId="0" applyBorder="1"/>
    <xf numFmtId="0" fontId="0" fillId="0" borderId="9" xfId="0" applyBorder="1" applyAlignment="1">
      <alignment horizontal="center" vertical="center"/>
    </xf>
    <xf numFmtId="0" fontId="9" fillId="0" borderId="20" xfId="0" applyFont="1" applyBorder="1"/>
    <xf numFmtId="0" fontId="9" fillId="0" borderId="9" xfId="0" applyFont="1" applyBorder="1"/>
    <xf numFmtId="168" fontId="0" fillId="0" borderId="5" xfId="0" applyNumberFormat="1" applyBorder="1" applyAlignment="1">
      <alignment horizontal="center" vertical="center"/>
    </xf>
    <xf numFmtId="0" fontId="23" fillId="0" borderId="7" xfId="0" applyFont="1" applyBorder="1"/>
    <xf numFmtId="0" fontId="9" fillId="0" borderId="0" xfId="0" applyFont="1" applyFill="1" applyBorder="1"/>
    <xf numFmtId="0" fontId="13" fillId="0" borderId="0" xfId="0" applyFont="1" applyFill="1" applyBorder="1"/>
    <xf numFmtId="0" fontId="11" fillId="0" borderId="0" xfId="0" applyFont="1" applyFill="1" applyBorder="1" applyAlignment="1">
      <alignment horizontal="left" vertical="center" indent="4" readingOrder="1"/>
    </xf>
    <xf numFmtId="0" fontId="0" fillId="0" borderId="0" xfId="0" applyFill="1"/>
    <xf numFmtId="0" fontId="0" fillId="0" borderId="0" xfId="0" applyFill="1" applyBorder="1"/>
    <xf numFmtId="0" fontId="17" fillId="0" borderId="0" xfId="0" applyFont="1" applyFill="1" applyBorder="1" applyAlignment="1">
      <alignment horizontal="center" vertical="center" readingOrder="1"/>
    </xf>
    <xf numFmtId="0" fontId="16" fillId="0" borderId="0" xfId="0" applyFont="1" applyFill="1" applyAlignment="1">
      <alignment horizontal="left" vertical="center" indent="3" readingOrder="1"/>
    </xf>
    <xf numFmtId="0" fontId="9" fillId="0" borderId="14" xfId="0" applyFont="1" applyFill="1" applyBorder="1"/>
    <xf numFmtId="0" fontId="0" fillId="0" borderId="0" xfId="0" applyFill="1" applyAlignment="1"/>
    <xf numFmtId="0" fontId="21" fillId="0" borderId="0" xfId="0" applyFont="1" applyFill="1" applyBorder="1"/>
    <xf numFmtId="166" fontId="0" fillId="0" borderId="0" xfId="0" applyNumberFormat="1" applyFill="1" applyBorder="1"/>
    <xf numFmtId="0" fontId="9" fillId="0" borderId="0" xfId="0" applyFont="1" applyFill="1" applyBorder="1" applyAlignment="1">
      <alignment horizontal="center"/>
    </xf>
    <xf numFmtId="0" fontId="0" fillId="0" borderId="0" xfId="0" applyFill="1" applyBorder="1" applyAlignment="1">
      <alignment horizontal="left"/>
    </xf>
    <xf numFmtId="0" fontId="15" fillId="0" borderId="0" xfId="0" applyFont="1" applyFill="1" applyBorder="1" applyAlignment="1">
      <alignment horizontal="left" vertical="center" indent="3" readingOrder="1"/>
    </xf>
    <xf numFmtId="0" fontId="22" fillId="0" borderId="0" xfId="0" applyFont="1" applyFill="1" applyBorder="1" applyAlignment="1">
      <alignment vertical="center"/>
    </xf>
    <xf numFmtId="0" fontId="0" fillId="0" borderId="0" xfId="0" applyFill="1" applyBorder="1" applyAlignment="1">
      <alignment vertical="center"/>
    </xf>
    <xf numFmtId="0" fontId="0" fillId="0" borderId="7" xfId="0" applyFill="1" applyBorder="1" applyAlignment="1">
      <alignment horizontal="center" vertical="center"/>
    </xf>
    <xf numFmtId="0" fontId="9" fillId="0" borderId="7" xfId="0" applyFont="1" applyFill="1" applyBorder="1" applyAlignment="1">
      <alignment horizontal="center" vertical="center"/>
    </xf>
    <xf numFmtId="165" fontId="0" fillId="0" borderId="7" xfId="0" applyNumberFormat="1" applyFill="1" applyBorder="1" applyAlignment="1">
      <alignment horizontal="center" vertical="center"/>
    </xf>
    <xf numFmtId="0" fontId="0" fillId="0" borderId="9" xfId="0" applyFill="1" applyBorder="1" applyAlignment="1">
      <alignment horizontal="center" vertical="center"/>
    </xf>
    <xf numFmtId="2" fontId="0" fillId="7" borderId="7" xfId="0" applyNumberFormat="1" applyFill="1" applyBorder="1" applyAlignment="1" applyProtection="1">
      <alignment horizontal="center"/>
    </xf>
    <xf numFmtId="0" fontId="0" fillId="0" borderId="7" xfId="0" applyFill="1" applyBorder="1"/>
    <xf numFmtId="2" fontId="0" fillId="0" borderId="7" xfId="0" applyNumberFormat="1" applyFill="1" applyBorder="1" applyAlignment="1">
      <alignment horizontal="center" vertical="center"/>
    </xf>
    <xf numFmtId="0" fontId="9" fillId="0" borderId="7" xfId="0" applyFont="1" applyFill="1" applyBorder="1"/>
    <xf numFmtId="0" fontId="8" fillId="0" borderId="40" xfId="0" applyFont="1" applyBorder="1"/>
    <xf numFmtId="0" fontId="8" fillId="0" borderId="41" xfId="0" applyFont="1" applyBorder="1"/>
    <xf numFmtId="0" fontId="8" fillId="0" borderId="42" xfId="0" applyFont="1" applyBorder="1"/>
    <xf numFmtId="166" fontId="0" fillId="0" borderId="5" xfId="0" applyNumberFormat="1" applyFill="1" applyBorder="1" applyAlignment="1">
      <alignment horizontal="center" vertical="center"/>
    </xf>
    <xf numFmtId="1" fontId="0" fillId="12" borderId="5" xfId="0" applyNumberFormat="1" applyFill="1" applyBorder="1" applyAlignment="1">
      <alignment horizontal="center" vertical="center"/>
    </xf>
    <xf numFmtId="1" fontId="0" fillId="8" borderId="5" xfId="0" applyNumberFormat="1" applyFill="1" applyBorder="1" applyAlignment="1">
      <alignment horizontal="center"/>
    </xf>
    <xf numFmtId="0" fontId="0" fillId="7" borderId="20" xfId="0" applyFont="1" applyFill="1" applyBorder="1"/>
    <xf numFmtId="0" fontId="0" fillId="8" borderId="5" xfId="0" applyFill="1" applyBorder="1" applyAlignment="1">
      <alignment horizontal="center" vertical="center"/>
    </xf>
    <xf numFmtId="0" fontId="0" fillId="0" borderId="5" xfId="0" applyBorder="1" applyAlignment="1">
      <alignment horizontal="center" vertical="center"/>
    </xf>
    <xf numFmtId="1" fontId="0" fillId="0" borderId="5" xfId="0" applyNumberFormat="1" applyFill="1" applyBorder="1" applyAlignment="1">
      <alignment horizontal="center" vertical="center"/>
    </xf>
    <xf numFmtId="165" fontId="0" fillId="6" borderId="7" xfId="0" applyNumberFormat="1" applyFill="1" applyBorder="1" applyAlignment="1">
      <alignment horizontal="center" vertical="center"/>
    </xf>
    <xf numFmtId="0" fontId="0" fillId="0" borderId="44" xfId="0" applyBorder="1"/>
    <xf numFmtId="0" fontId="0" fillId="0" borderId="45" xfId="0" applyBorder="1" applyAlignment="1">
      <alignment horizontal="center" vertical="center"/>
    </xf>
    <xf numFmtId="0" fontId="13" fillId="0" borderId="7" xfId="0" applyFont="1" applyBorder="1"/>
    <xf numFmtId="0" fontId="12" fillId="0" borderId="7" xfId="0" applyFont="1" applyBorder="1"/>
    <xf numFmtId="1" fontId="0" fillId="0" borderId="7" xfId="0" applyNumberFormat="1" applyBorder="1"/>
    <xf numFmtId="166" fontId="0" fillId="6" borderId="5" xfId="0" applyNumberFormat="1" applyFill="1" applyBorder="1" applyAlignment="1">
      <alignment horizontal="center" vertical="center"/>
    </xf>
    <xf numFmtId="0" fontId="0" fillId="6" borderId="7" xfId="0" applyFill="1" applyBorder="1" applyAlignment="1">
      <alignment horizontal="center" vertical="center"/>
    </xf>
    <xf numFmtId="2" fontId="0" fillId="6" borderId="7" xfId="0" applyNumberFormat="1" applyFill="1" applyBorder="1" applyAlignment="1">
      <alignment horizontal="center" vertical="center"/>
    </xf>
    <xf numFmtId="168" fontId="0" fillId="6" borderId="5" xfId="0" applyNumberFormat="1" applyFill="1" applyBorder="1" applyAlignment="1">
      <alignment horizontal="center" vertical="center"/>
    </xf>
    <xf numFmtId="0" fontId="0" fillId="6" borderId="19" xfId="0" applyFill="1" applyBorder="1"/>
    <xf numFmtId="166" fontId="0" fillId="6" borderId="5" xfId="0" applyNumberFormat="1" applyFill="1" applyBorder="1" applyAlignment="1">
      <alignment horizontal="center"/>
    </xf>
    <xf numFmtId="1" fontId="0" fillId="6" borderId="5" xfId="0" applyNumberFormat="1" applyFill="1" applyBorder="1" applyAlignment="1">
      <alignment horizontal="center" vertical="center"/>
    </xf>
    <xf numFmtId="1" fontId="0" fillId="6" borderId="7" xfId="0" applyNumberFormat="1" applyFill="1" applyBorder="1"/>
    <xf numFmtId="0" fontId="0" fillId="6" borderId="7" xfId="0" applyFill="1" applyBorder="1"/>
  </cellXfs>
  <cellStyles count="2">
    <cellStyle name="Normal" xfId="0" builtinId="0"/>
    <cellStyle name="Per cent" xfId="1" builtinId="5"/>
  </cellStyles>
  <dxfs count="0"/>
  <tableStyles count="0" defaultTableStyle="TableStyleMedium9" defaultPivotStyle="PivotStyleLight16"/>
  <colors>
    <mruColors>
      <color rgb="FFCCFFFF"/>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xdr:col>
      <xdr:colOff>30238</xdr:colOff>
      <xdr:row>31</xdr:row>
      <xdr:rowOff>0</xdr:rowOff>
    </xdr:from>
    <xdr:to>
      <xdr:col>4</xdr:col>
      <xdr:colOff>0</xdr:colOff>
      <xdr:row>40</xdr:row>
      <xdr:rowOff>30238</xdr:rowOff>
    </xdr:to>
    <xdr:sp macro="" textlink="">
      <xdr:nvSpPr>
        <xdr:cNvPr id="2" name="TextBox 1">
          <a:extLst>
            <a:ext uri="{FF2B5EF4-FFF2-40B4-BE49-F238E27FC236}">
              <a16:creationId xmlns:a16="http://schemas.microsoft.com/office/drawing/2014/main" id="{55BA2F70-0000-DC4D-BBF1-A2F00B9D1EAC}"/>
            </a:ext>
          </a:extLst>
        </xdr:cNvPr>
        <xdr:cNvSpPr txBox="1"/>
      </xdr:nvSpPr>
      <xdr:spPr>
        <a:xfrm>
          <a:off x="1380873" y="5321905"/>
          <a:ext cx="4707064" cy="1552222"/>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Q3,i</a:t>
          </a:r>
        </a:p>
        <a:p>
          <a:endParaRPr lang="en-GB" sz="1200" b="0"/>
        </a:p>
        <a:p>
          <a:r>
            <a:rPr lang="en-GB" sz="1200" b="0" baseline="0"/>
            <a:t>In Q2 the front split is 848 and in Q3 the Front Split is 893, the car  would be excpected to understeer more. </a:t>
          </a:r>
          <a:endParaRPr lang="en-GB" sz="1200" b="0"/>
        </a:p>
      </xdr:txBody>
    </xdr:sp>
    <xdr:clientData/>
  </xdr:twoCellAnchor>
  <xdr:twoCellAnchor>
    <xdr:from>
      <xdr:col>2</xdr:col>
      <xdr:colOff>0</xdr:colOff>
      <xdr:row>42</xdr:row>
      <xdr:rowOff>0</xdr:rowOff>
    </xdr:from>
    <xdr:to>
      <xdr:col>3</xdr:col>
      <xdr:colOff>766032</xdr:colOff>
      <xdr:row>51</xdr:row>
      <xdr:rowOff>100794</xdr:rowOff>
    </xdr:to>
    <xdr:sp macro="" textlink="">
      <xdr:nvSpPr>
        <xdr:cNvPr id="3" name="TextBox 2">
          <a:extLst>
            <a:ext uri="{FF2B5EF4-FFF2-40B4-BE49-F238E27FC236}">
              <a16:creationId xmlns:a16="http://schemas.microsoft.com/office/drawing/2014/main" id="{E1E93B70-D0B2-714F-B028-E0EA2A65C065}"/>
            </a:ext>
          </a:extLst>
        </xdr:cNvPr>
        <xdr:cNvSpPr txBox="1"/>
      </xdr:nvSpPr>
      <xdr:spPr>
        <a:xfrm>
          <a:off x="1350635" y="7166429"/>
          <a:ext cx="4707064" cy="1552222"/>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Q3,ii</a:t>
          </a:r>
        </a:p>
        <a:p>
          <a:endParaRPr lang="en-GB" sz="1200" b="1"/>
        </a:p>
        <a:p>
          <a:pPr marL="0" marR="0" lvl="0" indent="0" defTabSz="914400" eaLnBrk="1" fontAlgn="auto" latinLnBrk="0" hangingPunct="1">
            <a:lnSpc>
              <a:spcPct val="100000"/>
            </a:lnSpc>
            <a:spcBef>
              <a:spcPts val="0"/>
            </a:spcBef>
            <a:spcAft>
              <a:spcPts val="0"/>
            </a:spcAft>
            <a:buClrTx/>
            <a:buSzTx/>
            <a:buFontTx/>
            <a:buNone/>
            <a:tabLst/>
            <a:defRPr/>
          </a:pPr>
          <a:r>
            <a:rPr lang="en-GB" sz="1200" b="0"/>
            <a:t>If load</a:t>
          </a:r>
          <a:r>
            <a:rPr lang="en-GB" sz="1200" b="0" baseline="0"/>
            <a:t> split at the front of a understeering car increases, it will understeer more. The rear load split has deacreased from 2177 to 2134 in Q3. Resulting in slighlty more understeer. </a:t>
          </a:r>
          <a:r>
            <a:rPr lang="en-GB" sz="1200" b="0"/>
            <a:t>The rear weight percentage  has decreased</a:t>
          </a:r>
          <a:r>
            <a:rPr lang="en-GB" sz="1200" b="0" baseline="0"/>
            <a:t> from 69.4%  to 68.1%. </a:t>
          </a:r>
          <a:endParaRPr lang="en-GB" sz="1200" b="0"/>
        </a:p>
        <a:p>
          <a:endParaRPr lang="en-GB" sz="1200" b="0"/>
        </a:p>
      </xdr:txBody>
    </xdr:sp>
    <xdr:clientData/>
  </xdr:twoCellAnchor>
  <xdr:twoCellAnchor>
    <xdr:from>
      <xdr:col>2</xdr:col>
      <xdr:colOff>0</xdr:colOff>
      <xdr:row>54</xdr:row>
      <xdr:rowOff>0</xdr:rowOff>
    </xdr:from>
    <xdr:to>
      <xdr:col>3</xdr:col>
      <xdr:colOff>766032</xdr:colOff>
      <xdr:row>63</xdr:row>
      <xdr:rowOff>100794</xdr:rowOff>
    </xdr:to>
    <xdr:sp macro="" textlink="">
      <xdr:nvSpPr>
        <xdr:cNvPr id="4" name="TextBox 3">
          <a:extLst>
            <a:ext uri="{FF2B5EF4-FFF2-40B4-BE49-F238E27FC236}">
              <a16:creationId xmlns:a16="http://schemas.microsoft.com/office/drawing/2014/main" id="{8095D3F6-E13E-0749-8C3F-FEC950E45178}"/>
            </a:ext>
          </a:extLst>
        </xdr:cNvPr>
        <xdr:cNvSpPr txBox="1"/>
      </xdr:nvSpPr>
      <xdr:spPr>
        <a:xfrm>
          <a:off x="1350635" y="9101667"/>
          <a:ext cx="4707064" cy="1552222"/>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Q3,iii</a:t>
          </a:r>
        </a:p>
        <a:p>
          <a:endParaRPr lang="en-GB" sz="1200" b="0"/>
        </a:p>
        <a:p>
          <a:r>
            <a:rPr lang="en-GB" sz="1200" b="0"/>
            <a:t>The greater the weight transfer the greater difference in load between the front</a:t>
          </a:r>
          <a:r>
            <a:rPr lang="en-GB" sz="1200" b="0" baseline="0"/>
            <a:t> right wheel and the other three corners. The increased spring load of 20kg produced would cause a weight transfer of the sprung mass acting about th roll axis. </a:t>
          </a:r>
          <a:endParaRPr lang="en-GB" sz="1200" b="0"/>
        </a:p>
        <a:p>
          <a:endParaRPr lang="en-GB" sz="11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655159</xdr:colOff>
      <xdr:row>31</xdr:row>
      <xdr:rowOff>10079</xdr:rowOff>
    </xdr:from>
    <xdr:to>
      <xdr:col>2</xdr:col>
      <xdr:colOff>3920873</xdr:colOff>
      <xdr:row>40</xdr:row>
      <xdr:rowOff>10079</xdr:rowOff>
    </xdr:to>
    <xdr:sp macro="" textlink="">
      <xdr:nvSpPr>
        <xdr:cNvPr id="5" name="TextBox 4">
          <a:extLst>
            <a:ext uri="{FF2B5EF4-FFF2-40B4-BE49-F238E27FC236}">
              <a16:creationId xmlns:a16="http://schemas.microsoft.com/office/drawing/2014/main" id="{2EF1C483-716E-0D40-AE9D-110A419DFD09}"/>
            </a:ext>
          </a:extLst>
        </xdr:cNvPr>
        <xdr:cNvSpPr txBox="1"/>
      </xdr:nvSpPr>
      <xdr:spPr>
        <a:xfrm>
          <a:off x="655159" y="5331984"/>
          <a:ext cx="4616349" cy="1521984"/>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Q4,ii</a:t>
          </a:r>
        </a:p>
        <a:p>
          <a:endParaRPr lang="en-GB" sz="1200" b="1"/>
        </a:p>
        <a:p>
          <a:r>
            <a:rPr lang="en-GB" sz="1200" b="0"/>
            <a:t>The average rear</a:t>
          </a:r>
          <a:r>
            <a:rPr lang="en-GB" sz="1200" b="0" baseline="0"/>
            <a:t> wheel rate have been halved. The roll angle has increased from 16.03 to 25.26. Due the increase of changing the motion ratio the vehicle has incrased from 0.92 degrees to 14.5 degrees. </a:t>
          </a:r>
          <a:endParaRPr lang="en-GB" sz="1200" b="0"/>
        </a:p>
      </xdr:txBody>
    </xdr:sp>
    <xdr:clientData/>
  </xdr:twoCellAnchor>
  <xdr:twoCellAnchor>
    <xdr:from>
      <xdr:col>0</xdr:col>
      <xdr:colOff>655159</xdr:colOff>
      <xdr:row>42</xdr:row>
      <xdr:rowOff>20159</xdr:rowOff>
    </xdr:from>
    <xdr:to>
      <xdr:col>2</xdr:col>
      <xdr:colOff>3920873</xdr:colOff>
      <xdr:row>51</xdr:row>
      <xdr:rowOff>1</xdr:rowOff>
    </xdr:to>
    <xdr:sp macro="" textlink="">
      <xdr:nvSpPr>
        <xdr:cNvPr id="6" name="TextBox 5">
          <a:extLst>
            <a:ext uri="{FF2B5EF4-FFF2-40B4-BE49-F238E27FC236}">
              <a16:creationId xmlns:a16="http://schemas.microsoft.com/office/drawing/2014/main" id="{610A8350-B77F-5940-8FFB-F48455A2FF49}"/>
            </a:ext>
          </a:extLst>
        </xdr:cNvPr>
        <xdr:cNvSpPr txBox="1"/>
      </xdr:nvSpPr>
      <xdr:spPr>
        <a:xfrm>
          <a:off x="655159" y="7186588"/>
          <a:ext cx="4616349" cy="1431270"/>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Q4,iii</a:t>
          </a:r>
        </a:p>
        <a:p>
          <a:endParaRPr lang="en-GB" sz="1200" b="1"/>
        </a:p>
        <a:p>
          <a:r>
            <a:rPr lang="en-GB" sz="1200" b="0"/>
            <a:t>If the car had a push rod and bell crank inboard suspension,</a:t>
          </a:r>
          <a:r>
            <a:rPr lang="en-GB" sz="1200" b="0" baseline="0"/>
            <a:t> you would have the ability to adjust the length of the push rod, and the car would have a lower roll center and the unsprung mass would be reduced. </a:t>
          </a:r>
          <a:endParaRPr lang="en-GB" sz="1200" b="1"/>
        </a:p>
        <a:p>
          <a:endParaRPr lang="en-GB" sz="12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10583</xdr:colOff>
      <xdr:row>31</xdr:row>
      <xdr:rowOff>10582</xdr:rowOff>
    </xdr:from>
    <xdr:to>
      <xdr:col>3</xdr:col>
      <xdr:colOff>10583</xdr:colOff>
      <xdr:row>40</xdr:row>
      <xdr:rowOff>169333</xdr:rowOff>
    </xdr:to>
    <xdr:sp macro="" textlink="">
      <xdr:nvSpPr>
        <xdr:cNvPr id="2" name="TextBox 1">
          <a:extLst>
            <a:ext uri="{FF2B5EF4-FFF2-40B4-BE49-F238E27FC236}">
              <a16:creationId xmlns:a16="http://schemas.microsoft.com/office/drawing/2014/main" id="{54764C39-847D-284C-82B3-029459F1CFAE}"/>
            </a:ext>
          </a:extLst>
        </xdr:cNvPr>
        <xdr:cNvSpPr txBox="1"/>
      </xdr:nvSpPr>
      <xdr:spPr>
        <a:xfrm>
          <a:off x="687916" y="5492749"/>
          <a:ext cx="4614334" cy="1735667"/>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Q6,i</a:t>
          </a:r>
        </a:p>
        <a:p>
          <a:endParaRPr lang="en-GB" sz="1200" b="1"/>
        </a:p>
        <a:p>
          <a:r>
            <a:rPr lang="en-GB" sz="1200" b="0"/>
            <a:t>After</a:t>
          </a:r>
          <a:r>
            <a:rPr lang="en-GB" sz="1200" b="0" baseline="0"/>
            <a:t> changing the static corner loads the rear WT has not changed from 919.6. The FRLSD has increased from -234 to 747. Due to this the front load split is greater than before meaning the car is more susceptable to understeer. </a:t>
          </a:r>
          <a:endParaRPr lang="en-GB" sz="1200" b="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10583</xdr:colOff>
      <xdr:row>31</xdr:row>
      <xdr:rowOff>10582</xdr:rowOff>
    </xdr:from>
    <xdr:to>
      <xdr:col>3</xdr:col>
      <xdr:colOff>10583</xdr:colOff>
      <xdr:row>40</xdr:row>
      <xdr:rowOff>169333</xdr:rowOff>
    </xdr:to>
    <xdr:sp macro="" textlink="">
      <xdr:nvSpPr>
        <xdr:cNvPr id="2" name="TextBox 1">
          <a:extLst>
            <a:ext uri="{FF2B5EF4-FFF2-40B4-BE49-F238E27FC236}">
              <a16:creationId xmlns:a16="http://schemas.microsoft.com/office/drawing/2014/main" id="{B6AE358A-3EFB-774F-AD86-88A9550AF400}"/>
            </a:ext>
          </a:extLst>
        </xdr:cNvPr>
        <xdr:cNvSpPr txBox="1"/>
      </xdr:nvSpPr>
      <xdr:spPr>
        <a:xfrm>
          <a:off x="683683" y="5395382"/>
          <a:ext cx="4610100" cy="1708151"/>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t>Q6,ii</a:t>
          </a:r>
        </a:p>
        <a:p>
          <a:endParaRPr lang="en-GB" sz="1200" b="1"/>
        </a:p>
        <a:p>
          <a:r>
            <a:rPr lang="en-GB" sz="1200" b="0"/>
            <a:t>Under single direction</a:t>
          </a:r>
          <a:r>
            <a:rPr lang="en-GB" sz="1200" b="0" baseline="0"/>
            <a:t> corner conditions only one way turns are required, The effect on car balance is turn direction dependant. And the car can be setup with a diagonal wheel load distribution or bias. e.g </a:t>
          </a:r>
          <a:r>
            <a:rPr lang="en-GB" sz="1200" b="1" i="1" baseline="0"/>
            <a:t>front right load</a:t>
          </a:r>
          <a:r>
            <a:rPr lang="en-GB" sz="1200" b="0" baseline="0"/>
            <a:t> plus </a:t>
          </a:r>
          <a:r>
            <a:rPr lang="en-GB" sz="1200" b="1" i="1" baseline="0"/>
            <a:t>rear left wheel load </a:t>
          </a:r>
          <a:r>
            <a:rPr lang="en-GB" sz="1200" b="0" baseline="0"/>
            <a:t>divide by </a:t>
          </a:r>
          <a:r>
            <a:rPr lang="en-GB" sz="1200" b="1" i="1" baseline="0"/>
            <a:t>total wheel load. </a:t>
          </a:r>
          <a:r>
            <a:rPr lang="en-GB" sz="1200" b="0" i="0" baseline="0"/>
            <a:t>However this setup is not suitable for normal road circuit use as the car would have different levels of grip in left and right turns. </a:t>
          </a:r>
          <a:endParaRPr lang="en-GB" sz="1200" b="0" i="0"/>
        </a:p>
      </xdr:txBody>
    </xdr:sp>
    <xdr:clientData/>
  </xdr:twoCellAnchor>
  <xdr:twoCellAnchor>
    <xdr:from>
      <xdr:col>4</xdr:col>
      <xdr:colOff>666749</xdr:colOff>
      <xdr:row>34</xdr:row>
      <xdr:rowOff>148168</xdr:rowOff>
    </xdr:from>
    <xdr:to>
      <xdr:col>6</xdr:col>
      <xdr:colOff>1269999</xdr:colOff>
      <xdr:row>39</xdr:row>
      <xdr:rowOff>21167</xdr:rowOff>
    </xdr:to>
    <mc:AlternateContent xmlns:mc="http://schemas.openxmlformats.org/markup-compatibility/2006">
      <mc:Choice xmlns:a14="http://schemas.microsoft.com/office/drawing/2010/main" Requires="a14">
        <xdr:sp macro="" textlink="">
          <xdr:nvSpPr>
            <xdr:cNvPr id="4" name="TextBox 3">
              <a:extLst>
                <a:ext uri="{FF2B5EF4-FFF2-40B4-BE49-F238E27FC236}">
                  <a16:creationId xmlns:a16="http://schemas.microsoft.com/office/drawing/2014/main" id="{8E2BA4BC-CD55-9E46-B962-6C2EE507432E}"/>
                </a:ext>
              </a:extLst>
            </xdr:cNvPr>
            <xdr:cNvSpPr txBox="1"/>
          </xdr:nvSpPr>
          <xdr:spPr>
            <a:xfrm>
              <a:off x="6762749" y="6191251"/>
              <a:ext cx="4593167" cy="719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14:m>
                <m:oMathPara xmlns:m="http://schemas.openxmlformats.org/officeDocument/2006/math">
                  <m:oMathParaPr>
                    <m:jc m:val="centerGroup"/>
                  </m:oMathParaPr>
                  <m:oMath xmlns:m="http://schemas.openxmlformats.org/officeDocument/2006/math">
                    <m:f>
                      <m:fPr>
                        <m:ctrlPr>
                          <a:rPr lang="en-GB" sz="1600" i="1">
                            <a:latin typeface="Cambria Math" panose="02040503050406030204" pitchFamily="18" charset="0"/>
                          </a:rPr>
                        </m:ctrlPr>
                      </m:fPr>
                      <m:num>
                        <m:r>
                          <a:rPr lang="en-GB" sz="1600" b="0" i="1">
                            <a:latin typeface="Cambria Math" panose="02040503050406030204" pitchFamily="18" charset="0"/>
                          </a:rPr>
                          <m:t>𝐹𝑟𝑜𝑛𝑡</m:t>
                        </m:r>
                        <m:r>
                          <a:rPr lang="en-GB" sz="1600" b="0" i="1">
                            <a:latin typeface="Cambria Math" panose="02040503050406030204" pitchFamily="18" charset="0"/>
                          </a:rPr>
                          <m:t> </m:t>
                        </m:r>
                        <m:r>
                          <a:rPr lang="en-GB" sz="1600" b="0" i="1">
                            <a:latin typeface="Cambria Math" panose="02040503050406030204" pitchFamily="18" charset="0"/>
                          </a:rPr>
                          <m:t>𝑅𝑖𝑔h𝑡</m:t>
                        </m:r>
                        <m:r>
                          <a:rPr lang="en-GB" sz="1600" b="0" i="1">
                            <a:latin typeface="Cambria Math" panose="02040503050406030204" pitchFamily="18" charset="0"/>
                          </a:rPr>
                          <m:t> </m:t>
                        </m:r>
                        <m:r>
                          <a:rPr lang="en-GB" sz="1600" b="0" i="1">
                            <a:latin typeface="Cambria Math" panose="02040503050406030204" pitchFamily="18" charset="0"/>
                          </a:rPr>
                          <m:t>𝐿𝑜𝑎𝑑</m:t>
                        </m:r>
                        <m:r>
                          <a:rPr lang="en-GB" sz="1600" b="0" i="1">
                            <a:latin typeface="Cambria Math" panose="02040503050406030204" pitchFamily="18" charset="0"/>
                          </a:rPr>
                          <m:t> +  </m:t>
                        </m:r>
                        <m:r>
                          <a:rPr lang="en-GB" sz="1600" b="0" i="1">
                            <a:latin typeface="Cambria Math" panose="02040503050406030204" pitchFamily="18" charset="0"/>
                          </a:rPr>
                          <m:t>𝑅𝑒𝑎𝑟</m:t>
                        </m:r>
                        <m:r>
                          <a:rPr lang="en-GB" sz="1600" b="0" i="1">
                            <a:latin typeface="Cambria Math" panose="02040503050406030204" pitchFamily="18" charset="0"/>
                          </a:rPr>
                          <m:t> </m:t>
                        </m:r>
                        <m:r>
                          <a:rPr lang="en-GB" sz="1600" b="0" i="1">
                            <a:latin typeface="Cambria Math" panose="02040503050406030204" pitchFamily="18" charset="0"/>
                          </a:rPr>
                          <m:t>𝐿𝑒𝑓𝑡</m:t>
                        </m:r>
                        <m:r>
                          <a:rPr lang="en-GB" sz="1600" b="0" i="1">
                            <a:latin typeface="Cambria Math" panose="02040503050406030204" pitchFamily="18" charset="0"/>
                          </a:rPr>
                          <m:t> </m:t>
                        </m:r>
                        <m:r>
                          <a:rPr lang="en-GB" sz="1600" b="0" i="1">
                            <a:latin typeface="Cambria Math" panose="02040503050406030204" pitchFamily="18" charset="0"/>
                          </a:rPr>
                          <m:t>𝐿𝑜𝑎𝑑</m:t>
                        </m:r>
                      </m:num>
                      <m:den>
                        <m:r>
                          <a:rPr lang="en-GB" sz="1600" b="0" i="1">
                            <a:latin typeface="Cambria Math" panose="02040503050406030204" pitchFamily="18" charset="0"/>
                          </a:rPr>
                          <m:t>𝑇𝑜𝑡𝑎𝑙</m:t>
                        </m:r>
                        <m:r>
                          <a:rPr lang="en-GB" sz="1600" b="0" i="1">
                            <a:latin typeface="Cambria Math" panose="02040503050406030204" pitchFamily="18" charset="0"/>
                          </a:rPr>
                          <m:t> </m:t>
                        </m:r>
                        <m:r>
                          <a:rPr lang="en-GB" sz="1600" b="0" i="1">
                            <a:latin typeface="Cambria Math" panose="02040503050406030204" pitchFamily="18" charset="0"/>
                          </a:rPr>
                          <m:t>𝑊h𝑒𝑒𝑙</m:t>
                        </m:r>
                        <m:r>
                          <a:rPr lang="en-GB" sz="1600" b="0" i="1">
                            <a:latin typeface="Cambria Math" panose="02040503050406030204" pitchFamily="18" charset="0"/>
                          </a:rPr>
                          <m:t> </m:t>
                        </m:r>
                        <m:r>
                          <a:rPr lang="en-GB" sz="1600" b="0" i="1">
                            <a:latin typeface="Cambria Math" panose="02040503050406030204" pitchFamily="18" charset="0"/>
                          </a:rPr>
                          <m:t>𝐿𝑜𝑎𝑑</m:t>
                        </m:r>
                      </m:den>
                    </m:f>
                  </m:oMath>
                </m:oMathPara>
              </a14:m>
              <a:endParaRPr lang="en-GB" sz="1100" i="1"/>
            </a:p>
          </xdr:txBody>
        </xdr:sp>
      </mc:Choice>
      <mc:Fallback>
        <xdr:sp macro="" textlink="">
          <xdr:nvSpPr>
            <xdr:cNvPr id="4" name="TextBox 3">
              <a:extLst>
                <a:ext uri="{FF2B5EF4-FFF2-40B4-BE49-F238E27FC236}">
                  <a16:creationId xmlns:a16="http://schemas.microsoft.com/office/drawing/2014/main" id="{8E2BA4BC-CD55-9E46-B962-6C2EE507432E}"/>
                </a:ext>
              </a:extLst>
            </xdr:cNvPr>
            <xdr:cNvSpPr txBox="1"/>
          </xdr:nvSpPr>
          <xdr:spPr>
            <a:xfrm>
              <a:off x="6762749" y="6191251"/>
              <a:ext cx="4593167" cy="719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i="0">
                  <a:latin typeface="Cambria Math" panose="02040503050406030204" pitchFamily="18" charset="0"/>
                </a:rPr>
                <a:t>(</a:t>
              </a:r>
              <a:r>
                <a:rPr lang="en-GB" sz="1600" b="0" i="0">
                  <a:latin typeface="Cambria Math" panose="02040503050406030204" pitchFamily="18" charset="0"/>
                </a:rPr>
                <a:t>𝐹𝑟𝑜𝑛𝑡 𝑅𝑖𝑔ℎ𝑡 𝐿𝑜𝑎𝑑 +  𝑅𝑒𝑎𝑟 𝐿𝑒𝑓𝑡 𝐿𝑜𝑎𝑑)/(𝑇𝑜𝑡𝑎𝑙 𝑊ℎ𝑒𝑒𝑙 𝐿𝑜𝑎𝑑)</a:t>
              </a:r>
              <a:endParaRPr lang="en-GB" sz="1100" i="1"/>
            </a:p>
          </xdr:txBody>
        </xdr:sp>
      </mc:Fallback>
    </mc:AlternateContent>
    <xdr:clientData/>
  </xdr:twoCellAnchor>
  <xdr:twoCellAnchor>
    <xdr:from>
      <xdr:col>2</xdr:col>
      <xdr:colOff>3725333</xdr:colOff>
      <xdr:row>37</xdr:row>
      <xdr:rowOff>1</xdr:rowOff>
    </xdr:from>
    <xdr:to>
      <xdr:col>4</xdr:col>
      <xdr:colOff>666749</xdr:colOff>
      <xdr:row>37</xdr:row>
      <xdr:rowOff>52917</xdr:rowOff>
    </xdr:to>
    <xdr:cxnSp macro="">
      <xdr:nvCxnSpPr>
        <xdr:cNvPr id="6" name="Straight Arrow Connector 5">
          <a:extLst>
            <a:ext uri="{FF2B5EF4-FFF2-40B4-BE49-F238E27FC236}">
              <a16:creationId xmlns:a16="http://schemas.microsoft.com/office/drawing/2014/main" id="{7DA7CFC5-D39B-6A45-AC48-FE49E5F189B0}"/>
            </a:ext>
          </a:extLst>
        </xdr:cNvPr>
        <xdr:cNvCxnSpPr>
          <a:endCxn id="4" idx="1"/>
        </xdr:cNvCxnSpPr>
      </xdr:nvCxnSpPr>
      <xdr:spPr>
        <a:xfrm flipV="1">
          <a:off x="5080000" y="6551084"/>
          <a:ext cx="1682749" cy="5291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1269999</xdr:colOff>
      <xdr:row>33</xdr:row>
      <xdr:rowOff>52917</xdr:rowOff>
    </xdr:from>
    <xdr:to>
      <xdr:col>8</xdr:col>
      <xdr:colOff>1852083</xdr:colOff>
      <xdr:row>37</xdr:row>
      <xdr:rowOff>1</xdr:rowOff>
    </xdr:to>
    <xdr:cxnSp macro="">
      <xdr:nvCxnSpPr>
        <xdr:cNvPr id="10" name="Straight Arrow Connector 9">
          <a:extLst>
            <a:ext uri="{FF2B5EF4-FFF2-40B4-BE49-F238E27FC236}">
              <a16:creationId xmlns:a16="http://schemas.microsoft.com/office/drawing/2014/main" id="{0FDAA3A1-7F35-D746-B57B-BA61E769311E}"/>
            </a:ext>
          </a:extLst>
        </xdr:cNvPr>
        <xdr:cNvCxnSpPr>
          <a:stCxn id="4" idx="3"/>
        </xdr:cNvCxnSpPr>
      </xdr:nvCxnSpPr>
      <xdr:spPr>
        <a:xfrm flipV="1">
          <a:off x="11355916" y="5926667"/>
          <a:ext cx="2529417" cy="624417"/>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8"/>
  <sheetViews>
    <sheetView topLeftCell="E1" zoomScale="126" zoomScaleNormal="126" workbookViewId="0">
      <selection activeCell="J8" sqref="J8"/>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7</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1</v>
      </c>
      <c r="E4" s="28" t="s">
        <v>93</v>
      </c>
      <c r="F4" s="28" t="s">
        <v>68</v>
      </c>
      <c r="G4" s="32">
        <f>SUM(D8-D12)</f>
        <v>225</v>
      </c>
      <c r="H4" s="30" t="s">
        <v>64</v>
      </c>
      <c r="I4" s="30" t="s">
        <v>118</v>
      </c>
      <c r="J4" s="39">
        <f>((D20^2*G21)/2)</f>
        <v>49.246874999999996</v>
      </c>
      <c r="L4" s="124"/>
      <c r="M4" s="127"/>
      <c r="N4" s="124"/>
      <c r="O4" s="124"/>
      <c r="P4" s="124"/>
    </row>
    <row r="5" spans="2:16" ht="15" customHeight="1" x14ac:dyDescent="0.15">
      <c r="B5" s="43" t="s">
        <v>85</v>
      </c>
      <c r="C5" s="30" t="s">
        <v>162</v>
      </c>
      <c r="D5" s="137">
        <v>1</v>
      </c>
      <c r="E5" s="28" t="s">
        <v>94</v>
      </c>
      <c r="F5" s="28" t="s">
        <v>2</v>
      </c>
      <c r="G5" s="32">
        <f>SUM(D9-D13)</f>
        <v>225</v>
      </c>
      <c r="H5" s="28" t="s">
        <v>41</v>
      </c>
      <c r="I5" s="28" t="s">
        <v>50</v>
      </c>
      <c r="J5" s="39">
        <f>((D21^2*G22)/2)</f>
        <v>49.246874999999996</v>
      </c>
      <c r="K5" s="35"/>
      <c r="L5" s="125"/>
      <c r="M5" s="134"/>
      <c r="N5" s="125"/>
      <c r="O5" s="124"/>
      <c r="P5" s="124"/>
    </row>
    <row r="6" spans="2:16" ht="16.5" customHeight="1" x14ac:dyDescent="0.15">
      <c r="B6" s="43" t="s">
        <v>86</v>
      </c>
      <c r="C6" s="30" t="s">
        <v>163</v>
      </c>
      <c r="D6" s="137">
        <v>1</v>
      </c>
      <c r="E6" s="28" t="s">
        <v>95</v>
      </c>
      <c r="F6" s="28" t="s">
        <v>70</v>
      </c>
      <c r="G6" s="32">
        <f>SUM(D10-D14)</f>
        <v>225</v>
      </c>
      <c r="H6" s="28" t="s">
        <v>42</v>
      </c>
      <c r="I6" s="28" t="s">
        <v>49</v>
      </c>
      <c r="J6" s="148">
        <f>J4+J5</f>
        <v>98.493749999999991</v>
      </c>
      <c r="K6" s="35"/>
      <c r="L6" s="135"/>
      <c r="M6" s="136"/>
      <c r="N6" s="125"/>
      <c r="O6" s="124"/>
      <c r="P6" s="124"/>
    </row>
    <row r="7" spans="2:16" x14ac:dyDescent="0.15">
      <c r="B7" s="43" t="s">
        <v>56</v>
      </c>
      <c r="C7" s="30" t="s">
        <v>164</v>
      </c>
      <c r="D7" s="137">
        <v>1</v>
      </c>
      <c r="E7" s="28" t="s">
        <v>0</v>
      </c>
      <c r="F7" s="28" t="s">
        <v>69</v>
      </c>
      <c r="G7" s="32">
        <f>SUM(D11-D15)</f>
        <v>225</v>
      </c>
      <c r="H7" s="28" t="s">
        <v>47</v>
      </c>
      <c r="I7" s="28" t="s">
        <v>48</v>
      </c>
      <c r="J7" s="39">
        <f>(G10*D1*G27)</f>
        <v>1663.2</v>
      </c>
      <c r="L7" s="124"/>
      <c r="M7" s="124"/>
      <c r="N7" s="124"/>
      <c r="O7" s="124"/>
      <c r="P7" s="124"/>
    </row>
    <row r="8" spans="2:16" ht="14" x14ac:dyDescent="0.2">
      <c r="B8" s="43" t="s">
        <v>87</v>
      </c>
      <c r="C8" s="28" t="s">
        <v>76</v>
      </c>
      <c r="D8" s="137">
        <v>250</v>
      </c>
      <c r="E8" s="30" t="s">
        <v>23</v>
      </c>
      <c r="F8" s="28" t="s">
        <v>19</v>
      </c>
      <c r="G8" s="32">
        <f>SUM(G4+G5)</f>
        <v>450</v>
      </c>
      <c r="H8" s="113" t="s">
        <v>119</v>
      </c>
      <c r="I8" s="30" t="s">
        <v>123</v>
      </c>
      <c r="J8" s="119">
        <f>(J7/J6)</f>
        <v>16.886350656767565</v>
      </c>
      <c r="K8" s="42">
        <f>J8*180/3.142</f>
        <v>967.39118975753092</v>
      </c>
      <c r="L8" s="128" t="s">
        <v>122</v>
      </c>
      <c r="M8" s="124"/>
      <c r="N8" s="124"/>
      <c r="O8" s="124"/>
      <c r="P8" s="129"/>
    </row>
    <row r="9" spans="2:16" x14ac:dyDescent="0.15">
      <c r="B9" s="43" t="s">
        <v>88</v>
      </c>
      <c r="C9" s="28" t="s">
        <v>77</v>
      </c>
      <c r="D9" s="137">
        <v>250</v>
      </c>
      <c r="E9" s="28" t="s">
        <v>22</v>
      </c>
      <c r="F9" s="28" t="s">
        <v>20</v>
      </c>
      <c r="G9" s="32">
        <f>SUM(G6+G7)</f>
        <v>450</v>
      </c>
      <c r="H9" s="28" t="s">
        <v>29</v>
      </c>
      <c r="I9" s="28" t="s">
        <v>51</v>
      </c>
      <c r="J9" s="148">
        <f>(J8*G21*D20)/2</f>
        <v>554.40000000000009</v>
      </c>
      <c r="L9" s="124"/>
      <c r="M9" s="124"/>
      <c r="N9" s="124"/>
      <c r="O9" s="124"/>
      <c r="P9" s="125"/>
    </row>
    <row r="10" spans="2:16" x14ac:dyDescent="0.15">
      <c r="B10" s="43" t="s">
        <v>89</v>
      </c>
      <c r="C10" s="28" t="s">
        <v>78</v>
      </c>
      <c r="D10" s="137">
        <v>250</v>
      </c>
      <c r="E10" s="110" t="s">
        <v>117</v>
      </c>
      <c r="F10" s="110" t="s">
        <v>115</v>
      </c>
      <c r="G10" s="37">
        <f>SUM(G8+G9)</f>
        <v>900</v>
      </c>
      <c r="H10" s="120" t="s">
        <v>32</v>
      </c>
      <c r="I10" s="30" t="s">
        <v>52</v>
      </c>
      <c r="J10" s="148">
        <f>(J8*G22*D21)/2</f>
        <v>554.40000000000009</v>
      </c>
      <c r="L10" s="121"/>
      <c r="M10" s="125"/>
      <c r="N10" s="125"/>
      <c r="O10" s="124"/>
      <c r="P10" s="125"/>
    </row>
    <row r="11" spans="2:16" x14ac:dyDescent="0.15">
      <c r="B11" s="43" t="s">
        <v>1</v>
      </c>
      <c r="C11" s="28" t="s">
        <v>79</v>
      </c>
      <c r="D11" s="137">
        <v>250</v>
      </c>
      <c r="E11" s="110" t="s">
        <v>113</v>
      </c>
      <c r="F11" s="110" t="s">
        <v>116</v>
      </c>
      <c r="G11" s="111">
        <f>SUM(G10+D12+D13+D14+D15)</f>
        <v>1000</v>
      </c>
      <c r="H11" s="29"/>
      <c r="I11" s="29"/>
      <c r="J11" s="40"/>
      <c r="K11" s="27"/>
      <c r="L11" s="125"/>
      <c r="M11" s="125"/>
      <c r="N11" s="125"/>
      <c r="O11" s="124"/>
      <c r="P11" s="125"/>
    </row>
    <row r="12" spans="2:16" x14ac:dyDescent="0.15">
      <c r="B12" s="43" t="s">
        <v>90</v>
      </c>
      <c r="C12" s="28" t="s">
        <v>80</v>
      </c>
      <c r="D12" s="138">
        <v>25</v>
      </c>
      <c r="E12" s="112" t="s">
        <v>120</v>
      </c>
      <c r="F12" s="112" t="s">
        <v>121</v>
      </c>
      <c r="G12" s="111">
        <f>SUM(D12+D13+D14+D15)</f>
        <v>100</v>
      </c>
      <c r="H12" s="28" t="s">
        <v>57</v>
      </c>
      <c r="I12" s="30" t="s">
        <v>147</v>
      </c>
      <c r="J12" s="39">
        <f>(G8*'EXAM Q1'!D1*'EXAM Q1'!D27)/'EXAM Q1'!D20</f>
        <v>210</v>
      </c>
      <c r="L12" s="121"/>
      <c r="M12" s="125"/>
      <c r="N12" s="125"/>
      <c r="O12" s="124"/>
      <c r="P12" s="125"/>
    </row>
    <row r="13" spans="2:16" x14ac:dyDescent="0.15">
      <c r="B13" s="43" t="s">
        <v>91</v>
      </c>
      <c r="C13" s="28" t="s">
        <v>81</v>
      </c>
      <c r="D13" s="137">
        <v>25</v>
      </c>
      <c r="E13" s="30" t="s">
        <v>109</v>
      </c>
      <c r="F13" s="28" t="s">
        <v>71</v>
      </c>
      <c r="G13" s="141">
        <f>SUM(D16*0.1751)</f>
        <v>43.774999999999999</v>
      </c>
      <c r="H13" s="28" t="s">
        <v>60</v>
      </c>
      <c r="I13" s="30" t="s">
        <v>148</v>
      </c>
      <c r="J13" s="39">
        <f>(G9*D1*D28)/D21</f>
        <v>420</v>
      </c>
      <c r="L13" s="125"/>
      <c r="M13" s="125"/>
      <c r="N13" s="125"/>
      <c r="O13" s="124"/>
      <c r="P13" s="125"/>
    </row>
    <row r="14" spans="2:16" x14ac:dyDescent="0.15">
      <c r="B14" s="43" t="s">
        <v>92</v>
      </c>
      <c r="C14" s="28" t="s">
        <v>82</v>
      </c>
      <c r="D14" s="137">
        <v>25</v>
      </c>
      <c r="E14" s="30" t="s">
        <v>110</v>
      </c>
      <c r="F14" s="28" t="s">
        <v>72</v>
      </c>
      <c r="G14" s="141">
        <f>SUM(D17*0.1751)</f>
        <v>43.774999999999999</v>
      </c>
      <c r="H14" s="28" t="s">
        <v>58</v>
      </c>
      <c r="I14" s="30" t="s">
        <v>149</v>
      </c>
      <c r="J14" s="39">
        <f>((D12+D13)*D1*D23)/D20</f>
        <v>64.166666666666671</v>
      </c>
      <c r="L14" s="125"/>
      <c r="M14" s="125"/>
      <c r="N14" s="125"/>
      <c r="O14" s="124"/>
      <c r="P14" s="124"/>
    </row>
    <row r="15" spans="2:16" x14ac:dyDescent="0.15">
      <c r="B15" s="43" t="s">
        <v>21</v>
      </c>
      <c r="C15" s="28" t="s">
        <v>83</v>
      </c>
      <c r="D15" s="137">
        <v>25</v>
      </c>
      <c r="E15" s="28" t="s">
        <v>96</v>
      </c>
      <c r="F15" s="28" t="s">
        <v>73</v>
      </c>
      <c r="G15" s="141">
        <f>SUM(D18*0.1751)</f>
        <v>43.774999999999999</v>
      </c>
      <c r="H15" s="28" t="s">
        <v>59</v>
      </c>
      <c r="I15" s="30" t="s">
        <v>150</v>
      </c>
      <c r="J15" s="39">
        <f>((D14+D15)*D1*D24)/D21</f>
        <v>64.166666666666671</v>
      </c>
      <c r="L15" s="131"/>
      <c r="M15" s="125"/>
      <c r="N15" s="125"/>
      <c r="O15" s="124"/>
      <c r="P15" s="124"/>
    </row>
    <row r="16" spans="2:16" x14ac:dyDescent="0.15">
      <c r="B16" s="43" t="s">
        <v>102</v>
      </c>
      <c r="C16" s="28" t="s">
        <v>104</v>
      </c>
      <c r="D16" s="137">
        <v>250</v>
      </c>
      <c r="E16" s="28" t="s">
        <v>97</v>
      </c>
      <c r="F16" s="28" t="s">
        <v>74</v>
      </c>
      <c r="G16" s="141">
        <f>SUM(D19*0.1751)</f>
        <v>43.774999999999999</v>
      </c>
      <c r="H16" s="28"/>
      <c r="I16" s="110" t="s">
        <v>151</v>
      </c>
      <c r="J16" s="114">
        <f>J9+J12+J14</f>
        <v>828.56666666666672</v>
      </c>
      <c r="L16" s="125"/>
      <c r="M16" s="125"/>
      <c r="N16" s="125"/>
      <c r="O16" s="124"/>
      <c r="P16" s="124"/>
    </row>
    <row r="17" spans="2:18" x14ac:dyDescent="0.15">
      <c r="B17" s="43" t="s">
        <v>103</v>
      </c>
      <c r="C17" s="28" t="s">
        <v>105</v>
      </c>
      <c r="D17" s="137">
        <v>250</v>
      </c>
      <c r="E17" s="28" t="s">
        <v>98</v>
      </c>
      <c r="F17" s="28" t="s">
        <v>75</v>
      </c>
      <c r="G17" s="34">
        <f>D4^2*G13</f>
        <v>43.774999999999999</v>
      </c>
      <c r="H17" s="28"/>
      <c r="I17" s="110" t="s">
        <v>152</v>
      </c>
      <c r="J17" s="114">
        <f>J10+J13+J15</f>
        <v>1038.5666666666668</v>
      </c>
      <c r="K17" s="35"/>
      <c r="L17" s="131"/>
      <c r="M17" s="125"/>
      <c r="N17" s="125"/>
      <c r="O17" s="125"/>
      <c r="P17" s="125"/>
      <c r="Q17" s="35"/>
      <c r="R17" s="35"/>
    </row>
    <row r="18" spans="2:18" x14ac:dyDescent="0.15">
      <c r="B18" s="43" t="s">
        <v>96</v>
      </c>
      <c r="C18" s="28" t="s">
        <v>106</v>
      </c>
      <c r="D18" s="137">
        <v>250</v>
      </c>
      <c r="E18" s="28" t="s">
        <v>99</v>
      </c>
      <c r="F18" s="28" t="s">
        <v>100</v>
      </c>
      <c r="G18" s="34">
        <f>D5^2*G14</f>
        <v>43.774999999999999</v>
      </c>
      <c r="H18" s="28"/>
      <c r="I18" s="110" t="s">
        <v>167</v>
      </c>
      <c r="J18" s="149">
        <f>J16+J17</f>
        <v>1867.1333333333337</v>
      </c>
      <c r="K18" s="35"/>
      <c r="L18" s="125"/>
      <c r="M18" s="125"/>
      <c r="N18" s="125"/>
      <c r="O18" s="125"/>
      <c r="P18" s="125"/>
      <c r="Q18" s="35"/>
      <c r="R18" s="35"/>
    </row>
    <row r="19" spans="2:18" x14ac:dyDescent="0.15">
      <c r="B19" s="43" t="s">
        <v>97</v>
      </c>
      <c r="C19" s="28" t="s">
        <v>107</v>
      </c>
      <c r="D19" s="137">
        <v>250</v>
      </c>
      <c r="E19" s="28" t="s">
        <v>157</v>
      </c>
      <c r="F19" s="28" t="s">
        <v>155</v>
      </c>
      <c r="G19" s="34">
        <f>D6^2*G15</f>
        <v>43.774999999999999</v>
      </c>
      <c r="H19" s="28" t="s">
        <v>101</v>
      </c>
      <c r="I19" s="28" t="s">
        <v>53</v>
      </c>
      <c r="J19" s="154">
        <f>D8*9.81+J16</f>
        <v>3281.0666666666666</v>
      </c>
      <c r="K19" s="35"/>
      <c r="L19" s="132"/>
      <c r="M19" s="133"/>
      <c r="N19" s="125"/>
      <c r="O19" s="125"/>
      <c r="P19" s="125"/>
      <c r="Q19" s="35"/>
      <c r="R19" s="35"/>
    </row>
    <row r="20" spans="2:18" x14ac:dyDescent="0.15">
      <c r="B20" s="43" t="s">
        <v>25</v>
      </c>
      <c r="C20" s="28" t="s">
        <v>169</v>
      </c>
      <c r="D20" s="137">
        <v>1.5</v>
      </c>
      <c r="E20" s="28" t="s">
        <v>158</v>
      </c>
      <c r="F20" s="28" t="s">
        <v>156</v>
      </c>
      <c r="G20" s="34">
        <f>D7^2*G16</f>
        <v>43.774999999999999</v>
      </c>
      <c r="H20" s="30" t="s">
        <v>111</v>
      </c>
      <c r="I20" s="28" t="s">
        <v>168</v>
      </c>
      <c r="J20" s="154">
        <f>D9*9.81-J16</f>
        <v>1623.9333333333334</v>
      </c>
      <c r="K20" s="35"/>
      <c r="L20" s="121"/>
      <c r="M20" s="125"/>
      <c r="N20" s="125"/>
      <c r="O20" s="125"/>
      <c r="P20" s="125"/>
      <c r="Q20" s="35"/>
      <c r="R20" s="35"/>
    </row>
    <row r="21" spans="2:18" x14ac:dyDescent="0.15">
      <c r="B21" s="43" t="s">
        <v>26</v>
      </c>
      <c r="C21" s="28" t="s">
        <v>24</v>
      </c>
      <c r="D21" s="137">
        <v>1.5</v>
      </c>
      <c r="E21" s="28"/>
      <c r="F21" s="142" t="s">
        <v>165</v>
      </c>
      <c r="G21" s="143">
        <f>(G17+G18)/2</f>
        <v>43.774999999999999</v>
      </c>
      <c r="H21" s="30" t="s">
        <v>108</v>
      </c>
      <c r="I21" s="28" t="s">
        <v>54</v>
      </c>
      <c r="J21" s="154">
        <f>D10*9.81+J17</f>
        <v>3491.0666666666666</v>
      </c>
      <c r="K21" s="35"/>
      <c r="L21" s="125"/>
      <c r="M21" s="125"/>
      <c r="N21" s="125"/>
      <c r="O21" s="125"/>
      <c r="P21" s="125"/>
      <c r="Q21" s="35"/>
      <c r="R21" s="35"/>
    </row>
    <row r="22" spans="2:18" x14ac:dyDescent="0.15">
      <c r="B22" s="43" t="s">
        <v>28</v>
      </c>
      <c r="C22" s="28" t="s">
        <v>27</v>
      </c>
      <c r="D22" s="137">
        <v>2.5</v>
      </c>
      <c r="E22" s="28"/>
      <c r="F22" s="142" t="s">
        <v>166</v>
      </c>
      <c r="G22" s="143">
        <f>(G19+G20)/2</f>
        <v>43.774999999999999</v>
      </c>
      <c r="H22" s="28" t="s">
        <v>40</v>
      </c>
      <c r="I22" s="28" t="s">
        <v>55</v>
      </c>
      <c r="J22" s="154">
        <f>D11*9.81-J17</f>
        <v>1413.9333333333332</v>
      </c>
      <c r="K22" s="35"/>
      <c r="L22" s="125"/>
      <c r="M22" s="125"/>
      <c r="N22" s="125"/>
      <c r="O22" s="125"/>
      <c r="P22" s="125"/>
      <c r="Q22" s="35"/>
      <c r="R22" s="35"/>
    </row>
    <row r="23" spans="2:18" x14ac:dyDescent="0.15">
      <c r="B23" s="109" t="s">
        <v>126</v>
      </c>
      <c r="C23" s="110" t="s">
        <v>124</v>
      </c>
      <c r="D23" s="137">
        <v>0.27500000000000002</v>
      </c>
      <c r="E23" s="28" t="s">
        <v>36</v>
      </c>
      <c r="F23" s="30" t="s">
        <v>114</v>
      </c>
      <c r="G23" s="137">
        <f>(G9*D22)/G10</f>
        <v>1.25</v>
      </c>
      <c r="H23" s="28"/>
      <c r="I23" s="144" t="s">
        <v>153</v>
      </c>
      <c r="J23" s="150">
        <f>J19+J20+J21+J22</f>
        <v>9809.9999999999982</v>
      </c>
      <c r="K23" s="35"/>
      <c r="L23" s="125"/>
      <c r="M23" s="125"/>
      <c r="N23" s="125"/>
      <c r="O23" s="125"/>
      <c r="P23" s="125"/>
      <c r="Q23" s="35"/>
      <c r="R23" s="35"/>
    </row>
    <row r="24" spans="2:18" x14ac:dyDescent="0.15">
      <c r="B24" s="151" t="s">
        <v>125</v>
      </c>
      <c r="C24" s="110" t="s">
        <v>127</v>
      </c>
      <c r="D24" s="137">
        <v>0.27500000000000002</v>
      </c>
      <c r="E24" s="28" t="s">
        <v>37</v>
      </c>
      <c r="F24" s="28" t="s">
        <v>46</v>
      </c>
      <c r="G24" s="37">
        <f>D28-D27</f>
        <v>0.1</v>
      </c>
      <c r="H24" s="28"/>
      <c r="I24" s="30" t="s">
        <v>154</v>
      </c>
      <c r="J24" s="152">
        <f>G11*9.81</f>
        <v>9810</v>
      </c>
      <c r="K24" s="35"/>
      <c r="L24" s="125"/>
      <c r="M24" s="125"/>
      <c r="N24" s="125"/>
      <c r="O24" s="125"/>
      <c r="P24" s="125"/>
      <c r="Q24" s="35"/>
      <c r="R24" s="35"/>
    </row>
    <row r="25" spans="2:18" x14ac:dyDescent="0.15">
      <c r="B25" s="117" t="s">
        <v>170</v>
      </c>
      <c r="C25" s="28" t="s">
        <v>63</v>
      </c>
      <c r="D25" s="137">
        <v>0.4</v>
      </c>
      <c r="E25" s="28" t="s">
        <v>38</v>
      </c>
      <c r="F25" s="28" t="s">
        <v>43</v>
      </c>
      <c r="G25" s="137">
        <f>(D28-D27)/D22*G23</f>
        <v>0.05</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0.15000000000000002</v>
      </c>
      <c r="H26" s="28"/>
      <c r="I26" s="28"/>
      <c r="J26" s="153"/>
      <c r="K26" s="35"/>
      <c r="L26" s="125"/>
      <c r="M26" s="125"/>
      <c r="N26" s="125"/>
      <c r="O26" s="125"/>
      <c r="P26" s="125"/>
      <c r="Q26" s="35"/>
      <c r="R26" s="35"/>
    </row>
    <row r="27" spans="2:18" x14ac:dyDescent="0.15">
      <c r="B27" s="43" t="s">
        <v>34</v>
      </c>
      <c r="C27" s="30" t="s">
        <v>159</v>
      </c>
      <c r="D27" s="137">
        <v>0.1</v>
      </c>
      <c r="E27" s="28" t="s">
        <v>67</v>
      </c>
      <c r="F27" s="28" t="s">
        <v>45</v>
      </c>
      <c r="G27" s="139">
        <f>D26-G25-D27</f>
        <v>0.26400000000000001</v>
      </c>
      <c r="H27" s="28" t="s">
        <v>65</v>
      </c>
      <c r="I27" s="28" t="s">
        <v>66</v>
      </c>
      <c r="J27" s="149">
        <f>(G11*D1*D25)/((D20+D21)/2)</f>
        <v>1866.6666666666667</v>
      </c>
      <c r="K27" s="35"/>
      <c r="L27" s="121"/>
      <c r="M27" s="125"/>
      <c r="N27" s="125"/>
      <c r="O27" s="125"/>
      <c r="P27" s="125"/>
      <c r="Q27" s="35"/>
      <c r="R27" s="35"/>
    </row>
    <row r="28" spans="2:18" ht="14" thickBot="1" x14ac:dyDescent="0.2">
      <c r="B28" s="115" t="s">
        <v>35</v>
      </c>
      <c r="C28" s="118" t="s">
        <v>160</v>
      </c>
      <c r="D28" s="140">
        <v>0.2</v>
      </c>
      <c r="E28" s="44"/>
      <c r="F28" s="44"/>
      <c r="G28" s="116"/>
      <c r="H28" s="156"/>
      <c r="I28" s="156"/>
      <c r="J28" s="157"/>
      <c r="K28" s="35"/>
      <c r="L28" s="121"/>
      <c r="M28" s="125"/>
      <c r="N28" s="125"/>
      <c r="O28" s="125"/>
      <c r="P28" s="125"/>
      <c r="Q28" s="35"/>
      <c r="R28" s="35"/>
    </row>
    <row r="29" spans="2:18" x14ac:dyDescent="0.15">
      <c r="H29" s="28" t="s">
        <v>171</v>
      </c>
      <c r="I29" s="28" t="s">
        <v>131</v>
      </c>
      <c r="J29" s="160">
        <f>(J19-J20)</f>
        <v>1657.1333333333332</v>
      </c>
      <c r="K29" s="35"/>
      <c r="L29" s="130"/>
      <c r="M29" s="130"/>
      <c r="N29" s="130"/>
      <c r="O29" s="130"/>
      <c r="P29" s="125"/>
      <c r="Q29" s="35"/>
      <c r="R29" s="35"/>
    </row>
    <row r="30" spans="2:18" ht="14" x14ac:dyDescent="0.15">
      <c r="D30" s="121"/>
      <c r="E30" s="125"/>
      <c r="G30" s="36"/>
      <c r="H30" s="158" t="s">
        <v>172</v>
      </c>
      <c r="I30" s="158" t="s">
        <v>137</v>
      </c>
      <c r="J30" s="160">
        <f>(J21-J22)</f>
        <v>2077.1333333333332</v>
      </c>
      <c r="K30" s="35"/>
      <c r="L30" s="130"/>
      <c r="M30" s="130"/>
      <c r="N30" s="130"/>
      <c r="O30" s="130"/>
      <c r="P30" s="125"/>
      <c r="Q30" s="35"/>
      <c r="R30" s="35"/>
    </row>
    <row r="31" spans="2:18" ht="15" x14ac:dyDescent="0.2">
      <c r="C31" s="125"/>
      <c r="G31" s="36"/>
      <c r="H31" s="159" t="s">
        <v>173</v>
      </c>
      <c r="I31" s="158" t="s">
        <v>174</v>
      </c>
      <c r="J31" s="160">
        <f>(J29-J30)</f>
        <v>-420</v>
      </c>
    </row>
    <row r="32" spans="2:18" ht="17" x14ac:dyDescent="0.15">
      <c r="C32" s="126"/>
      <c r="D32" s="124"/>
      <c r="F32" s="123"/>
      <c r="H32" s="28"/>
      <c r="I32" s="142" t="s">
        <v>175</v>
      </c>
      <c r="J32" s="28">
        <f>(J17/J18*100)</f>
        <v>55.62359410147463</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837CD-D388-6B4D-8ABF-74CE2C1DDB5E}">
  <dimension ref="B1:R38"/>
  <sheetViews>
    <sheetView zoomScale="126" zoomScaleNormal="126" workbookViewId="0">
      <selection activeCell="B9" sqref="B9"/>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156.80000000000001</v>
      </c>
      <c r="H4" s="30" t="s">
        <v>64</v>
      </c>
      <c r="I4" s="30" t="s">
        <v>118</v>
      </c>
      <c r="J4" s="39">
        <f>((D20^2*G21)/2)</f>
        <v>28.877689953614247</v>
      </c>
      <c r="L4" s="124"/>
      <c r="M4" s="127"/>
      <c r="N4" s="124"/>
      <c r="O4" s="124"/>
      <c r="P4" s="124"/>
    </row>
    <row r="5" spans="2:16" ht="15" customHeight="1" x14ac:dyDescent="0.15">
      <c r="B5" s="43" t="s">
        <v>85</v>
      </c>
      <c r="C5" s="30" t="s">
        <v>162</v>
      </c>
      <c r="D5" s="137">
        <v>0.82</v>
      </c>
      <c r="E5" s="28" t="s">
        <v>94</v>
      </c>
      <c r="F5" s="28" t="s">
        <v>2</v>
      </c>
      <c r="G5" s="32">
        <f>SUM(D9-D13)</f>
        <v>177.2</v>
      </c>
      <c r="H5" s="28" t="s">
        <v>41</v>
      </c>
      <c r="I5" s="28" t="s">
        <v>50</v>
      </c>
      <c r="J5" s="39">
        <f>((D21^2*G22)/2)</f>
        <v>70.815567264192012</v>
      </c>
      <c r="K5" s="35"/>
      <c r="L5" s="125"/>
      <c r="M5" s="134"/>
      <c r="N5" s="125"/>
      <c r="O5" s="124"/>
      <c r="P5" s="124"/>
    </row>
    <row r="6" spans="2:16" ht="16.5" customHeight="1" x14ac:dyDescent="0.15">
      <c r="B6" s="43" t="s">
        <v>86</v>
      </c>
      <c r="C6" s="30" t="s">
        <v>163</v>
      </c>
      <c r="D6" s="137">
        <v>1.02</v>
      </c>
      <c r="E6" s="28" t="s">
        <v>95</v>
      </c>
      <c r="F6" s="28" t="s">
        <v>70</v>
      </c>
      <c r="G6" s="32">
        <f>SUM(D10-D14)</f>
        <v>163.80000000000001</v>
      </c>
      <c r="H6" s="28" t="s">
        <v>42</v>
      </c>
      <c r="I6" s="28" t="s">
        <v>49</v>
      </c>
      <c r="J6" s="148">
        <f>J4+J5</f>
        <v>99.693257217806263</v>
      </c>
      <c r="K6" s="35"/>
      <c r="L6" s="135"/>
      <c r="M6" s="136"/>
      <c r="N6" s="125"/>
      <c r="O6" s="124"/>
      <c r="P6" s="124"/>
    </row>
    <row r="7" spans="2:16" x14ac:dyDescent="0.15">
      <c r="B7" s="43" t="s">
        <v>56</v>
      </c>
      <c r="C7" s="30" t="s">
        <v>164</v>
      </c>
      <c r="D7" s="137">
        <v>1.02</v>
      </c>
      <c r="E7" s="28" t="s">
        <v>0</v>
      </c>
      <c r="F7" s="28" t="s">
        <v>69</v>
      </c>
      <c r="G7" s="32">
        <f>SUM(D11-D15)</f>
        <v>184.2</v>
      </c>
      <c r="H7" s="28" t="s">
        <v>47</v>
      </c>
      <c r="I7" s="28" t="s">
        <v>48</v>
      </c>
      <c r="J7" s="39">
        <f>(G10*D1*G27)</f>
        <v>1645.4987999999996</v>
      </c>
      <c r="L7" s="124"/>
      <c r="M7" s="124"/>
      <c r="N7" s="124"/>
      <c r="O7" s="124"/>
      <c r="P7" s="124"/>
    </row>
    <row r="8" spans="2:16" ht="14" x14ac:dyDescent="0.2">
      <c r="B8" s="43" t="s">
        <v>87</v>
      </c>
      <c r="C8" s="28" t="s">
        <v>76</v>
      </c>
      <c r="D8" s="137">
        <v>185.8</v>
      </c>
      <c r="E8" s="30" t="s">
        <v>23</v>
      </c>
      <c r="F8" s="28" t="s">
        <v>19</v>
      </c>
      <c r="G8" s="32">
        <f>SUM(G4+G5)</f>
        <v>334</v>
      </c>
      <c r="H8" s="113" t="s">
        <v>119</v>
      </c>
      <c r="I8" s="30" t="s">
        <v>123</v>
      </c>
      <c r="J8" s="119">
        <f>(J7/J6)</f>
        <v>16.505617791231082</v>
      </c>
      <c r="K8" s="42">
        <f>J8*180/3.142</f>
        <v>945.5796315791199</v>
      </c>
      <c r="L8" s="128" t="s">
        <v>122</v>
      </c>
      <c r="M8" s="124"/>
      <c r="N8" s="124"/>
      <c r="O8" s="124"/>
      <c r="P8" s="129"/>
    </row>
    <row r="9" spans="2:16" x14ac:dyDescent="0.15">
      <c r="B9" s="43" t="s">
        <v>88</v>
      </c>
      <c r="C9" s="28" t="s">
        <v>77</v>
      </c>
      <c r="D9" s="137">
        <v>206.2</v>
      </c>
      <c r="E9" s="28" t="s">
        <v>22</v>
      </c>
      <c r="F9" s="28" t="s">
        <v>20</v>
      </c>
      <c r="G9" s="32">
        <f>SUM(G6+G7)</f>
        <v>348</v>
      </c>
      <c r="H9" s="28" t="s">
        <v>29</v>
      </c>
      <c r="I9" s="28" t="s">
        <v>51</v>
      </c>
      <c r="J9" s="161">
        <f>(J8*G21*D20)/2</f>
        <v>324.24769596464654</v>
      </c>
      <c r="L9" s="124"/>
      <c r="M9" s="124"/>
      <c r="N9" s="124"/>
      <c r="O9" s="124"/>
      <c r="P9" s="125"/>
    </row>
    <row r="10" spans="2:16" x14ac:dyDescent="0.15">
      <c r="B10" s="43" t="s">
        <v>89</v>
      </c>
      <c r="C10" s="28" t="s">
        <v>78</v>
      </c>
      <c r="D10" s="137">
        <v>198.8</v>
      </c>
      <c r="E10" s="110" t="s">
        <v>117</v>
      </c>
      <c r="F10" s="110" t="s">
        <v>115</v>
      </c>
      <c r="G10" s="37">
        <f>SUM(G8+G9)</f>
        <v>682</v>
      </c>
      <c r="H10" s="120" t="s">
        <v>32</v>
      </c>
      <c r="I10" s="30" t="s">
        <v>52</v>
      </c>
      <c r="J10" s="148">
        <f>(J8*G22*D21)/2</f>
        <v>768.98334666576909</v>
      </c>
      <c r="L10" s="121"/>
      <c r="M10" s="125"/>
      <c r="N10" s="125"/>
      <c r="O10" s="124"/>
      <c r="P10" s="125"/>
    </row>
    <row r="11" spans="2:16" x14ac:dyDescent="0.15">
      <c r="B11" s="43" t="s">
        <v>1</v>
      </c>
      <c r="C11" s="28" t="s">
        <v>79</v>
      </c>
      <c r="D11" s="137">
        <v>219.2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Q2'!D1*'EXAM Q2'!D27)/'EXAM Q2'!D20</f>
        <v>110.42448979591838</v>
      </c>
      <c r="L12" s="121"/>
      <c r="M12" s="125"/>
      <c r="N12" s="125"/>
      <c r="O12" s="124"/>
      <c r="P12" s="125"/>
    </row>
    <row r="13" spans="2:16" x14ac:dyDescent="0.15">
      <c r="B13" s="43" t="s">
        <v>91</v>
      </c>
      <c r="C13" s="28" t="s">
        <v>81</v>
      </c>
      <c r="D13" s="137">
        <v>29</v>
      </c>
      <c r="E13" s="30" t="s">
        <v>109</v>
      </c>
      <c r="F13" s="28" t="s">
        <v>71</v>
      </c>
      <c r="G13" s="141">
        <f>SUM(D16*0.1751)</f>
        <v>37.646500000000003</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37.121200000000002</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58.833600000000004</v>
      </c>
      <c r="H15" s="28" t="s">
        <v>59</v>
      </c>
      <c r="I15" s="30" t="s">
        <v>150</v>
      </c>
      <c r="J15" s="39">
        <f>((D14+D15)*D1*D24)/D21</f>
        <v>104.44736842105264</v>
      </c>
      <c r="L15" s="131"/>
      <c r="M15" s="125"/>
      <c r="N15" s="125"/>
      <c r="O15" s="124"/>
      <c r="P15" s="124"/>
    </row>
    <row r="16" spans="2:16" x14ac:dyDescent="0.15">
      <c r="B16" s="43" t="s">
        <v>102</v>
      </c>
      <c r="C16" s="28" t="s">
        <v>104</v>
      </c>
      <c r="D16" s="137">
        <v>215</v>
      </c>
      <c r="E16" s="28" t="s">
        <v>97</v>
      </c>
      <c r="F16" s="28" t="s">
        <v>74</v>
      </c>
      <c r="G16" s="141">
        <f>SUM(D19*0.1751)</f>
        <v>59.008700000000005</v>
      </c>
      <c r="H16" s="28"/>
      <c r="I16" s="110" t="s">
        <v>151</v>
      </c>
      <c r="J16" s="114">
        <f>J9+J12+J14</f>
        <v>524.15790004627922</v>
      </c>
      <c r="L16" s="125"/>
      <c r="M16" s="125"/>
      <c r="N16" s="125"/>
      <c r="O16" s="124"/>
      <c r="P16" s="124"/>
    </row>
    <row r="17" spans="2:18" x14ac:dyDescent="0.15">
      <c r="B17" s="43" t="s">
        <v>103</v>
      </c>
      <c r="C17" s="28" t="s">
        <v>105</v>
      </c>
      <c r="D17" s="137">
        <v>212</v>
      </c>
      <c r="E17" s="28" t="s">
        <v>98</v>
      </c>
      <c r="F17" s="28" t="s">
        <v>75</v>
      </c>
      <c r="G17" s="34">
        <f>D4^2*G13</f>
        <v>28.494635850000002</v>
      </c>
      <c r="H17" s="28"/>
      <c r="I17" s="110" t="s">
        <v>152</v>
      </c>
      <c r="J17" s="114">
        <f>J10+J13+J15</f>
        <v>1188.6912414026112</v>
      </c>
      <c r="K17" s="35"/>
      <c r="L17" s="131"/>
      <c r="M17" s="125"/>
      <c r="N17" s="125"/>
      <c r="O17" s="125"/>
      <c r="P17" s="125"/>
      <c r="Q17" s="35"/>
      <c r="R17" s="35"/>
    </row>
    <row r="18" spans="2:18" x14ac:dyDescent="0.15">
      <c r="B18" s="43" t="s">
        <v>96</v>
      </c>
      <c r="C18" s="28" t="s">
        <v>106</v>
      </c>
      <c r="D18" s="137">
        <v>336</v>
      </c>
      <c r="E18" s="28" t="s">
        <v>99</v>
      </c>
      <c r="F18" s="28" t="s">
        <v>100</v>
      </c>
      <c r="G18" s="34">
        <f>D5^2*G14</f>
        <v>24.960294879999996</v>
      </c>
      <c r="H18" s="28"/>
      <c r="I18" s="110" t="s">
        <v>167</v>
      </c>
      <c r="J18" s="149">
        <f>J16+J17</f>
        <v>1712.8491414488904</v>
      </c>
      <c r="K18" s="35"/>
      <c r="L18" s="125"/>
      <c r="M18" s="125"/>
      <c r="N18" s="125"/>
      <c r="O18" s="125"/>
      <c r="P18" s="125"/>
      <c r="Q18" s="35"/>
      <c r="R18" s="35"/>
    </row>
    <row r="19" spans="2:18" x14ac:dyDescent="0.15">
      <c r="B19" s="43" t="s">
        <v>97</v>
      </c>
      <c r="C19" s="28" t="s">
        <v>107</v>
      </c>
      <c r="D19" s="137">
        <v>337</v>
      </c>
      <c r="E19" s="28" t="s">
        <v>157</v>
      </c>
      <c r="F19" s="28" t="s">
        <v>155</v>
      </c>
      <c r="G19" s="34">
        <f>D6^2*G15</f>
        <v>61.210477440000005</v>
      </c>
      <c r="H19" s="28" t="s">
        <v>101</v>
      </c>
      <c r="I19" s="28" t="s">
        <v>53</v>
      </c>
      <c r="J19" s="154">
        <f>D8*9.81+J16</f>
        <v>2346.8559000462792</v>
      </c>
      <c r="K19" s="35"/>
      <c r="L19" s="132"/>
      <c r="M19" s="133"/>
      <c r="N19" s="125"/>
      <c r="O19" s="125"/>
      <c r="P19" s="125"/>
      <c r="Q19" s="35"/>
      <c r="R19" s="35"/>
    </row>
    <row r="20" spans="2:18" x14ac:dyDescent="0.15">
      <c r="B20" s="43" t="s">
        <v>25</v>
      </c>
      <c r="C20" s="28" t="s">
        <v>169</v>
      </c>
      <c r="D20" s="137">
        <v>1.47</v>
      </c>
      <c r="E20" s="28" t="s">
        <v>158</v>
      </c>
      <c r="F20" s="28" t="s">
        <v>156</v>
      </c>
      <c r="G20" s="34">
        <f>D7^2*G16</f>
        <v>61.392651480000005</v>
      </c>
      <c r="H20" s="30" t="s">
        <v>111</v>
      </c>
      <c r="I20" s="28" t="s">
        <v>168</v>
      </c>
      <c r="J20" s="154">
        <f>D9*9.81-J16</f>
        <v>1498.6640999537208</v>
      </c>
      <c r="K20" s="35"/>
      <c r="L20" s="121"/>
      <c r="M20" s="125"/>
      <c r="N20" s="125"/>
      <c r="O20" s="125"/>
      <c r="P20" s="125"/>
      <c r="Q20" s="35"/>
      <c r="R20" s="35"/>
    </row>
    <row r="21" spans="2:18" x14ac:dyDescent="0.15">
      <c r="B21" s="43" t="s">
        <v>26</v>
      </c>
      <c r="C21" s="28" t="s">
        <v>24</v>
      </c>
      <c r="D21" s="137">
        <v>1.52</v>
      </c>
      <c r="E21" s="28"/>
      <c r="F21" s="142" t="s">
        <v>165</v>
      </c>
      <c r="G21" s="143">
        <f>(G17+G18)/2</f>
        <v>26.727465365</v>
      </c>
      <c r="H21" s="30" t="s">
        <v>108</v>
      </c>
      <c r="I21" s="28" t="s">
        <v>54</v>
      </c>
      <c r="J21" s="154">
        <f>D10*9.81+J17</f>
        <v>3138.9192414026115</v>
      </c>
      <c r="K21" s="35"/>
      <c r="L21" s="125"/>
      <c r="M21" s="125"/>
      <c r="N21" s="125"/>
      <c r="O21" s="125"/>
      <c r="P21" s="125"/>
      <c r="Q21" s="35"/>
      <c r="R21" s="35"/>
    </row>
    <row r="22" spans="2:18" x14ac:dyDescent="0.15">
      <c r="B22" s="43" t="s">
        <v>28</v>
      </c>
      <c r="C22" s="28" t="s">
        <v>27</v>
      </c>
      <c r="D22" s="137">
        <v>2.5499999999999998</v>
      </c>
      <c r="E22" s="28"/>
      <c r="F22" s="142" t="s">
        <v>166</v>
      </c>
      <c r="G22" s="143">
        <f>(G19+G20)/2</f>
        <v>61.301564460000009</v>
      </c>
      <c r="H22" s="28" t="s">
        <v>40</v>
      </c>
      <c r="I22" s="28" t="s">
        <v>55</v>
      </c>
      <c r="J22" s="154">
        <f>D11*9.81-J17</f>
        <v>961.66075859738862</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7946.1</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0">
        <f>(J19-J20)</f>
        <v>848.19180009255842</v>
      </c>
      <c r="K29" s="35"/>
      <c r="L29" s="130"/>
      <c r="M29" s="130"/>
      <c r="N29" s="130"/>
      <c r="O29" s="130"/>
      <c r="P29" s="125"/>
      <c r="Q29" s="35"/>
      <c r="R29" s="35"/>
    </row>
    <row r="30" spans="2:18" ht="14" x14ac:dyDescent="0.15">
      <c r="D30" s="121"/>
      <c r="E30" s="125"/>
      <c r="G30" s="36"/>
      <c r="H30" s="158" t="s">
        <v>172</v>
      </c>
      <c r="I30" s="158" t="s">
        <v>137</v>
      </c>
      <c r="J30" s="160">
        <f>(J21-J22)</f>
        <v>2177.2584828052231</v>
      </c>
      <c r="K30" s="35"/>
      <c r="L30" s="130"/>
      <c r="M30" s="130"/>
      <c r="N30" s="130"/>
      <c r="O30" s="130"/>
      <c r="P30" s="125"/>
      <c r="Q30" s="35"/>
      <c r="R30" s="35"/>
    </row>
    <row r="31" spans="2:18" ht="15" x14ac:dyDescent="0.2">
      <c r="C31" s="125"/>
      <c r="G31" s="36"/>
      <c r="H31" s="159" t="s">
        <v>173</v>
      </c>
      <c r="I31" s="158" t="s">
        <v>174</v>
      </c>
      <c r="J31" s="160">
        <f>(J29-J30)</f>
        <v>-1329.0666827126647</v>
      </c>
    </row>
    <row r="32" spans="2:18" ht="17" x14ac:dyDescent="0.15">
      <c r="C32" s="126"/>
      <c r="D32" s="124"/>
      <c r="F32" s="123"/>
      <c r="H32" s="28"/>
      <c r="I32" s="142" t="s">
        <v>175</v>
      </c>
      <c r="J32" s="28">
        <f>(J17/J18*100)</f>
        <v>69.398478397058554</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9A25C-00A8-0249-8E4E-C92A4143F021}">
  <dimension ref="B1:R38"/>
  <sheetViews>
    <sheetView topLeftCell="A28" zoomScale="126" zoomScaleNormal="126" workbookViewId="0">
      <selection activeCell="I43" sqref="I43"/>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156.80000000000001</v>
      </c>
      <c r="H4" s="30" t="s">
        <v>64</v>
      </c>
      <c r="I4" s="30" t="s">
        <v>118</v>
      </c>
      <c r="J4" s="39">
        <f>((D20^2*G21)/2)</f>
        <v>31.772550615986244</v>
      </c>
      <c r="L4" s="124"/>
      <c r="M4" s="127"/>
      <c r="N4" s="124"/>
      <c r="O4" s="124"/>
      <c r="P4" s="124"/>
    </row>
    <row r="5" spans="2:16" ht="15" customHeight="1" x14ac:dyDescent="0.15">
      <c r="B5" s="43" t="s">
        <v>85</v>
      </c>
      <c r="C5" s="30" t="s">
        <v>162</v>
      </c>
      <c r="D5" s="137">
        <v>0.82</v>
      </c>
      <c r="E5" s="28" t="s">
        <v>94</v>
      </c>
      <c r="F5" s="28" t="s">
        <v>2</v>
      </c>
      <c r="G5" s="32">
        <f>SUM(D9-D13)</f>
        <v>177.2</v>
      </c>
      <c r="H5" s="28" t="s">
        <v>41</v>
      </c>
      <c r="I5" s="28" t="s">
        <v>50</v>
      </c>
      <c r="J5" s="39">
        <f>((D21^2*G22)/2)</f>
        <v>70.815567264192012</v>
      </c>
      <c r="K5" s="35"/>
      <c r="L5" s="125"/>
      <c r="M5" s="134"/>
      <c r="N5" s="125"/>
      <c r="O5" s="124"/>
      <c r="P5" s="124"/>
    </row>
    <row r="6" spans="2:16" ht="16.5" customHeight="1" x14ac:dyDescent="0.15">
      <c r="B6" s="43" t="s">
        <v>86</v>
      </c>
      <c r="C6" s="30" t="s">
        <v>163</v>
      </c>
      <c r="D6" s="137">
        <v>1.02</v>
      </c>
      <c r="E6" s="28" t="s">
        <v>95</v>
      </c>
      <c r="F6" s="28" t="s">
        <v>70</v>
      </c>
      <c r="G6" s="32">
        <f>SUM(D10-D14)</f>
        <v>163.80000000000001</v>
      </c>
      <c r="H6" s="28" t="s">
        <v>42</v>
      </c>
      <c r="I6" s="28" t="s">
        <v>49</v>
      </c>
      <c r="J6" s="148">
        <f>J4+J5</f>
        <v>102.58811788017826</v>
      </c>
      <c r="K6" s="35"/>
      <c r="L6" s="135"/>
      <c r="M6" s="136"/>
      <c r="N6" s="125"/>
      <c r="O6" s="124"/>
      <c r="P6" s="124"/>
    </row>
    <row r="7" spans="2:16" x14ac:dyDescent="0.15">
      <c r="B7" s="43" t="s">
        <v>56</v>
      </c>
      <c r="C7" s="30" t="s">
        <v>164</v>
      </c>
      <c r="D7" s="137">
        <v>1.02</v>
      </c>
      <c r="E7" s="28" t="s">
        <v>0</v>
      </c>
      <c r="F7" s="28" t="s">
        <v>69</v>
      </c>
      <c r="G7" s="32">
        <f>SUM(D11-D15)</f>
        <v>184.2</v>
      </c>
      <c r="H7" s="28" t="s">
        <v>47</v>
      </c>
      <c r="I7" s="28" t="s">
        <v>48</v>
      </c>
      <c r="J7" s="39">
        <f>(G10*D1*G27)</f>
        <v>1645.4987999999996</v>
      </c>
      <c r="L7" s="124"/>
      <c r="M7" s="124"/>
      <c r="N7" s="124"/>
      <c r="O7" s="124"/>
      <c r="P7" s="124"/>
    </row>
    <row r="8" spans="2:16" ht="14" x14ac:dyDescent="0.2">
      <c r="B8" s="43" t="s">
        <v>87</v>
      </c>
      <c r="C8" s="28" t="s">
        <v>76</v>
      </c>
      <c r="D8" s="137">
        <v>185.8</v>
      </c>
      <c r="E8" s="30" t="s">
        <v>23</v>
      </c>
      <c r="F8" s="28" t="s">
        <v>19</v>
      </c>
      <c r="G8" s="32">
        <f>SUM(G4+G5)</f>
        <v>334</v>
      </c>
      <c r="H8" s="113" t="s">
        <v>119</v>
      </c>
      <c r="I8" s="30" t="s">
        <v>123</v>
      </c>
      <c r="J8" s="119">
        <f>(J7/J6)</f>
        <v>16.039857578066918</v>
      </c>
      <c r="K8" s="42">
        <f>J8*180/3.142</f>
        <v>918.89699683387823</v>
      </c>
      <c r="L8" s="128" t="s">
        <v>122</v>
      </c>
      <c r="M8" s="124"/>
      <c r="N8" s="124"/>
      <c r="O8" s="124"/>
      <c r="P8" s="129"/>
    </row>
    <row r="9" spans="2:16" x14ac:dyDescent="0.15">
      <c r="B9" s="43" t="s">
        <v>88</v>
      </c>
      <c r="C9" s="28" t="s">
        <v>77</v>
      </c>
      <c r="D9" s="137">
        <v>206.2</v>
      </c>
      <c r="E9" s="28" t="s">
        <v>22</v>
      </c>
      <c r="F9" s="28" t="s">
        <v>20</v>
      </c>
      <c r="G9" s="32">
        <f>SUM(G6+G7)</f>
        <v>348</v>
      </c>
      <c r="H9" s="28" t="s">
        <v>29</v>
      </c>
      <c r="I9" s="28" t="s">
        <v>51</v>
      </c>
      <c r="J9" s="161">
        <f>(J8*G21*D20)/2</f>
        <v>346.68516106962022</v>
      </c>
      <c r="L9" s="124"/>
      <c r="M9" s="124"/>
      <c r="N9" s="124"/>
      <c r="O9" s="124"/>
      <c r="P9" s="125"/>
    </row>
    <row r="10" spans="2:16" x14ac:dyDescent="0.15">
      <c r="B10" s="43" t="s">
        <v>89</v>
      </c>
      <c r="C10" s="28" t="s">
        <v>78</v>
      </c>
      <c r="D10" s="137">
        <v>198.8</v>
      </c>
      <c r="E10" s="110" t="s">
        <v>117</v>
      </c>
      <c r="F10" s="110" t="s">
        <v>115</v>
      </c>
      <c r="G10" s="37">
        <f>SUM(G8+G9)</f>
        <v>682</v>
      </c>
      <c r="H10" s="120" t="s">
        <v>32</v>
      </c>
      <c r="I10" s="30" t="s">
        <v>52</v>
      </c>
      <c r="J10" s="148">
        <f>(J8*G22*D21)/2</f>
        <v>747.28395607082746</v>
      </c>
      <c r="L10" s="121"/>
      <c r="M10" s="125"/>
      <c r="N10" s="125"/>
      <c r="O10" s="124"/>
      <c r="P10" s="125"/>
    </row>
    <row r="11" spans="2:16" x14ac:dyDescent="0.15">
      <c r="B11" s="43" t="s">
        <v>1</v>
      </c>
      <c r="C11" s="28" t="s">
        <v>79</v>
      </c>
      <c r="D11" s="137">
        <v>219.2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Q3'!D1*'EXAM Q3'!D27)/'EXAM Q3'!D20</f>
        <v>110.42448979591838</v>
      </c>
      <c r="L12" s="121"/>
      <c r="M12" s="125"/>
      <c r="N12" s="125"/>
      <c r="O12" s="124"/>
      <c r="P12" s="125"/>
    </row>
    <row r="13" spans="2:16" x14ac:dyDescent="0.15">
      <c r="B13" s="43" t="s">
        <v>91</v>
      </c>
      <c r="C13" s="28" t="s">
        <v>81</v>
      </c>
      <c r="D13" s="137">
        <v>29</v>
      </c>
      <c r="E13" s="30" t="s">
        <v>109</v>
      </c>
      <c r="F13" s="28" t="s">
        <v>71</v>
      </c>
      <c r="G13" s="141">
        <f>SUM(D16*0.1751)</f>
        <v>41.148499999999999</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41.148499999999999</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58.833600000000004</v>
      </c>
      <c r="H15" s="28" t="s">
        <v>59</v>
      </c>
      <c r="I15" s="30" t="s">
        <v>150</v>
      </c>
      <c r="J15" s="39">
        <f>((D14+D15)*D1*D24)/D21</f>
        <v>104.44736842105264</v>
      </c>
      <c r="L15" s="131"/>
      <c r="M15" s="125"/>
      <c r="N15" s="125"/>
      <c r="O15" s="124"/>
      <c r="P15" s="124"/>
    </row>
    <row r="16" spans="2:16" x14ac:dyDescent="0.15">
      <c r="B16" s="43" t="s">
        <v>102</v>
      </c>
      <c r="C16" s="28" t="s">
        <v>104</v>
      </c>
      <c r="D16" s="162">
        <v>235</v>
      </c>
      <c r="E16" s="28" t="s">
        <v>97</v>
      </c>
      <c r="F16" s="28" t="s">
        <v>74</v>
      </c>
      <c r="G16" s="141">
        <f>SUM(D19*0.1751)</f>
        <v>59.008700000000005</v>
      </c>
      <c r="H16" s="28"/>
      <c r="I16" s="110" t="s">
        <v>151</v>
      </c>
      <c r="J16" s="114">
        <f>J9+J12+J14</f>
        <v>546.59536515125285</v>
      </c>
      <c r="L16" s="125"/>
      <c r="M16" s="125"/>
      <c r="N16" s="125"/>
      <c r="O16" s="124"/>
      <c r="P16" s="124"/>
    </row>
    <row r="17" spans="2:18" x14ac:dyDescent="0.15">
      <c r="B17" s="43" t="s">
        <v>103</v>
      </c>
      <c r="C17" s="28" t="s">
        <v>105</v>
      </c>
      <c r="D17" s="162">
        <v>235</v>
      </c>
      <c r="E17" s="28" t="s">
        <v>98</v>
      </c>
      <c r="F17" s="28" t="s">
        <v>75</v>
      </c>
      <c r="G17" s="34">
        <f>D4^2*G13</f>
        <v>31.145299649999998</v>
      </c>
      <c r="H17" s="28"/>
      <c r="I17" s="110" t="s">
        <v>152</v>
      </c>
      <c r="J17" s="114">
        <f>J10+J13+J15</f>
        <v>1166.9918508076696</v>
      </c>
      <c r="K17" s="35"/>
      <c r="L17" s="131"/>
      <c r="M17" s="125"/>
      <c r="N17" s="125"/>
      <c r="O17" s="125"/>
      <c r="P17" s="125"/>
      <c r="Q17" s="35"/>
      <c r="R17" s="35"/>
    </row>
    <row r="18" spans="2:18" x14ac:dyDescent="0.15">
      <c r="B18" s="43" t="s">
        <v>96</v>
      </c>
      <c r="C18" s="28" t="s">
        <v>106</v>
      </c>
      <c r="D18" s="137">
        <v>336</v>
      </c>
      <c r="E18" s="28" t="s">
        <v>99</v>
      </c>
      <c r="F18" s="28" t="s">
        <v>100</v>
      </c>
      <c r="G18" s="34">
        <f>D5^2*G14</f>
        <v>27.668251399999995</v>
      </c>
      <c r="H18" s="28"/>
      <c r="I18" s="110" t="s">
        <v>167</v>
      </c>
      <c r="J18" s="149">
        <f>J16+J17</f>
        <v>1713.5872159589226</v>
      </c>
      <c r="K18" s="35"/>
      <c r="L18" s="125"/>
      <c r="M18" s="125"/>
      <c r="N18" s="125"/>
      <c r="O18" s="125"/>
      <c r="P18" s="125"/>
      <c r="Q18" s="35"/>
      <c r="R18" s="35"/>
    </row>
    <row r="19" spans="2:18" x14ac:dyDescent="0.15">
      <c r="B19" s="43" t="s">
        <v>97</v>
      </c>
      <c r="C19" s="28" t="s">
        <v>107</v>
      </c>
      <c r="D19" s="137">
        <v>337</v>
      </c>
      <c r="E19" s="28" t="s">
        <v>157</v>
      </c>
      <c r="F19" s="28" t="s">
        <v>155</v>
      </c>
      <c r="G19" s="34">
        <f>D6^2*G15</f>
        <v>61.210477440000005</v>
      </c>
      <c r="H19" s="28" t="s">
        <v>101</v>
      </c>
      <c r="I19" s="28" t="s">
        <v>53</v>
      </c>
      <c r="J19" s="154">
        <f>D8*9.81+J16</f>
        <v>2369.2933651512531</v>
      </c>
      <c r="K19" s="35"/>
      <c r="L19" s="132"/>
      <c r="M19" s="133"/>
      <c r="N19" s="125"/>
      <c r="O19" s="125"/>
      <c r="P19" s="125"/>
      <c r="Q19" s="35"/>
      <c r="R19" s="35"/>
    </row>
    <row r="20" spans="2:18" x14ac:dyDescent="0.15">
      <c r="B20" s="43" t="s">
        <v>25</v>
      </c>
      <c r="C20" s="28" t="s">
        <v>169</v>
      </c>
      <c r="D20" s="137">
        <v>1.47</v>
      </c>
      <c r="E20" s="28" t="s">
        <v>158</v>
      </c>
      <c r="F20" s="28" t="s">
        <v>156</v>
      </c>
      <c r="G20" s="34">
        <f>D7^2*G16</f>
        <v>61.392651480000005</v>
      </c>
      <c r="H20" s="30" t="s">
        <v>111</v>
      </c>
      <c r="I20" s="28" t="s">
        <v>168</v>
      </c>
      <c r="J20" s="154">
        <f>D9*9.81-J16</f>
        <v>1476.2266348487469</v>
      </c>
      <c r="K20" s="35"/>
      <c r="L20" s="121"/>
      <c r="M20" s="125"/>
      <c r="N20" s="125"/>
      <c r="O20" s="125"/>
      <c r="P20" s="125"/>
      <c r="Q20" s="35"/>
      <c r="R20" s="35"/>
    </row>
    <row r="21" spans="2:18" x14ac:dyDescent="0.15">
      <c r="B21" s="43" t="s">
        <v>26</v>
      </c>
      <c r="C21" s="28" t="s">
        <v>24</v>
      </c>
      <c r="D21" s="137">
        <v>1.52</v>
      </c>
      <c r="E21" s="28"/>
      <c r="F21" s="142" t="s">
        <v>165</v>
      </c>
      <c r="G21" s="143">
        <f>(G17+G18)/2</f>
        <v>29.406775524999997</v>
      </c>
      <c r="H21" s="30" t="s">
        <v>108</v>
      </c>
      <c r="I21" s="28" t="s">
        <v>54</v>
      </c>
      <c r="J21" s="154">
        <f>D10*9.81+J17</f>
        <v>3117.2198508076699</v>
      </c>
      <c r="K21" s="35"/>
      <c r="L21" s="125"/>
      <c r="M21" s="125"/>
      <c r="N21" s="125"/>
      <c r="O21" s="125"/>
      <c r="P21" s="125"/>
      <c r="Q21" s="35"/>
      <c r="R21" s="35"/>
    </row>
    <row r="22" spans="2:18" x14ac:dyDescent="0.15">
      <c r="B22" s="43" t="s">
        <v>28</v>
      </c>
      <c r="C22" s="28" t="s">
        <v>27</v>
      </c>
      <c r="D22" s="137">
        <v>2.5499999999999998</v>
      </c>
      <c r="E22" s="28"/>
      <c r="F22" s="142" t="s">
        <v>166</v>
      </c>
      <c r="G22" s="143">
        <f>(G19+G20)/2</f>
        <v>61.301564460000009</v>
      </c>
      <c r="H22" s="28" t="s">
        <v>40</v>
      </c>
      <c r="I22" s="28" t="s">
        <v>55</v>
      </c>
      <c r="J22" s="154">
        <f>D11*9.81-J17</f>
        <v>983.36014919233025</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7946.0999999999995</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0">
        <f>(J19-J20)</f>
        <v>893.06673030250613</v>
      </c>
      <c r="K29" s="35"/>
      <c r="L29" s="130"/>
      <c r="M29" s="130"/>
      <c r="N29" s="130"/>
      <c r="O29" s="130"/>
      <c r="P29" s="125"/>
      <c r="Q29" s="35"/>
      <c r="R29" s="35"/>
    </row>
    <row r="30" spans="2:18" ht="14" x14ac:dyDescent="0.15">
      <c r="D30" s="121"/>
      <c r="E30" s="125"/>
      <c r="G30" s="36"/>
      <c r="H30" s="158" t="s">
        <v>172</v>
      </c>
      <c r="I30" s="158" t="s">
        <v>137</v>
      </c>
      <c r="J30" s="160">
        <f>(J21-J22)</f>
        <v>2133.8597016153399</v>
      </c>
      <c r="K30" s="35"/>
      <c r="L30" s="130"/>
      <c r="M30" s="130"/>
      <c r="N30" s="130"/>
      <c r="O30" s="130"/>
      <c r="P30" s="125"/>
      <c r="Q30" s="35"/>
      <c r="R30" s="35"/>
    </row>
    <row r="31" spans="2:18" ht="15" x14ac:dyDescent="0.2">
      <c r="C31" s="125"/>
      <c r="G31" s="36"/>
      <c r="H31" s="159" t="s">
        <v>173</v>
      </c>
      <c r="I31" s="158" t="s">
        <v>174</v>
      </c>
      <c r="J31" s="160">
        <f>(J29-J30)</f>
        <v>-1240.7929713128337</v>
      </c>
    </row>
    <row r="32" spans="2:18" ht="17" x14ac:dyDescent="0.15">
      <c r="C32" s="126"/>
      <c r="D32" s="124"/>
      <c r="F32" s="123"/>
      <c r="H32" s="28"/>
      <c r="I32" s="142" t="s">
        <v>175</v>
      </c>
      <c r="J32" s="28">
        <f>(J17/J18*100)</f>
        <v>68.102273402793884</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CA31F-585D-8145-9545-49876DCFA9C2}">
  <dimension ref="B1:R38"/>
  <sheetViews>
    <sheetView topLeftCell="A10" zoomScale="126" zoomScaleNormal="126" workbookViewId="0">
      <selection activeCell="F43" sqref="F43"/>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156.80000000000001</v>
      </c>
      <c r="H4" s="30" t="s">
        <v>64</v>
      </c>
      <c r="I4" s="30" t="s">
        <v>118</v>
      </c>
      <c r="J4" s="39">
        <f>((D20^2*G21)/2)</f>
        <v>31.772550615986244</v>
      </c>
      <c r="L4" s="124"/>
      <c r="M4" s="127"/>
      <c r="N4" s="124"/>
      <c r="O4" s="124"/>
      <c r="P4" s="124"/>
    </row>
    <row r="5" spans="2:16" ht="15" customHeight="1" x14ac:dyDescent="0.15">
      <c r="B5" s="43" t="s">
        <v>85</v>
      </c>
      <c r="C5" s="30" t="s">
        <v>162</v>
      </c>
      <c r="D5" s="137">
        <v>0.82</v>
      </c>
      <c r="E5" s="28" t="s">
        <v>94</v>
      </c>
      <c r="F5" s="28" t="s">
        <v>2</v>
      </c>
      <c r="G5" s="32">
        <f>SUM(D9-D13)</f>
        <v>177.2</v>
      </c>
      <c r="H5" s="28" t="s">
        <v>41</v>
      </c>
      <c r="I5" s="28" t="s">
        <v>50</v>
      </c>
      <c r="J5" s="161">
        <f>((D21^2*G22)/2)</f>
        <v>33.352199115199994</v>
      </c>
      <c r="K5" s="35"/>
      <c r="L5" s="125"/>
      <c r="M5" s="134"/>
      <c r="N5" s="125"/>
      <c r="O5" s="124"/>
      <c r="P5" s="124"/>
    </row>
    <row r="6" spans="2:16" ht="16.5" customHeight="1" x14ac:dyDescent="0.15">
      <c r="B6" s="43" t="s">
        <v>86</v>
      </c>
      <c r="C6" s="30" t="s">
        <v>163</v>
      </c>
      <c r="D6" s="162">
        <v>0.7</v>
      </c>
      <c r="E6" s="28" t="s">
        <v>95</v>
      </c>
      <c r="F6" s="28" t="s">
        <v>70</v>
      </c>
      <c r="G6" s="32">
        <f>SUM(D10-D14)</f>
        <v>163.80000000000001</v>
      </c>
      <c r="H6" s="28" t="s">
        <v>42</v>
      </c>
      <c r="I6" s="28" t="s">
        <v>49</v>
      </c>
      <c r="J6" s="161">
        <f>J4+J5</f>
        <v>65.124749731186242</v>
      </c>
      <c r="K6" s="35"/>
      <c r="L6" s="135"/>
      <c r="M6" s="136"/>
      <c r="N6" s="125"/>
      <c r="O6" s="124"/>
      <c r="P6" s="124"/>
    </row>
    <row r="7" spans="2:16" x14ac:dyDescent="0.15">
      <c r="B7" s="43" t="s">
        <v>56</v>
      </c>
      <c r="C7" s="30" t="s">
        <v>164</v>
      </c>
      <c r="D7" s="162">
        <v>0.7</v>
      </c>
      <c r="E7" s="28" t="s">
        <v>0</v>
      </c>
      <c r="F7" s="28" t="s">
        <v>69</v>
      </c>
      <c r="G7" s="32">
        <f>SUM(D11-D15)</f>
        <v>184.2</v>
      </c>
      <c r="H7" s="28" t="s">
        <v>47</v>
      </c>
      <c r="I7" s="28" t="s">
        <v>48</v>
      </c>
      <c r="J7" s="39">
        <f>(G10*D1*G27)</f>
        <v>1645.4987999999996</v>
      </c>
      <c r="L7" s="124"/>
      <c r="M7" s="124"/>
      <c r="N7" s="124"/>
      <c r="O7" s="124"/>
      <c r="P7" s="124"/>
    </row>
    <row r="8" spans="2:16" ht="14" x14ac:dyDescent="0.2">
      <c r="B8" s="43" t="s">
        <v>87</v>
      </c>
      <c r="C8" s="28" t="s">
        <v>76</v>
      </c>
      <c r="D8" s="137">
        <v>185.8</v>
      </c>
      <c r="E8" s="30" t="s">
        <v>23</v>
      </c>
      <c r="F8" s="28" t="s">
        <v>19</v>
      </c>
      <c r="G8" s="32">
        <f>SUM(G4+G5)</f>
        <v>334</v>
      </c>
      <c r="H8" s="113" t="s">
        <v>119</v>
      </c>
      <c r="I8" s="30" t="s">
        <v>123</v>
      </c>
      <c r="J8" s="164">
        <f>(J7/J6)</f>
        <v>25.266873297664603</v>
      </c>
      <c r="K8" s="165">
        <f>J8*180/3.142</f>
        <v>1447.4975154613712</v>
      </c>
      <c r="L8" s="128" t="s">
        <v>122</v>
      </c>
      <c r="M8" s="124"/>
      <c r="N8" s="124"/>
      <c r="O8" s="124"/>
      <c r="P8" s="129"/>
    </row>
    <row r="9" spans="2:16" x14ac:dyDescent="0.15">
      <c r="B9" s="43" t="s">
        <v>88</v>
      </c>
      <c r="C9" s="28" t="s">
        <v>77</v>
      </c>
      <c r="D9" s="137">
        <v>206.2</v>
      </c>
      <c r="E9" s="28" t="s">
        <v>22</v>
      </c>
      <c r="F9" s="28" t="s">
        <v>20</v>
      </c>
      <c r="G9" s="32">
        <f>SUM(G6+G7)</f>
        <v>348</v>
      </c>
      <c r="H9" s="28" t="s">
        <v>29</v>
      </c>
      <c r="I9" s="28" t="s">
        <v>51</v>
      </c>
      <c r="J9" s="161">
        <f>(J8*G21*D20)/2</f>
        <v>546.11769439303396</v>
      </c>
      <c r="L9" s="124"/>
      <c r="M9" s="124"/>
      <c r="N9" s="124"/>
      <c r="O9" s="124"/>
      <c r="P9" s="125"/>
    </row>
    <row r="10" spans="2:16" x14ac:dyDescent="0.15">
      <c r="B10" s="43" t="s">
        <v>89</v>
      </c>
      <c r="C10" s="28" t="s">
        <v>78</v>
      </c>
      <c r="D10" s="137">
        <v>198.8</v>
      </c>
      <c r="E10" s="110" t="s">
        <v>117</v>
      </c>
      <c r="F10" s="110" t="s">
        <v>115</v>
      </c>
      <c r="G10" s="37">
        <f>SUM(G8+G9)</f>
        <v>682</v>
      </c>
      <c r="H10" s="120" t="s">
        <v>32</v>
      </c>
      <c r="I10" s="30" t="s">
        <v>52</v>
      </c>
      <c r="J10" s="161">
        <f>(J8*G22*D21)/2</f>
        <v>554.41170344884199</v>
      </c>
      <c r="L10" s="121"/>
      <c r="M10" s="125"/>
      <c r="N10" s="125"/>
      <c r="O10" s="124"/>
      <c r="P10" s="125"/>
    </row>
    <row r="11" spans="2:16" x14ac:dyDescent="0.15">
      <c r="B11" s="43" t="s">
        <v>1</v>
      </c>
      <c r="C11" s="28" t="s">
        <v>79</v>
      </c>
      <c r="D11" s="137">
        <v>219.2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Q4'!D1*'EXAM Q4'!D27)/'EXAM Q4'!D20</f>
        <v>110.42448979591838</v>
      </c>
      <c r="L12" s="121"/>
      <c r="M12" s="125"/>
      <c r="N12" s="125"/>
      <c r="O12" s="124"/>
      <c r="P12" s="125"/>
    </row>
    <row r="13" spans="2:16" x14ac:dyDescent="0.15">
      <c r="B13" s="43" t="s">
        <v>91</v>
      </c>
      <c r="C13" s="28" t="s">
        <v>81</v>
      </c>
      <c r="D13" s="137">
        <v>29</v>
      </c>
      <c r="E13" s="30" t="s">
        <v>109</v>
      </c>
      <c r="F13" s="28" t="s">
        <v>71</v>
      </c>
      <c r="G13" s="141">
        <f>SUM(D16*0.1751)</f>
        <v>41.148499999999999</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41.148499999999999</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58.833600000000004</v>
      </c>
      <c r="H15" s="28" t="s">
        <v>59</v>
      </c>
      <c r="I15" s="30" t="s">
        <v>150</v>
      </c>
      <c r="J15" s="39">
        <f>((D14+D15)*D1*D24)/D21</f>
        <v>104.44736842105264</v>
      </c>
      <c r="L15" s="131"/>
      <c r="M15" s="125"/>
      <c r="N15" s="125"/>
      <c r="O15" s="124"/>
      <c r="P15" s="124"/>
    </row>
    <row r="16" spans="2:16" x14ac:dyDescent="0.15">
      <c r="B16" s="43" t="s">
        <v>102</v>
      </c>
      <c r="C16" s="28" t="s">
        <v>104</v>
      </c>
      <c r="D16" s="162">
        <v>235</v>
      </c>
      <c r="E16" s="28" t="s">
        <v>97</v>
      </c>
      <c r="F16" s="28" t="s">
        <v>74</v>
      </c>
      <c r="G16" s="141">
        <f>SUM(D19*0.1751)</f>
        <v>59.008700000000005</v>
      </c>
      <c r="H16" s="28"/>
      <c r="I16" s="110" t="s">
        <v>151</v>
      </c>
      <c r="J16" s="166">
        <f>J9+J12+J14</f>
        <v>746.02789847466659</v>
      </c>
      <c r="L16" s="125"/>
      <c r="M16" s="125"/>
      <c r="N16" s="125"/>
      <c r="O16" s="124"/>
      <c r="P16" s="124"/>
    </row>
    <row r="17" spans="2:18" x14ac:dyDescent="0.15">
      <c r="B17" s="43" t="s">
        <v>103</v>
      </c>
      <c r="C17" s="28" t="s">
        <v>105</v>
      </c>
      <c r="D17" s="162">
        <v>235</v>
      </c>
      <c r="E17" s="28" t="s">
        <v>98</v>
      </c>
      <c r="F17" s="28" t="s">
        <v>75</v>
      </c>
      <c r="G17" s="34">
        <f>D4^2*G13</f>
        <v>31.145299649999998</v>
      </c>
      <c r="H17" s="28"/>
      <c r="I17" s="110" t="s">
        <v>152</v>
      </c>
      <c r="J17" s="166">
        <f>J10+J13+J15</f>
        <v>974.11959818568403</v>
      </c>
      <c r="K17" s="35"/>
      <c r="L17" s="131"/>
      <c r="M17" s="125"/>
      <c r="N17" s="125"/>
      <c r="O17" s="125"/>
      <c r="P17" s="125"/>
      <c r="Q17" s="35"/>
      <c r="R17" s="35"/>
    </row>
    <row r="18" spans="2:18" x14ac:dyDescent="0.15">
      <c r="B18" s="43" t="s">
        <v>96</v>
      </c>
      <c r="C18" s="28" t="s">
        <v>106</v>
      </c>
      <c r="D18" s="137">
        <v>336</v>
      </c>
      <c r="E18" s="28" t="s">
        <v>99</v>
      </c>
      <c r="F18" s="28" t="s">
        <v>100</v>
      </c>
      <c r="G18" s="34">
        <f>D5^2*G14</f>
        <v>27.668251399999995</v>
      </c>
      <c r="H18" s="28"/>
      <c r="I18" s="110" t="s">
        <v>167</v>
      </c>
      <c r="J18" s="167">
        <f>J16+J17</f>
        <v>1720.1474966603505</v>
      </c>
      <c r="K18" s="35"/>
      <c r="L18" s="125"/>
      <c r="M18" s="125"/>
      <c r="N18" s="125"/>
      <c r="O18" s="125"/>
      <c r="P18" s="125"/>
      <c r="Q18" s="35"/>
      <c r="R18" s="35"/>
    </row>
    <row r="19" spans="2:18" x14ac:dyDescent="0.15">
      <c r="B19" s="43" t="s">
        <v>97</v>
      </c>
      <c r="C19" s="28" t="s">
        <v>107</v>
      </c>
      <c r="D19" s="137">
        <v>337</v>
      </c>
      <c r="E19" s="28" t="s">
        <v>157</v>
      </c>
      <c r="F19" s="28" t="s">
        <v>155</v>
      </c>
      <c r="G19" s="163">
        <f>D6^2*G15</f>
        <v>28.828463999999997</v>
      </c>
      <c r="H19" s="28" t="s">
        <v>101</v>
      </c>
      <c r="I19" s="28" t="s">
        <v>53</v>
      </c>
      <c r="J19" s="167">
        <f>D8*9.81+J16</f>
        <v>2568.7258984746668</v>
      </c>
      <c r="K19" s="35"/>
      <c r="L19" s="132"/>
      <c r="M19" s="133"/>
      <c r="N19" s="125"/>
      <c r="O19" s="125"/>
      <c r="P19" s="125"/>
      <c r="Q19" s="35"/>
      <c r="R19" s="35"/>
    </row>
    <row r="20" spans="2:18" x14ac:dyDescent="0.15">
      <c r="B20" s="43" t="s">
        <v>25</v>
      </c>
      <c r="C20" s="28" t="s">
        <v>169</v>
      </c>
      <c r="D20" s="137">
        <v>1.47</v>
      </c>
      <c r="E20" s="28" t="s">
        <v>158</v>
      </c>
      <c r="F20" s="28" t="s">
        <v>156</v>
      </c>
      <c r="G20" s="163">
        <f>D7^2*G16</f>
        <v>28.914262999999998</v>
      </c>
      <c r="H20" s="30" t="s">
        <v>111</v>
      </c>
      <c r="I20" s="28" t="s">
        <v>168</v>
      </c>
      <c r="J20" s="167">
        <f>D9*9.81-J16</f>
        <v>1276.7941015253332</v>
      </c>
      <c r="K20" s="35"/>
      <c r="L20" s="121"/>
      <c r="M20" s="125"/>
      <c r="N20" s="125"/>
      <c r="O20" s="125"/>
      <c r="P20" s="125"/>
      <c r="Q20" s="35"/>
      <c r="R20" s="35"/>
    </row>
    <row r="21" spans="2:18" x14ac:dyDescent="0.15">
      <c r="B21" s="43" t="s">
        <v>26</v>
      </c>
      <c r="C21" s="28" t="s">
        <v>24</v>
      </c>
      <c r="D21" s="137">
        <v>1.52</v>
      </c>
      <c r="E21" s="28"/>
      <c r="F21" s="142" t="s">
        <v>165</v>
      </c>
      <c r="G21" s="143">
        <f>(G17+G18)/2</f>
        <v>29.406775524999997</v>
      </c>
      <c r="H21" s="30" t="s">
        <v>108</v>
      </c>
      <c r="I21" s="28" t="s">
        <v>54</v>
      </c>
      <c r="J21" s="167">
        <f>D10*9.81+J17</f>
        <v>2924.3475981856845</v>
      </c>
      <c r="K21" s="35"/>
      <c r="L21" s="125"/>
      <c r="M21" s="125"/>
      <c r="N21" s="125"/>
      <c r="O21" s="125"/>
      <c r="P21" s="125"/>
      <c r="Q21" s="35"/>
      <c r="R21" s="35"/>
    </row>
    <row r="22" spans="2:18" x14ac:dyDescent="0.15">
      <c r="B22" s="43" t="s">
        <v>28</v>
      </c>
      <c r="C22" s="28" t="s">
        <v>27</v>
      </c>
      <c r="D22" s="137">
        <v>2.5499999999999998</v>
      </c>
      <c r="E22" s="28"/>
      <c r="F22" s="142" t="s">
        <v>166</v>
      </c>
      <c r="G22" s="163">
        <f>(G19+G20)/2</f>
        <v>28.871363499999998</v>
      </c>
      <c r="H22" s="28" t="s">
        <v>40</v>
      </c>
      <c r="I22" s="28" t="s">
        <v>55</v>
      </c>
      <c r="J22" s="167">
        <f>D11*9.81-J17</f>
        <v>1176.2324018143158</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7946.1</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8">
        <f>(J19-J20)</f>
        <v>1291.9317969493336</v>
      </c>
      <c r="K29" s="35"/>
      <c r="L29" s="130"/>
      <c r="M29" s="130"/>
      <c r="N29" s="130"/>
      <c r="O29" s="130"/>
      <c r="P29" s="125"/>
      <c r="Q29" s="35"/>
      <c r="R29" s="35"/>
    </row>
    <row r="30" spans="2:18" ht="14" x14ac:dyDescent="0.15">
      <c r="D30" s="121"/>
      <c r="E30" s="125"/>
      <c r="G30" s="36"/>
      <c r="H30" s="158" t="s">
        <v>172</v>
      </c>
      <c r="I30" s="158" t="s">
        <v>137</v>
      </c>
      <c r="J30" s="168">
        <f>(J21-J22)</f>
        <v>1748.1151963713687</v>
      </c>
      <c r="K30" s="35"/>
      <c r="L30" s="130"/>
      <c r="M30" s="130"/>
      <c r="N30" s="130"/>
      <c r="O30" s="130"/>
      <c r="P30" s="125"/>
      <c r="Q30" s="35"/>
      <c r="R30" s="35"/>
    </row>
    <row r="31" spans="2:18" ht="15" x14ac:dyDescent="0.2">
      <c r="C31" s="125"/>
      <c r="G31" s="36"/>
      <c r="H31" s="159" t="s">
        <v>173</v>
      </c>
      <c r="I31" s="158" t="s">
        <v>174</v>
      </c>
      <c r="J31" s="168">
        <f>(J29-J30)</f>
        <v>-456.18339942203511</v>
      </c>
    </row>
    <row r="32" spans="2:18" ht="17" x14ac:dyDescent="0.15">
      <c r="C32" s="126"/>
      <c r="D32" s="124"/>
      <c r="F32" s="123"/>
      <c r="H32" s="28"/>
      <c r="I32" s="142" t="s">
        <v>175</v>
      </c>
      <c r="J32" s="169">
        <f>(J17/J18*100)</f>
        <v>56.630004117491531</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8544C-00B7-6546-9F80-15B5D27C619B}">
  <dimension ref="B1:R38"/>
  <sheetViews>
    <sheetView zoomScaleNormal="100" workbookViewId="0">
      <selection activeCell="D18" sqref="D18"/>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156.80000000000001</v>
      </c>
      <c r="H4" s="30" t="s">
        <v>64</v>
      </c>
      <c r="I4" s="30" t="s">
        <v>118</v>
      </c>
      <c r="J4" s="39">
        <f>((D20^2*G21)/2)</f>
        <v>31.772550615986244</v>
      </c>
      <c r="L4" s="124"/>
      <c r="M4" s="127"/>
      <c r="N4" s="124"/>
      <c r="O4" s="124"/>
      <c r="P4" s="124"/>
    </row>
    <row r="5" spans="2:16" ht="15" customHeight="1" x14ac:dyDescent="0.15">
      <c r="B5" s="43" t="s">
        <v>85</v>
      </c>
      <c r="C5" s="30" t="s">
        <v>162</v>
      </c>
      <c r="D5" s="137">
        <v>0.82</v>
      </c>
      <c r="E5" s="28" t="s">
        <v>94</v>
      </c>
      <c r="F5" s="28" t="s">
        <v>2</v>
      </c>
      <c r="G5" s="32">
        <f>SUM(D9-D13)</f>
        <v>177.2</v>
      </c>
      <c r="H5" s="28" t="s">
        <v>41</v>
      </c>
      <c r="I5" s="28" t="s">
        <v>50</v>
      </c>
      <c r="J5" s="161">
        <f>((D21^2*G22)/2)</f>
        <v>21.94406206272</v>
      </c>
      <c r="K5" s="35"/>
      <c r="L5" s="125"/>
      <c r="M5" s="134"/>
      <c r="N5" s="125"/>
      <c r="O5" s="124"/>
      <c r="P5" s="124"/>
    </row>
    <row r="6" spans="2:16" ht="16.5" customHeight="1" x14ac:dyDescent="0.15">
      <c r="B6" s="43" t="s">
        <v>86</v>
      </c>
      <c r="C6" s="30" t="s">
        <v>163</v>
      </c>
      <c r="D6" s="162">
        <v>0.7</v>
      </c>
      <c r="E6" s="28" t="s">
        <v>95</v>
      </c>
      <c r="F6" s="28" t="s">
        <v>70</v>
      </c>
      <c r="G6" s="32">
        <f>SUM(D10-D14)</f>
        <v>163.80000000000001</v>
      </c>
      <c r="H6" s="28" t="s">
        <v>42</v>
      </c>
      <c r="I6" s="28" t="s">
        <v>49</v>
      </c>
      <c r="J6" s="161">
        <f>J4+J5</f>
        <v>53.716612678706241</v>
      </c>
      <c r="K6" s="35"/>
      <c r="L6" s="135"/>
      <c r="M6" s="136"/>
      <c r="N6" s="125"/>
      <c r="O6" s="124"/>
      <c r="P6" s="124"/>
    </row>
    <row r="7" spans="2:16" x14ac:dyDescent="0.15">
      <c r="B7" s="43" t="s">
        <v>56</v>
      </c>
      <c r="C7" s="30" t="s">
        <v>164</v>
      </c>
      <c r="D7" s="162">
        <v>0.7</v>
      </c>
      <c r="E7" s="28" t="s">
        <v>0</v>
      </c>
      <c r="F7" s="28" t="s">
        <v>69</v>
      </c>
      <c r="G7" s="32">
        <f>SUM(D11-D15)</f>
        <v>184.2</v>
      </c>
      <c r="H7" s="28" t="s">
        <v>47</v>
      </c>
      <c r="I7" s="28" t="s">
        <v>48</v>
      </c>
      <c r="J7" s="39">
        <f>(G10*D1*G27)</f>
        <v>1645.4987999999996</v>
      </c>
      <c r="L7" s="124"/>
      <c r="M7" s="124"/>
      <c r="N7" s="124"/>
      <c r="O7" s="124"/>
      <c r="P7" s="124"/>
    </row>
    <row r="8" spans="2:16" ht="14" x14ac:dyDescent="0.2">
      <c r="B8" s="43" t="s">
        <v>87</v>
      </c>
      <c r="C8" s="28" t="s">
        <v>76</v>
      </c>
      <c r="D8" s="137">
        <v>185.8</v>
      </c>
      <c r="E8" s="30" t="s">
        <v>23</v>
      </c>
      <c r="F8" s="28" t="s">
        <v>19</v>
      </c>
      <c r="G8" s="32">
        <f>SUM(G4+G5)</f>
        <v>334</v>
      </c>
      <c r="H8" s="113" t="s">
        <v>119</v>
      </c>
      <c r="I8" s="30" t="s">
        <v>123</v>
      </c>
      <c r="J8" s="164">
        <f>(J7/J6)</f>
        <v>30.632959115314627</v>
      </c>
      <c r="K8" s="165">
        <f>J8*180/3.142</f>
        <v>1754.9117252567262</v>
      </c>
      <c r="L8" s="128" t="s">
        <v>122</v>
      </c>
      <c r="M8" s="124"/>
      <c r="N8" s="124"/>
      <c r="O8" s="124"/>
      <c r="P8" s="129"/>
    </row>
    <row r="9" spans="2:16" x14ac:dyDescent="0.15">
      <c r="B9" s="43" t="s">
        <v>88</v>
      </c>
      <c r="C9" s="28" t="s">
        <v>77</v>
      </c>
      <c r="D9" s="137">
        <v>206.2</v>
      </c>
      <c r="E9" s="28" t="s">
        <v>22</v>
      </c>
      <c r="F9" s="28" t="s">
        <v>20</v>
      </c>
      <c r="G9" s="32">
        <f>SUM(G6+G7)</f>
        <v>348</v>
      </c>
      <c r="H9" s="28" t="s">
        <v>29</v>
      </c>
      <c r="I9" s="28" t="s">
        <v>51</v>
      </c>
      <c r="J9" s="161">
        <f>(J8*G21*D20)/2</f>
        <v>662.10016599236144</v>
      </c>
      <c r="L9" s="124"/>
      <c r="M9" s="124"/>
      <c r="N9" s="124"/>
      <c r="O9" s="124"/>
      <c r="P9" s="125"/>
    </row>
    <row r="10" spans="2:16" x14ac:dyDescent="0.15">
      <c r="B10" s="43" t="s">
        <v>89</v>
      </c>
      <c r="C10" s="28" t="s">
        <v>78</v>
      </c>
      <c r="D10" s="137">
        <v>198.8</v>
      </c>
      <c r="E10" s="110" t="s">
        <v>117</v>
      </c>
      <c r="F10" s="110" t="s">
        <v>115</v>
      </c>
      <c r="G10" s="37">
        <f>SUM(G8+G9)</f>
        <v>682</v>
      </c>
      <c r="H10" s="120" t="s">
        <v>32</v>
      </c>
      <c r="I10" s="30" t="s">
        <v>52</v>
      </c>
      <c r="J10" s="161">
        <f>(J8*G22*D21)/2</f>
        <v>442.24444473107138</v>
      </c>
      <c r="L10" s="121"/>
      <c r="M10" s="125"/>
      <c r="N10" s="125"/>
      <c r="O10" s="124"/>
      <c r="P10" s="125"/>
    </row>
    <row r="11" spans="2:16" x14ac:dyDescent="0.15">
      <c r="B11" s="43" t="s">
        <v>1</v>
      </c>
      <c r="C11" s="28" t="s">
        <v>79</v>
      </c>
      <c r="D11" s="137">
        <v>219.2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Q5'!D1*'EXAM Q5'!D27)/'EXAM Q5'!D20</f>
        <v>110.42448979591838</v>
      </c>
      <c r="L12" s="121"/>
      <c r="M12" s="125"/>
      <c r="N12" s="125"/>
      <c r="O12" s="124"/>
      <c r="P12" s="125"/>
    </row>
    <row r="13" spans="2:16" x14ac:dyDescent="0.15">
      <c r="B13" s="43" t="s">
        <v>91</v>
      </c>
      <c r="C13" s="28" t="s">
        <v>81</v>
      </c>
      <c r="D13" s="137">
        <v>29</v>
      </c>
      <c r="E13" s="30" t="s">
        <v>109</v>
      </c>
      <c r="F13" s="28" t="s">
        <v>71</v>
      </c>
      <c r="G13" s="141">
        <f>SUM(D16*0.1751)</f>
        <v>41.148499999999999</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41.148499999999999</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38.854690000000005</v>
      </c>
      <c r="H15" s="28" t="s">
        <v>59</v>
      </c>
      <c r="I15" s="30" t="s">
        <v>150</v>
      </c>
      <c r="J15" s="39">
        <f>((D14+D15)*D1*D24)/D21</f>
        <v>104.44736842105264</v>
      </c>
      <c r="L15" s="131"/>
      <c r="M15" s="125"/>
      <c r="N15" s="125"/>
      <c r="O15" s="124"/>
      <c r="P15" s="124"/>
    </row>
    <row r="16" spans="2:16" x14ac:dyDescent="0.15">
      <c r="B16" s="43" t="s">
        <v>102</v>
      </c>
      <c r="C16" s="28" t="s">
        <v>104</v>
      </c>
      <c r="D16" s="162">
        <v>235</v>
      </c>
      <c r="E16" s="28" t="s">
        <v>97</v>
      </c>
      <c r="F16" s="28" t="s">
        <v>74</v>
      </c>
      <c r="G16" s="141">
        <f>SUM(D19*0.1751)</f>
        <v>38.679590000000005</v>
      </c>
      <c r="H16" s="28"/>
      <c r="I16" s="110" t="s">
        <v>151</v>
      </c>
      <c r="J16" s="166">
        <f>J9+J12+J14</f>
        <v>862.01037007399407</v>
      </c>
      <c r="L16" s="125"/>
      <c r="M16" s="125"/>
      <c r="N16" s="125"/>
      <c r="O16" s="124"/>
      <c r="P16" s="124"/>
    </row>
    <row r="17" spans="2:18" x14ac:dyDescent="0.15">
      <c r="B17" s="43" t="s">
        <v>103</v>
      </c>
      <c r="C17" s="28" t="s">
        <v>105</v>
      </c>
      <c r="D17" s="162">
        <v>235</v>
      </c>
      <c r="E17" s="28" t="s">
        <v>98</v>
      </c>
      <c r="F17" s="28" t="s">
        <v>75</v>
      </c>
      <c r="G17" s="34">
        <f>D4^2*G13</f>
        <v>31.145299649999998</v>
      </c>
      <c r="H17" s="28"/>
      <c r="I17" s="110" t="s">
        <v>152</v>
      </c>
      <c r="J17" s="166">
        <f>J10+J13+J15</f>
        <v>861.95233946791348</v>
      </c>
      <c r="K17" s="35"/>
      <c r="L17" s="131"/>
      <c r="M17" s="125"/>
      <c r="N17" s="125"/>
      <c r="O17" s="125"/>
      <c r="P17" s="125"/>
      <c r="Q17" s="35"/>
      <c r="R17" s="35"/>
    </row>
    <row r="18" spans="2:18" x14ac:dyDescent="0.15">
      <c r="B18" s="43" t="s">
        <v>96</v>
      </c>
      <c r="C18" s="28" t="s">
        <v>106</v>
      </c>
      <c r="D18" s="137">
        <v>221.9</v>
      </c>
      <c r="E18" s="28" t="s">
        <v>99</v>
      </c>
      <c r="F18" s="28" t="s">
        <v>100</v>
      </c>
      <c r="G18" s="34">
        <f>D5^2*G14</f>
        <v>27.668251399999995</v>
      </c>
      <c r="H18" s="28"/>
      <c r="I18" s="110" t="s">
        <v>167</v>
      </c>
      <c r="J18" s="167">
        <f>J16+J17</f>
        <v>1723.9627095419075</v>
      </c>
      <c r="K18" s="35"/>
      <c r="L18" s="125"/>
      <c r="M18" s="125"/>
      <c r="N18" s="125"/>
      <c r="O18" s="125"/>
      <c r="P18" s="125"/>
      <c r="Q18" s="35"/>
      <c r="R18" s="35"/>
    </row>
    <row r="19" spans="2:18" x14ac:dyDescent="0.15">
      <c r="B19" s="43" t="s">
        <v>97</v>
      </c>
      <c r="C19" s="28" t="s">
        <v>107</v>
      </c>
      <c r="D19" s="137">
        <v>220.9</v>
      </c>
      <c r="E19" s="28" t="s">
        <v>157</v>
      </c>
      <c r="F19" s="28" t="s">
        <v>155</v>
      </c>
      <c r="G19" s="163">
        <f>D6^2*G15</f>
        <v>19.038798100000001</v>
      </c>
      <c r="H19" s="28" t="s">
        <v>101</v>
      </c>
      <c r="I19" s="28" t="s">
        <v>53</v>
      </c>
      <c r="J19" s="167">
        <f>D8*9.81+J16</f>
        <v>2684.708370073994</v>
      </c>
      <c r="K19" s="35"/>
      <c r="L19" s="132"/>
      <c r="M19" s="133"/>
      <c r="N19" s="125"/>
      <c r="O19" s="125"/>
      <c r="P19" s="125"/>
      <c r="Q19" s="35"/>
      <c r="R19" s="35"/>
    </row>
    <row r="20" spans="2:18" x14ac:dyDescent="0.15">
      <c r="B20" s="43" t="s">
        <v>25</v>
      </c>
      <c r="C20" s="28" t="s">
        <v>169</v>
      </c>
      <c r="D20" s="137">
        <v>1.47</v>
      </c>
      <c r="E20" s="28" t="s">
        <v>158</v>
      </c>
      <c r="F20" s="28" t="s">
        <v>156</v>
      </c>
      <c r="G20" s="163">
        <f>D7^2*G16</f>
        <v>18.9529991</v>
      </c>
      <c r="H20" s="30" t="s">
        <v>111</v>
      </c>
      <c r="I20" s="28" t="s">
        <v>168</v>
      </c>
      <c r="J20" s="167">
        <f>D9*9.81-J16</f>
        <v>1160.8116299260059</v>
      </c>
      <c r="K20" s="35"/>
      <c r="L20" s="121"/>
      <c r="M20" s="125"/>
      <c r="N20" s="125"/>
      <c r="O20" s="125"/>
      <c r="P20" s="125"/>
      <c r="Q20" s="35"/>
      <c r="R20" s="35"/>
    </row>
    <row r="21" spans="2:18" x14ac:dyDescent="0.15">
      <c r="B21" s="43" t="s">
        <v>26</v>
      </c>
      <c r="C21" s="28" t="s">
        <v>24</v>
      </c>
      <c r="D21" s="137">
        <v>1.52</v>
      </c>
      <c r="E21" s="28"/>
      <c r="F21" s="142" t="s">
        <v>165</v>
      </c>
      <c r="G21" s="143">
        <f>(G17+G18)/2</f>
        <v>29.406775524999997</v>
      </c>
      <c r="H21" s="30" t="s">
        <v>108</v>
      </c>
      <c r="I21" s="28" t="s">
        <v>54</v>
      </c>
      <c r="J21" s="167">
        <f>D10*9.81+J17</f>
        <v>2812.1803394679137</v>
      </c>
      <c r="K21" s="35"/>
      <c r="L21" s="125"/>
      <c r="M21" s="125"/>
      <c r="N21" s="125"/>
      <c r="O21" s="125"/>
      <c r="P21" s="125"/>
      <c r="Q21" s="35"/>
      <c r="R21" s="35"/>
    </row>
    <row r="22" spans="2:18" x14ac:dyDescent="0.15">
      <c r="B22" s="43" t="s">
        <v>28</v>
      </c>
      <c r="C22" s="28" t="s">
        <v>27</v>
      </c>
      <c r="D22" s="137">
        <v>2.5499999999999998</v>
      </c>
      <c r="E22" s="28"/>
      <c r="F22" s="142" t="s">
        <v>166</v>
      </c>
      <c r="G22" s="163">
        <f>(G19+G20)/2</f>
        <v>18.9958986</v>
      </c>
      <c r="H22" s="28" t="s">
        <v>40</v>
      </c>
      <c r="I22" s="28" t="s">
        <v>55</v>
      </c>
      <c r="J22" s="167">
        <f>D11*9.81-J17</f>
        <v>1288.3996605320863</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7946.1</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8">
        <f>(J19-J20)</f>
        <v>1523.8967401479881</v>
      </c>
      <c r="K29" s="35"/>
      <c r="L29" s="130"/>
      <c r="M29" s="130"/>
      <c r="N29" s="130"/>
      <c r="O29" s="130"/>
      <c r="P29" s="125"/>
      <c r="Q29" s="35"/>
      <c r="R29" s="35"/>
    </row>
    <row r="30" spans="2:18" ht="14" x14ac:dyDescent="0.15">
      <c r="D30" s="121"/>
      <c r="E30" s="125"/>
      <c r="G30" s="36"/>
      <c r="H30" s="158" t="s">
        <v>172</v>
      </c>
      <c r="I30" s="158" t="s">
        <v>137</v>
      </c>
      <c r="J30" s="168">
        <f>(J21-J22)</f>
        <v>1523.7806789358274</v>
      </c>
      <c r="K30" s="35"/>
      <c r="L30" s="130"/>
      <c r="M30" s="130"/>
      <c r="N30" s="130"/>
      <c r="O30" s="130"/>
      <c r="P30" s="125"/>
      <c r="Q30" s="35"/>
      <c r="R30" s="35"/>
    </row>
    <row r="31" spans="2:18" ht="15" x14ac:dyDescent="0.2">
      <c r="C31" s="125"/>
      <c r="G31" s="36"/>
      <c r="H31" s="159" t="s">
        <v>173</v>
      </c>
      <c r="I31" s="158" t="s">
        <v>174</v>
      </c>
      <c r="J31" s="168">
        <f>(J29-J30)</f>
        <v>0.11606121216073007</v>
      </c>
    </row>
    <row r="32" spans="2:18" ht="17" x14ac:dyDescent="0.15">
      <c r="C32" s="126"/>
      <c r="D32" s="124"/>
      <c r="F32" s="123"/>
      <c r="H32" s="28"/>
      <c r="I32" s="142" t="s">
        <v>175</v>
      </c>
      <c r="J32" s="169">
        <f>(J17/J18*100)</f>
        <v>49.998316941376999</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409B9-0D9D-7F40-850D-4777B4F5BCE7}">
  <dimension ref="B1:R38"/>
  <sheetViews>
    <sheetView topLeftCell="A10" zoomScale="120" zoomScaleNormal="120" workbookViewId="0">
      <selection activeCell="B44" sqref="B44"/>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181.8</v>
      </c>
      <c r="H4" s="30" t="s">
        <v>64</v>
      </c>
      <c r="I4" s="30" t="s">
        <v>118</v>
      </c>
      <c r="J4" s="39">
        <f>((D20^2*G21)/2)</f>
        <v>31.772550615986244</v>
      </c>
      <c r="L4" s="124"/>
      <c r="M4" s="127"/>
      <c r="N4" s="124"/>
      <c r="O4" s="124"/>
      <c r="P4" s="124"/>
    </row>
    <row r="5" spans="2:16" ht="15" customHeight="1" x14ac:dyDescent="0.15">
      <c r="B5" s="43" t="s">
        <v>85</v>
      </c>
      <c r="C5" s="30" t="s">
        <v>162</v>
      </c>
      <c r="D5" s="137">
        <v>0.82</v>
      </c>
      <c r="E5" s="28" t="s">
        <v>94</v>
      </c>
      <c r="F5" s="28" t="s">
        <v>2</v>
      </c>
      <c r="G5" s="32">
        <f>SUM(D9-D13)</f>
        <v>152.19999999999999</v>
      </c>
      <c r="H5" s="28" t="s">
        <v>41</v>
      </c>
      <c r="I5" s="28" t="s">
        <v>50</v>
      </c>
      <c r="J5" s="161">
        <f>((D21^2*G22)/2)</f>
        <v>27.256626319999995</v>
      </c>
      <c r="K5" s="35"/>
      <c r="L5" s="125"/>
      <c r="M5" s="134"/>
      <c r="N5" s="125"/>
      <c r="O5" s="124"/>
      <c r="P5" s="124"/>
    </row>
    <row r="6" spans="2:16" ht="16.5" customHeight="1" x14ac:dyDescent="0.15">
      <c r="B6" s="43" t="s">
        <v>86</v>
      </c>
      <c r="C6" s="30" t="s">
        <v>163</v>
      </c>
      <c r="D6" s="162">
        <v>0.7</v>
      </c>
      <c r="E6" s="28" t="s">
        <v>95</v>
      </c>
      <c r="F6" s="28" t="s">
        <v>70</v>
      </c>
      <c r="G6" s="32">
        <f>SUM(D10-D14)</f>
        <v>138.80000000000001</v>
      </c>
      <c r="H6" s="28" t="s">
        <v>42</v>
      </c>
      <c r="I6" s="28" t="s">
        <v>49</v>
      </c>
      <c r="J6" s="161">
        <f>J4+J5</f>
        <v>59.029176935986243</v>
      </c>
      <c r="K6" s="35"/>
      <c r="L6" s="135"/>
      <c r="M6" s="136"/>
      <c r="N6" s="125"/>
      <c r="O6" s="124"/>
      <c r="P6" s="124"/>
    </row>
    <row r="7" spans="2:16" x14ac:dyDescent="0.15">
      <c r="B7" s="43" t="s">
        <v>56</v>
      </c>
      <c r="C7" s="30" t="s">
        <v>164</v>
      </c>
      <c r="D7" s="162">
        <v>0.7</v>
      </c>
      <c r="E7" s="28" t="s">
        <v>0</v>
      </c>
      <c r="F7" s="28" t="s">
        <v>69</v>
      </c>
      <c r="G7" s="32">
        <f>SUM(D11-D15)</f>
        <v>209.2</v>
      </c>
      <c r="H7" s="28" t="s">
        <v>47</v>
      </c>
      <c r="I7" s="28" t="s">
        <v>48</v>
      </c>
      <c r="J7" s="39">
        <f>(G10*D1*G27)</f>
        <v>1645.4987999999996</v>
      </c>
      <c r="L7" s="124"/>
      <c r="M7" s="124"/>
      <c r="N7" s="124"/>
      <c r="O7" s="124"/>
      <c r="P7" s="124"/>
    </row>
    <row r="8" spans="2:16" ht="14" x14ac:dyDescent="0.2">
      <c r="B8" s="43" t="s">
        <v>87</v>
      </c>
      <c r="C8" s="28" t="s">
        <v>76</v>
      </c>
      <c r="D8" s="137">
        <v>210.8</v>
      </c>
      <c r="E8" s="30" t="s">
        <v>23</v>
      </c>
      <c r="F8" s="28" t="s">
        <v>19</v>
      </c>
      <c r="G8" s="32">
        <f>SUM(G4+G5)</f>
        <v>334</v>
      </c>
      <c r="H8" s="113" t="s">
        <v>119</v>
      </c>
      <c r="I8" s="30" t="s">
        <v>123</v>
      </c>
      <c r="J8" s="164">
        <f>(J7/J6)</f>
        <v>27.876024796761925</v>
      </c>
      <c r="K8" s="165">
        <f>J8*180/3.142</f>
        <v>1596.9715033154509</v>
      </c>
      <c r="L8" s="128" t="s">
        <v>122</v>
      </c>
      <c r="M8" s="124"/>
      <c r="N8" s="124"/>
      <c r="O8" s="124"/>
      <c r="P8" s="129"/>
    </row>
    <row r="9" spans="2:16" x14ac:dyDescent="0.15">
      <c r="B9" s="43" t="s">
        <v>88</v>
      </c>
      <c r="C9" s="28" t="s">
        <v>77</v>
      </c>
      <c r="D9" s="137">
        <v>181.2</v>
      </c>
      <c r="E9" s="28" t="s">
        <v>22</v>
      </c>
      <c r="F9" s="28" t="s">
        <v>20</v>
      </c>
      <c r="G9" s="32">
        <f>SUM(G6+G7)</f>
        <v>348</v>
      </c>
      <c r="H9" s="28" t="s">
        <v>29</v>
      </c>
      <c r="I9" s="28" t="s">
        <v>51</v>
      </c>
      <c r="J9" s="161">
        <f>(J8*G21*D20)/2</f>
        <v>602.51184273986803</v>
      </c>
      <c r="L9" s="124"/>
      <c r="M9" s="124"/>
      <c r="N9" s="124"/>
      <c r="O9" s="124"/>
      <c r="P9" s="125"/>
    </row>
    <row r="10" spans="2:16" x14ac:dyDescent="0.15">
      <c r="B10" s="43" t="s">
        <v>89</v>
      </c>
      <c r="C10" s="28" t="s">
        <v>78</v>
      </c>
      <c r="D10" s="137">
        <v>173.8</v>
      </c>
      <c r="E10" s="110" t="s">
        <v>117</v>
      </c>
      <c r="F10" s="110" t="s">
        <v>115</v>
      </c>
      <c r="G10" s="37">
        <f>SUM(G8+G9)</f>
        <v>682</v>
      </c>
      <c r="H10" s="120" t="s">
        <v>32</v>
      </c>
      <c r="I10" s="30" t="s">
        <v>52</v>
      </c>
      <c r="J10" s="161">
        <f>(J8*G22*D21)/2</f>
        <v>499.87262577131156</v>
      </c>
      <c r="L10" s="121"/>
      <c r="M10" s="125"/>
      <c r="N10" s="125"/>
      <c r="O10" s="124"/>
      <c r="P10" s="125"/>
    </row>
    <row r="11" spans="2:16" x14ac:dyDescent="0.15">
      <c r="B11" s="43" t="s">
        <v>1</v>
      </c>
      <c r="C11" s="28" t="s">
        <v>79</v>
      </c>
      <c r="D11" s="137">
        <v>244.2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Q6'!D1*'EXAM Q6'!D27)/'EXAM Q6'!D20</f>
        <v>110.42448979591838</v>
      </c>
      <c r="L12" s="121"/>
      <c r="M12" s="125"/>
      <c r="N12" s="125"/>
      <c r="O12" s="124"/>
      <c r="P12" s="125"/>
    </row>
    <row r="13" spans="2:16" x14ac:dyDescent="0.15">
      <c r="B13" s="43" t="s">
        <v>91</v>
      </c>
      <c r="C13" s="28" t="s">
        <v>81</v>
      </c>
      <c r="D13" s="137">
        <v>29</v>
      </c>
      <c r="E13" s="30" t="s">
        <v>109</v>
      </c>
      <c r="F13" s="28" t="s">
        <v>71</v>
      </c>
      <c r="G13" s="141">
        <f>SUM(D16*0.1751)</f>
        <v>41.148499999999999</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41.148499999999999</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48.152500000000003</v>
      </c>
      <c r="H15" s="28" t="s">
        <v>59</v>
      </c>
      <c r="I15" s="30" t="s">
        <v>150</v>
      </c>
      <c r="J15" s="39">
        <f>((D14+D15)*D1*D24)/D21</f>
        <v>104.44736842105264</v>
      </c>
      <c r="L15" s="131"/>
      <c r="M15" s="125"/>
      <c r="N15" s="125"/>
      <c r="O15" s="124"/>
      <c r="P15" s="124"/>
    </row>
    <row r="16" spans="2:16" x14ac:dyDescent="0.15">
      <c r="B16" s="43" t="s">
        <v>102</v>
      </c>
      <c r="C16" s="28" t="s">
        <v>104</v>
      </c>
      <c r="D16" s="162">
        <v>235</v>
      </c>
      <c r="E16" s="28" t="s">
        <v>97</v>
      </c>
      <c r="F16" s="28" t="s">
        <v>74</v>
      </c>
      <c r="G16" s="141">
        <f>SUM(D19*0.1751)</f>
        <v>48.152500000000003</v>
      </c>
      <c r="H16" s="28"/>
      <c r="I16" s="110" t="s">
        <v>151</v>
      </c>
      <c r="J16" s="166">
        <f>J9+J12+J14</f>
        <v>802.42204682150066</v>
      </c>
      <c r="L16" s="125"/>
      <c r="M16" s="125"/>
      <c r="N16" s="125"/>
      <c r="O16" s="124"/>
      <c r="P16" s="124"/>
    </row>
    <row r="17" spans="2:18" x14ac:dyDescent="0.15">
      <c r="B17" s="43" t="s">
        <v>103</v>
      </c>
      <c r="C17" s="28" t="s">
        <v>105</v>
      </c>
      <c r="D17" s="162">
        <v>235</v>
      </c>
      <c r="E17" s="28" t="s">
        <v>98</v>
      </c>
      <c r="F17" s="28" t="s">
        <v>75</v>
      </c>
      <c r="G17" s="34">
        <f>D4^2*G13</f>
        <v>31.145299649999998</v>
      </c>
      <c r="H17" s="28"/>
      <c r="I17" s="110" t="s">
        <v>152</v>
      </c>
      <c r="J17" s="166">
        <f>J10+J13+J15</f>
        <v>919.58052050815365</v>
      </c>
      <c r="K17" s="35"/>
      <c r="L17" s="131"/>
      <c r="M17" s="125"/>
      <c r="N17" s="125"/>
      <c r="O17" s="125"/>
      <c r="P17" s="125"/>
      <c r="Q17" s="35"/>
      <c r="R17" s="35"/>
    </row>
    <row r="18" spans="2:18" x14ac:dyDescent="0.15">
      <c r="B18" s="43" t="s">
        <v>96</v>
      </c>
      <c r="C18" s="28" t="s">
        <v>106</v>
      </c>
      <c r="D18" s="137">
        <v>275</v>
      </c>
      <c r="E18" s="28" t="s">
        <v>99</v>
      </c>
      <c r="F18" s="28" t="s">
        <v>100</v>
      </c>
      <c r="G18" s="34">
        <f>D5^2*G14</f>
        <v>27.668251399999995</v>
      </c>
      <c r="H18" s="28"/>
      <c r="I18" s="110" t="s">
        <v>167</v>
      </c>
      <c r="J18" s="167">
        <f>J16+J17</f>
        <v>1722.0025673296543</v>
      </c>
      <c r="K18" s="35"/>
      <c r="L18" s="125"/>
      <c r="M18" s="125"/>
      <c r="N18" s="125"/>
      <c r="O18" s="125"/>
      <c r="P18" s="125"/>
      <c r="Q18" s="35"/>
      <c r="R18" s="35"/>
    </row>
    <row r="19" spans="2:18" x14ac:dyDescent="0.15">
      <c r="B19" s="43" t="s">
        <v>97</v>
      </c>
      <c r="C19" s="28" t="s">
        <v>107</v>
      </c>
      <c r="D19" s="137">
        <v>275</v>
      </c>
      <c r="E19" s="28" t="s">
        <v>157</v>
      </c>
      <c r="F19" s="28" t="s">
        <v>155</v>
      </c>
      <c r="G19" s="163">
        <f>D6^2*G15</f>
        <v>23.594724999999997</v>
      </c>
      <c r="H19" s="28" t="s">
        <v>101</v>
      </c>
      <c r="I19" s="28" t="s">
        <v>53</v>
      </c>
      <c r="J19" s="167">
        <f>D8*9.81+J16</f>
        <v>2870.3700468215011</v>
      </c>
      <c r="K19" s="35"/>
      <c r="L19" s="132"/>
      <c r="M19" s="133"/>
      <c r="N19" s="125"/>
      <c r="O19" s="125"/>
      <c r="P19" s="125"/>
      <c r="Q19" s="35"/>
      <c r="R19" s="35"/>
    </row>
    <row r="20" spans="2:18" x14ac:dyDescent="0.15">
      <c r="B20" s="43" t="s">
        <v>25</v>
      </c>
      <c r="C20" s="28" t="s">
        <v>169</v>
      </c>
      <c r="D20" s="137">
        <v>1.47</v>
      </c>
      <c r="E20" s="28" t="s">
        <v>158</v>
      </c>
      <c r="F20" s="28" t="s">
        <v>156</v>
      </c>
      <c r="G20" s="163">
        <f>D7^2*G16</f>
        <v>23.594724999999997</v>
      </c>
      <c r="H20" s="30" t="s">
        <v>111</v>
      </c>
      <c r="I20" s="28" t="s">
        <v>168</v>
      </c>
      <c r="J20" s="167">
        <f>D9*9.81-J16</f>
        <v>975.14995317849923</v>
      </c>
      <c r="K20" s="35"/>
      <c r="L20" s="121"/>
      <c r="M20" s="125"/>
      <c r="N20" s="125"/>
      <c r="O20" s="125"/>
      <c r="P20" s="125"/>
      <c r="Q20" s="35"/>
      <c r="R20" s="35"/>
    </row>
    <row r="21" spans="2:18" x14ac:dyDescent="0.15">
      <c r="B21" s="43" t="s">
        <v>26</v>
      </c>
      <c r="C21" s="28" t="s">
        <v>24</v>
      </c>
      <c r="D21" s="137">
        <v>1.52</v>
      </c>
      <c r="E21" s="28"/>
      <c r="F21" s="142" t="s">
        <v>165</v>
      </c>
      <c r="G21" s="143">
        <f>(G17+G18)/2</f>
        <v>29.406775524999997</v>
      </c>
      <c r="H21" s="30" t="s">
        <v>108</v>
      </c>
      <c r="I21" s="28" t="s">
        <v>54</v>
      </c>
      <c r="J21" s="167">
        <f>D10*9.81+J17</f>
        <v>2624.5585205081538</v>
      </c>
      <c r="K21" s="35"/>
      <c r="L21" s="125"/>
      <c r="M21" s="125"/>
      <c r="N21" s="125"/>
      <c r="O21" s="125"/>
      <c r="P21" s="125"/>
      <c r="Q21" s="35"/>
      <c r="R21" s="35"/>
    </row>
    <row r="22" spans="2:18" x14ac:dyDescent="0.15">
      <c r="B22" s="43" t="s">
        <v>28</v>
      </c>
      <c r="C22" s="28" t="s">
        <v>27</v>
      </c>
      <c r="D22" s="137">
        <v>2.5499999999999998</v>
      </c>
      <c r="E22" s="28"/>
      <c r="F22" s="142" t="s">
        <v>166</v>
      </c>
      <c r="G22" s="163">
        <f>(G19+G20)/2</f>
        <v>23.594724999999997</v>
      </c>
      <c r="H22" s="28" t="s">
        <v>40</v>
      </c>
      <c r="I22" s="28" t="s">
        <v>55</v>
      </c>
      <c r="J22" s="167">
        <f>D11*9.81-J17</f>
        <v>1476.0214794918461</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7946.1</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8">
        <f>(J19-J20)</f>
        <v>1895.2200936430017</v>
      </c>
      <c r="K29" s="35"/>
      <c r="L29" s="130"/>
      <c r="M29" s="130"/>
      <c r="N29" s="130"/>
      <c r="O29" s="130"/>
      <c r="P29" s="125"/>
      <c r="Q29" s="35"/>
      <c r="R29" s="35"/>
    </row>
    <row r="30" spans="2:18" ht="14" x14ac:dyDescent="0.15">
      <c r="D30" s="121"/>
      <c r="E30" s="125"/>
      <c r="G30" s="36"/>
      <c r="H30" s="158" t="s">
        <v>172</v>
      </c>
      <c r="I30" s="158" t="s">
        <v>137</v>
      </c>
      <c r="J30" s="168">
        <f>(J21-J22)</f>
        <v>1148.5370410163077</v>
      </c>
      <c r="K30" s="35"/>
      <c r="L30" s="130"/>
      <c r="M30" s="130"/>
      <c r="N30" s="130"/>
      <c r="O30" s="130"/>
      <c r="P30" s="125"/>
      <c r="Q30" s="35"/>
      <c r="R30" s="35"/>
    </row>
    <row r="31" spans="2:18" ht="15" x14ac:dyDescent="0.2">
      <c r="C31" s="125"/>
      <c r="G31" s="36"/>
      <c r="H31" s="159" t="s">
        <v>173</v>
      </c>
      <c r="I31" s="158" t="s">
        <v>174</v>
      </c>
      <c r="J31" s="168">
        <f>(J29-J30)</f>
        <v>746.68305262669401</v>
      </c>
    </row>
    <row r="32" spans="2:18" ht="17" x14ac:dyDescent="0.15">
      <c r="C32" s="126"/>
      <c r="D32" s="124"/>
      <c r="F32" s="123"/>
      <c r="H32" s="28"/>
      <c r="I32" s="142" t="s">
        <v>175</v>
      </c>
      <c r="J32" s="169">
        <f>(J17/J18*100)</f>
        <v>53.40180891449927</v>
      </c>
    </row>
    <row r="33" spans="2:6" ht="14" x14ac:dyDescent="0.15">
      <c r="D33" s="124"/>
      <c r="F33" s="122"/>
    </row>
    <row r="34" spans="2:6" x14ac:dyDescent="0.15">
      <c r="D34" s="124"/>
    </row>
    <row r="35" spans="2:6" x14ac:dyDescent="0.15">
      <c r="B35" s="41"/>
      <c r="D35" s="125"/>
    </row>
    <row r="36" spans="2:6" x14ac:dyDescent="0.15">
      <c r="B36" s="125"/>
      <c r="C36" s="121"/>
      <c r="D36" s="125"/>
    </row>
    <row r="37" spans="2:6" x14ac:dyDescent="0.15">
      <c r="B37" s="125"/>
      <c r="C37" s="121"/>
      <c r="D37" s="125"/>
    </row>
    <row r="38" spans="2:6" x14ac:dyDescent="0.15">
      <c r="D38" s="125"/>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CCF63-64D2-DA44-962B-E3F3CCCB4423}">
  <dimension ref="B1:R39"/>
  <sheetViews>
    <sheetView tabSelected="1" topLeftCell="F6" zoomScale="120" zoomScaleNormal="120" workbookViewId="0">
      <selection activeCell="I33" sqref="I33"/>
    </sheetView>
  </sheetViews>
  <sheetFormatPr baseColWidth="10" defaultColWidth="8.83203125" defaultRowHeight="13" x14ac:dyDescent="0.15"/>
  <cols>
    <col min="3" max="3" width="51.6640625" customWidth="1"/>
    <col min="4" max="4" width="10.5" bestFit="1" customWidth="1"/>
    <col min="6" max="6" width="43.5" customWidth="1"/>
    <col min="7" max="7" width="16.6640625" customWidth="1"/>
    <col min="9" max="9" width="53.5" customWidth="1"/>
    <col min="10" max="10" width="12.1640625" customWidth="1"/>
    <col min="11" max="11" width="7.5" customWidth="1"/>
    <col min="12" max="14" width="9.1640625" customWidth="1"/>
    <col min="15" max="15" width="11.1640625" customWidth="1"/>
    <col min="16" max="16" width="10.1640625" customWidth="1"/>
  </cols>
  <sheetData>
    <row r="1" spans="2:16" ht="19" thickBot="1" x14ac:dyDescent="0.25">
      <c r="C1" s="31" t="s">
        <v>112</v>
      </c>
      <c r="D1" s="38">
        <v>8.1</v>
      </c>
      <c r="F1" s="121"/>
      <c r="G1" s="125"/>
      <c r="H1" s="125"/>
    </row>
    <row r="2" spans="2:16" ht="14" thickBot="1" x14ac:dyDescent="0.2">
      <c r="F2" s="125"/>
      <c r="G2" s="125"/>
      <c r="H2" s="125"/>
    </row>
    <row r="3" spans="2:16" ht="16" x14ac:dyDescent="0.2">
      <c r="B3" s="145" t="s">
        <v>30</v>
      </c>
      <c r="C3" s="146"/>
      <c r="D3" s="146"/>
      <c r="E3" s="146" t="s">
        <v>31</v>
      </c>
      <c r="F3" s="146"/>
      <c r="G3" s="146"/>
      <c r="H3" s="146" t="s">
        <v>33</v>
      </c>
      <c r="I3" s="146"/>
      <c r="J3" s="147"/>
      <c r="L3" s="124"/>
      <c r="M3" s="124"/>
      <c r="N3" s="124"/>
      <c r="O3" s="124"/>
      <c r="P3" s="124"/>
    </row>
    <row r="4" spans="2:16" ht="14" x14ac:dyDescent="0.15">
      <c r="B4" s="43" t="s">
        <v>84</v>
      </c>
      <c r="C4" s="30" t="s">
        <v>161</v>
      </c>
      <c r="D4" s="137">
        <v>0.87</v>
      </c>
      <c r="E4" s="28" t="s">
        <v>93</v>
      </c>
      <c r="F4" s="28" t="s">
        <v>68</v>
      </c>
      <c r="G4" s="32">
        <f>SUM(D8-D12)</f>
        <v>181.8</v>
      </c>
      <c r="H4" s="30" t="s">
        <v>64</v>
      </c>
      <c r="I4" s="30" t="s">
        <v>118</v>
      </c>
      <c r="J4" s="39">
        <f>((D20^2*G21)/2)</f>
        <v>31.772550615986244</v>
      </c>
      <c r="L4" s="124"/>
      <c r="M4" s="127"/>
      <c r="N4" s="124"/>
      <c r="O4" s="124"/>
      <c r="P4" s="124"/>
    </row>
    <row r="5" spans="2:16" ht="15" customHeight="1" x14ac:dyDescent="0.15">
      <c r="B5" s="43" t="s">
        <v>85</v>
      </c>
      <c r="C5" s="30" t="s">
        <v>162</v>
      </c>
      <c r="D5" s="137">
        <v>0.82</v>
      </c>
      <c r="E5" s="28" t="s">
        <v>94</v>
      </c>
      <c r="F5" s="28" t="s">
        <v>2</v>
      </c>
      <c r="G5" s="32">
        <f>SUM(D9-D13)</f>
        <v>152.19999999999999</v>
      </c>
      <c r="H5" s="28" t="s">
        <v>41</v>
      </c>
      <c r="I5" s="28" t="s">
        <v>50</v>
      </c>
      <c r="J5" s="161">
        <f>((D21^2*G22)/2)</f>
        <v>27.256626319999995</v>
      </c>
      <c r="K5" s="35"/>
      <c r="L5" s="125"/>
      <c r="M5" s="134"/>
      <c r="N5" s="125"/>
      <c r="O5" s="124"/>
      <c r="P5" s="124"/>
    </row>
    <row r="6" spans="2:16" ht="16.5" customHeight="1" x14ac:dyDescent="0.15">
      <c r="B6" s="43" t="s">
        <v>86</v>
      </c>
      <c r="C6" s="30" t="s">
        <v>163</v>
      </c>
      <c r="D6" s="162">
        <v>0.7</v>
      </c>
      <c r="E6" s="28" t="s">
        <v>95</v>
      </c>
      <c r="F6" s="28" t="s">
        <v>70</v>
      </c>
      <c r="G6" s="32">
        <f>SUM(D10-D14)</f>
        <v>138.80000000000001</v>
      </c>
      <c r="H6" s="28" t="s">
        <v>42</v>
      </c>
      <c r="I6" s="28" t="s">
        <v>49</v>
      </c>
      <c r="J6" s="161">
        <f>J4+J5</f>
        <v>59.029176935986243</v>
      </c>
      <c r="K6" s="35"/>
      <c r="L6" s="135"/>
      <c r="M6" s="136"/>
      <c r="N6" s="125"/>
      <c r="O6" s="124"/>
      <c r="P6" s="124"/>
    </row>
    <row r="7" spans="2:16" x14ac:dyDescent="0.15">
      <c r="B7" s="43" t="s">
        <v>56</v>
      </c>
      <c r="C7" s="30" t="s">
        <v>164</v>
      </c>
      <c r="D7" s="162">
        <v>0.7</v>
      </c>
      <c r="E7" s="28" t="s">
        <v>0</v>
      </c>
      <c r="F7" s="28" t="s">
        <v>69</v>
      </c>
      <c r="G7" s="32">
        <f>SUM(D11-D15)</f>
        <v>209.2</v>
      </c>
      <c r="H7" s="28" t="s">
        <v>47</v>
      </c>
      <c r="I7" s="28" t="s">
        <v>48</v>
      </c>
      <c r="J7" s="39">
        <f>(G10*D1*G27)</f>
        <v>1645.4987999999996</v>
      </c>
      <c r="L7" s="124"/>
      <c r="M7" s="124"/>
      <c r="N7" s="124"/>
      <c r="O7" s="124"/>
      <c r="P7" s="124"/>
    </row>
    <row r="8" spans="2:16" ht="14" x14ac:dyDescent="0.2">
      <c r="B8" s="43" t="s">
        <v>87</v>
      </c>
      <c r="C8" s="28" t="s">
        <v>76</v>
      </c>
      <c r="D8" s="137">
        <v>210.8</v>
      </c>
      <c r="E8" s="30" t="s">
        <v>23</v>
      </c>
      <c r="F8" s="28" t="s">
        <v>19</v>
      </c>
      <c r="G8" s="32">
        <f>SUM(G4+G5)</f>
        <v>334</v>
      </c>
      <c r="H8" s="113" t="s">
        <v>119</v>
      </c>
      <c r="I8" s="30" t="s">
        <v>123</v>
      </c>
      <c r="J8" s="164">
        <f>(J7/J6)</f>
        <v>27.876024796761925</v>
      </c>
      <c r="K8" s="165">
        <f>J8*180/3.142</f>
        <v>1596.9715033154509</v>
      </c>
      <c r="L8" s="128" t="s">
        <v>122</v>
      </c>
      <c r="M8" s="124"/>
      <c r="N8" s="124"/>
      <c r="O8" s="124"/>
      <c r="P8" s="129"/>
    </row>
    <row r="9" spans="2:16" x14ac:dyDescent="0.15">
      <c r="B9" s="43" t="s">
        <v>88</v>
      </c>
      <c r="C9" s="28" t="s">
        <v>77</v>
      </c>
      <c r="D9" s="137">
        <v>181.2</v>
      </c>
      <c r="E9" s="28" t="s">
        <v>22</v>
      </c>
      <c r="F9" s="28" t="s">
        <v>20</v>
      </c>
      <c r="G9" s="32">
        <f>SUM(G6+G7)</f>
        <v>348</v>
      </c>
      <c r="H9" s="28" t="s">
        <v>29</v>
      </c>
      <c r="I9" s="28" t="s">
        <v>51</v>
      </c>
      <c r="J9" s="161">
        <f>(J8*G21*D20)/2</f>
        <v>602.51184273986803</v>
      </c>
      <c r="L9" s="124"/>
      <c r="M9" s="124"/>
      <c r="N9" s="124"/>
      <c r="O9" s="124"/>
      <c r="P9" s="125"/>
    </row>
    <row r="10" spans="2:16" x14ac:dyDescent="0.15">
      <c r="B10" s="43" t="s">
        <v>89</v>
      </c>
      <c r="C10" s="28" t="s">
        <v>78</v>
      </c>
      <c r="D10" s="137">
        <v>173.8</v>
      </c>
      <c r="E10" s="110" t="s">
        <v>117</v>
      </c>
      <c r="F10" s="110" t="s">
        <v>115</v>
      </c>
      <c r="G10" s="37">
        <f>SUM(G8+G9)</f>
        <v>682</v>
      </c>
      <c r="H10" s="120" t="s">
        <v>32</v>
      </c>
      <c r="I10" s="30" t="s">
        <v>52</v>
      </c>
      <c r="J10" s="161">
        <f>(J8*G22*D21)/2</f>
        <v>499.87262577131156</v>
      </c>
      <c r="L10" s="121"/>
      <c r="M10" s="125"/>
      <c r="N10" s="125"/>
      <c r="O10" s="124"/>
      <c r="P10" s="125"/>
    </row>
    <row r="11" spans="2:16" x14ac:dyDescent="0.15">
      <c r="B11" s="43" t="s">
        <v>1</v>
      </c>
      <c r="C11" s="28" t="s">
        <v>79</v>
      </c>
      <c r="D11" s="137">
        <v>244.2</v>
      </c>
      <c r="E11" s="110" t="s">
        <v>113</v>
      </c>
      <c r="F11" s="110" t="s">
        <v>116</v>
      </c>
      <c r="G11" s="111">
        <f>SUM(G10+D12+D13+D14+D15)</f>
        <v>810</v>
      </c>
      <c r="H11" s="29"/>
      <c r="I11" s="29"/>
      <c r="J11" s="40"/>
      <c r="K11" s="27"/>
      <c r="L11" s="125"/>
      <c r="M11" s="125"/>
      <c r="N11" s="125"/>
      <c r="O11" s="124"/>
      <c r="P11" s="125"/>
    </row>
    <row r="12" spans="2:16" x14ac:dyDescent="0.15">
      <c r="B12" s="43" t="s">
        <v>90</v>
      </c>
      <c r="C12" s="28" t="s">
        <v>80</v>
      </c>
      <c r="D12" s="138">
        <v>29</v>
      </c>
      <c r="E12" s="112" t="s">
        <v>120</v>
      </c>
      <c r="F12" s="112" t="s">
        <v>121</v>
      </c>
      <c r="G12" s="111">
        <f>SUM(D12+D13+D14+D15)</f>
        <v>128</v>
      </c>
      <c r="H12" s="28" t="s">
        <v>57</v>
      </c>
      <c r="I12" s="30" t="s">
        <v>147</v>
      </c>
      <c r="J12" s="39">
        <f>(G8*'EXAM Q6,ii'!D1*'EXAM Q6,ii'!D27)/'EXAM Q6,ii'!D20</f>
        <v>110.42448979591838</v>
      </c>
      <c r="L12" s="121"/>
      <c r="M12" s="125"/>
      <c r="N12" s="125"/>
      <c r="O12" s="124"/>
      <c r="P12" s="125"/>
    </row>
    <row r="13" spans="2:16" x14ac:dyDescent="0.15">
      <c r="B13" s="43" t="s">
        <v>91</v>
      </c>
      <c r="C13" s="28" t="s">
        <v>81</v>
      </c>
      <c r="D13" s="137">
        <v>29</v>
      </c>
      <c r="E13" s="30" t="s">
        <v>109</v>
      </c>
      <c r="F13" s="28" t="s">
        <v>71</v>
      </c>
      <c r="G13" s="141">
        <f>SUM(D16*0.1751)</f>
        <v>41.148499999999999</v>
      </c>
      <c r="H13" s="28" t="s">
        <v>60</v>
      </c>
      <c r="I13" s="30" t="s">
        <v>148</v>
      </c>
      <c r="J13" s="39">
        <f>(G9*D1*D28)/D21</f>
        <v>315.26052631578943</v>
      </c>
      <c r="L13" s="125"/>
      <c r="M13" s="125"/>
      <c r="N13" s="125"/>
      <c r="O13" s="124"/>
      <c r="P13" s="125"/>
    </row>
    <row r="14" spans="2:16" x14ac:dyDescent="0.15">
      <c r="B14" s="43" t="s">
        <v>92</v>
      </c>
      <c r="C14" s="28" t="s">
        <v>82</v>
      </c>
      <c r="D14" s="137">
        <v>35</v>
      </c>
      <c r="E14" s="30" t="s">
        <v>110</v>
      </c>
      <c r="F14" s="28" t="s">
        <v>72</v>
      </c>
      <c r="G14" s="141">
        <f>SUM(D17*0.1751)</f>
        <v>41.148499999999999</v>
      </c>
      <c r="H14" s="28" t="s">
        <v>58</v>
      </c>
      <c r="I14" s="30" t="s">
        <v>149</v>
      </c>
      <c r="J14" s="39">
        <f>((D12+D13)*D1*D23)/D20</f>
        <v>89.485714285714295</v>
      </c>
      <c r="L14" s="125"/>
      <c r="M14" s="125"/>
      <c r="N14" s="125"/>
      <c r="O14" s="124"/>
      <c r="P14" s="124"/>
    </row>
    <row r="15" spans="2:16" x14ac:dyDescent="0.15">
      <c r="B15" s="43" t="s">
        <v>21</v>
      </c>
      <c r="C15" s="28" t="s">
        <v>83</v>
      </c>
      <c r="D15" s="137">
        <v>35</v>
      </c>
      <c r="E15" s="28" t="s">
        <v>96</v>
      </c>
      <c r="F15" s="28" t="s">
        <v>73</v>
      </c>
      <c r="G15" s="141">
        <f>SUM(D18*0.1751)</f>
        <v>48.152500000000003</v>
      </c>
      <c r="H15" s="28" t="s">
        <v>59</v>
      </c>
      <c r="I15" s="30" t="s">
        <v>150</v>
      </c>
      <c r="J15" s="39">
        <f>((D14+D15)*D1*D24)/D21</f>
        <v>104.44736842105264</v>
      </c>
      <c r="L15" s="131"/>
      <c r="M15" s="125"/>
      <c r="N15" s="125"/>
      <c r="O15" s="124"/>
      <c r="P15" s="124"/>
    </row>
    <row r="16" spans="2:16" x14ac:dyDescent="0.15">
      <c r="B16" s="43" t="s">
        <v>102</v>
      </c>
      <c r="C16" s="28" t="s">
        <v>104</v>
      </c>
      <c r="D16" s="162">
        <v>235</v>
      </c>
      <c r="E16" s="28" t="s">
        <v>97</v>
      </c>
      <c r="F16" s="28" t="s">
        <v>74</v>
      </c>
      <c r="G16" s="141">
        <f>SUM(D19*0.1751)</f>
        <v>48.152500000000003</v>
      </c>
      <c r="H16" s="28"/>
      <c r="I16" s="110" t="s">
        <v>151</v>
      </c>
      <c r="J16" s="166">
        <f>J9+J12+J14</f>
        <v>802.42204682150066</v>
      </c>
      <c r="L16" s="125"/>
      <c r="M16" s="125"/>
      <c r="N16" s="125"/>
      <c r="O16" s="124"/>
      <c r="P16" s="124"/>
    </row>
    <row r="17" spans="2:18" x14ac:dyDescent="0.15">
      <c r="B17" s="43" t="s">
        <v>103</v>
      </c>
      <c r="C17" s="28" t="s">
        <v>105</v>
      </c>
      <c r="D17" s="162">
        <v>235</v>
      </c>
      <c r="E17" s="28" t="s">
        <v>98</v>
      </c>
      <c r="F17" s="28" t="s">
        <v>75</v>
      </c>
      <c r="G17" s="34">
        <f>D4^2*G13</f>
        <v>31.145299649999998</v>
      </c>
      <c r="H17" s="28"/>
      <c r="I17" s="110" t="s">
        <v>152</v>
      </c>
      <c r="J17" s="166">
        <f>J10+J13+J15</f>
        <v>919.58052050815365</v>
      </c>
      <c r="K17" s="35"/>
      <c r="L17" s="131"/>
      <c r="M17" s="125"/>
      <c r="N17" s="125"/>
      <c r="O17" s="125"/>
      <c r="P17" s="125"/>
      <c r="Q17" s="35"/>
      <c r="R17" s="35"/>
    </row>
    <row r="18" spans="2:18" x14ac:dyDescent="0.15">
      <c r="B18" s="43" t="s">
        <v>96</v>
      </c>
      <c r="C18" s="28" t="s">
        <v>106</v>
      </c>
      <c r="D18" s="137">
        <v>275</v>
      </c>
      <c r="E18" s="28" t="s">
        <v>99</v>
      </c>
      <c r="F18" s="28" t="s">
        <v>100</v>
      </c>
      <c r="G18" s="34">
        <f>D5^2*G14</f>
        <v>27.668251399999995</v>
      </c>
      <c r="H18" s="28"/>
      <c r="I18" s="110" t="s">
        <v>167</v>
      </c>
      <c r="J18" s="167">
        <f>J16+J17</f>
        <v>1722.0025673296543</v>
      </c>
      <c r="K18" s="35"/>
      <c r="L18" s="125"/>
      <c r="M18" s="125"/>
      <c r="N18" s="125"/>
      <c r="O18" s="125"/>
      <c r="P18" s="125"/>
      <c r="Q18" s="35"/>
      <c r="R18" s="35"/>
    </row>
    <row r="19" spans="2:18" x14ac:dyDescent="0.15">
      <c r="B19" s="43" t="s">
        <v>97</v>
      </c>
      <c r="C19" s="28" t="s">
        <v>107</v>
      </c>
      <c r="D19" s="137">
        <v>275</v>
      </c>
      <c r="E19" s="28" t="s">
        <v>157</v>
      </c>
      <c r="F19" s="28" t="s">
        <v>155</v>
      </c>
      <c r="G19" s="163">
        <f>D6^2*G15</f>
        <v>23.594724999999997</v>
      </c>
      <c r="H19" s="28" t="s">
        <v>101</v>
      </c>
      <c r="I19" s="28" t="s">
        <v>53</v>
      </c>
      <c r="J19" s="167">
        <f>D8*9.81+J16</f>
        <v>2870.3700468215011</v>
      </c>
      <c r="K19" s="35"/>
      <c r="L19" s="132"/>
      <c r="M19" s="133"/>
      <c r="N19" s="125"/>
      <c r="O19" s="125"/>
      <c r="P19" s="125"/>
      <c r="Q19" s="35"/>
      <c r="R19" s="35"/>
    </row>
    <row r="20" spans="2:18" x14ac:dyDescent="0.15">
      <c r="B20" s="43" t="s">
        <v>25</v>
      </c>
      <c r="C20" s="28" t="s">
        <v>169</v>
      </c>
      <c r="D20" s="137">
        <v>1.47</v>
      </c>
      <c r="E20" s="28" t="s">
        <v>158</v>
      </c>
      <c r="F20" s="28" t="s">
        <v>156</v>
      </c>
      <c r="G20" s="163">
        <f>D7^2*G16</f>
        <v>23.594724999999997</v>
      </c>
      <c r="H20" s="30" t="s">
        <v>111</v>
      </c>
      <c r="I20" s="28" t="s">
        <v>168</v>
      </c>
      <c r="J20" s="167">
        <f>D9*9.81-J16</f>
        <v>975.14995317849923</v>
      </c>
      <c r="K20" s="35"/>
      <c r="L20" s="121"/>
      <c r="M20" s="125"/>
      <c r="N20" s="125"/>
      <c r="O20" s="125"/>
      <c r="P20" s="125"/>
      <c r="Q20" s="35"/>
      <c r="R20" s="35"/>
    </row>
    <row r="21" spans="2:18" x14ac:dyDescent="0.15">
      <c r="B21" s="43" t="s">
        <v>26</v>
      </c>
      <c r="C21" s="28" t="s">
        <v>24</v>
      </c>
      <c r="D21" s="137">
        <v>1.52</v>
      </c>
      <c r="E21" s="28"/>
      <c r="F21" s="142" t="s">
        <v>165</v>
      </c>
      <c r="G21" s="143">
        <f>(G17+G18)/2</f>
        <v>29.406775524999997</v>
      </c>
      <c r="H21" s="30" t="s">
        <v>108</v>
      </c>
      <c r="I21" s="28" t="s">
        <v>54</v>
      </c>
      <c r="J21" s="167">
        <f>D10*9.81+J17</f>
        <v>2624.5585205081538</v>
      </c>
      <c r="K21" s="35"/>
      <c r="L21" s="125"/>
      <c r="M21" s="125"/>
      <c r="N21" s="125"/>
      <c r="O21" s="125"/>
      <c r="P21" s="125"/>
      <c r="Q21" s="35"/>
      <c r="R21" s="35"/>
    </row>
    <row r="22" spans="2:18" x14ac:dyDescent="0.15">
      <c r="B22" s="43" t="s">
        <v>28</v>
      </c>
      <c r="C22" s="28" t="s">
        <v>27</v>
      </c>
      <c r="D22" s="137">
        <v>2.5499999999999998</v>
      </c>
      <c r="E22" s="28"/>
      <c r="F22" s="142" t="s">
        <v>166</v>
      </c>
      <c r="G22" s="163">
        <f>(G19+G20)/2</f>
        <v>23.594724999999997</v>
      </c>
      <c r="H22" s="28" t="s">
        <v>40</v>
      </c>
      <c r="I22" s="28" t="s">
        <v>55</v>
      </c>
      <c r="J22" s="167">
        <f>D11*9.81-J17</f>
        <v>1476.0214794918461</v>
      </c>
      <c r="K22" s="35"/>
      <c r="L22" s="125"/>
      <c r="M22" s="125"/>
      <c r="N22" s="125"/>
      <c r="O22" s="125"/>
      <c r="P22" s="125"/>
      <c r="Q22" s="35"/>
      <c r="R22" s="35"/>
    </row>
    <row r="23" spans="2:18" x14ac:dyDescent="0.15">
      <c r="B23" s="109" t="s">
        <v>126</v>
      </c>
      <c r="C23" s="110" t="s">
        <v>124</v>
      </c>
      <c r="D23" s="137">
        <v>0.28000000000000003</v>
      </c>
      <c r="E23" s="28" t="s">
        <v>36</v>
      </c>
      <c r="F23" s="30" t="s">
        <v>114</v>
      </c>
      <c r="G23" s="137">
        <f>(G9*D22)/G10</f>
        <v>1.3011730205278591</v>
      </c>
      <c r="H23" s="28"/>
      <c r="I23" s="144" t="s">
        <v>153</v>
      </c>
      <c r="J23" s="150">
        <f>J19+J20+J21+J22</f>
        <v>7946.1</v>
      </c>
      <c r="K23" s="35"/>
      <c r="L23" s="125"/>
      <c r="M23" s="125"/>
      <c r="N23" s="125"/>
      <c r="O23" s="125"/>
      <c r="P23" s="125"/>
      <c r="Q23" s="35"/>
      <c r="R23" s="35"/>
    </row>
    <row r="24" spans="2:18" x14ac:dyDescent="0.15">
      <c r="B24" s="151" t="s">
        <v>125</v>
      </c>
      <c r="C24" s="110" t="s">
        <v>127</v>
      </c>
      <c r="D24" s="137">
        <v>0.28000000000000003</v>
      </c>
      <c r="E24" s="28" t="s">
        <v>37</v>
      </c>
      <c r="F24" s="28" t="s">
        <v>46</v>
      </c>
      <c r="G24" s="37">
        <f>D28-D27</f>
        <v>0.11000000000000001</v>
      </c>
      <c r="H24" s="28"/>
      <c r="I24" s="30" t="s">
        <v>154</v>
      </c>
      <c r="J24" s="152">
        <f>G11*9.81</f>
        <v>7946.1</v>
      </c>
      <c r="K24" s="35"/>
      <c r="L24" s="125"/>
      <c r="M24" s="125"/>
      <c r="N24" s="125"/>
      <c r="O24" s="125"/>
      <c r="P24" s="125"/>
      <c r="Q24" s="35"/>
      <c r="R24" s="35"/>
    </row>
    <row r="25" spans="2:18" x14ac:dyDescent="0.15">
      <c r="B25" s="117" t="s">
        <v>170</v>
      </c>
      <c r="C25" s="28" t="s">
        <v>63</v>
      </c>
      <c r="D25" s="137">
        <v>0.45</v>
      </c>
      <c r="E25" s="28" t="s">
        <v>38</v>
      </c>
      <c r="F25" s="28" t="s">
        <v>43</v>
      </c>
      <c r="G25" s="137">
        <f>(D28-D27)/D22*G23</f>
        <v>5.6129032258064517E-2</v>
      </c>
      <c r="H25" s="28"/>
      <c r="I25" s="28"/>
      <c r="J25" s="153"/>
      <c r="K25" s="35"/>
      <c r="L25" s="125"/>
      <c r="M25" s="125"/>
      <c r="N25" s="125"/>
      <c r="O25" s="125"/>
      <c r="P25" s="125"/>
      <c r="Q25" s="35"/>
      <c r="R25" s="35"/>
    </row>
    <row r="26" spans="2:18" x14ac:dyDescent="0.15">
      <c r="B26" s="43" t="s">
        <v>61</v>
      </c>
      <c r="C26" s="28" t="s">
        <v>62</v>
      </c>
      <c r="D26" s="155">
        <v>0.41399999999999998</v>
      </c>
      <c r="E26" s="28" t="s">
        <v>39</v>
      </c>
      <c r="F26" s="28" t="s">
        <v>44</v>
      </c>
      <c r="G26" s="37">
        <f>G25+D27</f>
        <v>0.11612903225806451</v>
      </c>
      <c r="H26" s="28"/>
      <c r="I26" s="28"/>
      <c r="J26" s="153"/>
      <c r="K26" s="35"/>
      <c r="L26" s="125"/>
      <c r="M26" s="125"/>
      <c r="N26" s="125"/>
      <c r="O26" s="125"/>
      <c r="P26" s="125"/>
      <c r="Q26" s="35"/>
      <c r="R26" s="35"/>
    </row>
    <row r="27" spans="2:18" x14ac:dyDescent="0.15">
      <c r="B27" s="43" t="s">
        <v>34</v>
      </c>
      <c r="C27" s="30" t="s">
        <v>159</v>
      </c>
      <c r="D27" s="137">
        <v>0.06</v>
      </c>
      <c r="E27" s="28" t="s">
        <v>67</v>
      </c>
      <c r="F27" s="28" t="s">
        <v>45</v>
      </c>
      <c r="G27" s="139">
        <f>D26-G25-D27</f>
        <v>0.29787096774193544</v>
      </c>
      <c r="H27" s="28" t="s">
        <v>65</v>
      </c>
      <c r="I27" s="28" t="s">
        <v>66</v>
      </c>
      <c r="J27" s="149">
        <f>(G11*D1*D25)/((D20+D21)/2)</f>
        <v>1974.8829431438128</v>
      </c>
      <c r="K27" s="35"/>
      <c r="L27" s="121"/>
      <c r="M27" s="125"/>
      <c r="N27" s="125"/>
      <c r="O27" s="125"/>
      <c r="P27" s="125"/>
      <c r="Q27" s="35"/>
      <c r="R27" s="35"/>
    </row>
    <row r="28" spans="2:18" ht="14" thickBot="1" x14ac:dyDescent="0.2">
      <c r="B28" s="115" t="s">
        <v>35</v>
      </c>
      <c r="C28" s="118" t="s">
        <v>160</v>
      </c>
      <c r="D28" s="140">
        <v>0.17</v>
      </c>
      <c r="E28" s="44"/>
      <c r="F28" s="44"/>
      <c r="G28" s="116"/>
      <c r="H28" s="156"/>
      <c r="I28" s="156"/>
      <c r="J28" s="157"/>
      <c r="K28" s="35"/>
      <c r="L28" s="121"/>
      <c r="M28" s="125"/>
      <c r="N28" s="125"/>
      <c r="O28" s="125"/>
      <c r="P28" s="125"/>
      <c r="Q28" s="35"/>
      <c r="R28" s="35"/>
    </row>
    <row r="29" spans="2:18" x14ac:dyDescent="0.15">
      <c r="H29" s="28" t="s">
        <v>171</v>
      </c>
      <c r="I29" s="28" t="s">
        <v>131</v>
      </c>
      <c r="J29" s="168">
        <f>(J19-J20)</f>
        <v>1895.2200936430017</v>
      </c>
      <c r="K29" s="35"/>
      <c r="L29" s="130"/>
      <c r="M29" s="130"/>
      <c r="N29" s="130"/>
      <c r="O29" s="130"/>
      <c r="P29" s="125"/>
      <c r="Q29" s="35"/>
      <c r="R29" s="35"/>
    </row>
    <row r="30" spans="2:18" ht="14" x14ac:dyDescent="0.15">
      <c r="D30" s="121"/>
      <c r="E30" s="125"/>
      <c r="G30" s="36"/>
      <c r="H30" s="158" t="s">
        <v>172</v>
      </c>
      <c r="I30" s="158" t="s">
        <v>137</v>
      </c>
      <c r="J30" s="168">
        <f>(J21-J22)</f>
        <v>1148.5370410163077</v>
      </c>
      <c r="K30" s="35"/>
      <c r="L30" s="130"/>
      <c r="M30" s="130"/>
      <c r="N30" s="130"/>
      <c r="O30" s="130"/>
      <c r="P30" s="125"/>
      <c r="Q30" s="35"/>
      <c r="R30" s="35"/>
    </row>
    <row r="31" spans="2:18" ht="15" x14ac:dyDescent="0.2">
      <c r="C31" s="125"/>
      <c r="G31" s="36"/>
      <c r="H31" s="159" t="s">
        <v>173</v>
      </c>
      <c r="I31" s="158" t="s">
        <v>174</v>
      </c>
      <c r="J31" s="168">
        <f>(J29-J30)</f>
        <v>746.68305262669401</v>
      </c>
    </row>
    <row r="32" spans="2:18" ht="17" x14ac:dyDescent="0.15">
      <c r="C32" s="126"/>
      <c r="D32" s="124"/>
      <c r="F32" s="123"/>
      <c r="H32" s="28"/>
      <c r="I32" s="142" t="s">
        <v>175</v>
      </c>
      <c r="J32" s="169">
        <f>(J17/J18*100)</f>
        <v>53.40180891449927</v>
      </c>
    </row>
    <row r="33" spans="2:10" ht="14" x14ac:dyDescent="0.15">
      <c r="D33" s="124"/>
      <c r="F33" s="122"/>
      <c r="H33" s="142" t="s">
        <v>177</v>
      </c>
      <c r="I33" s="142" t="s">
        <v>178</v>
      </c>
      <c r="J33" s="28">
        <f>(J20+J21)/J23</f>
        <v>0.45301575284562906</v>
      </c>
    </row>
    <row r="34" spans="2:10" x14ac:dyDescent="0.15">
      <c r="D34" s="124"/>
    </row>
    <row r="35" spans="2:10" x14ac:dyDescent="0.15">
      <c r="B35" s="41"/>
      <c r="D35" s="125"/>
    </row>
    <row r="36" spans="2:10" x14ac:dyDescent="0.15">
      <c r="B36" s="125"/>
      <c r="C36" s="121"/>
      <c r="D36" s="125"/>
    </row>
    <row r="37" spans="2:10" x14ac:dyDescent="0.15">
      <c r="B37" s="125"/>
      <c r="C37" s="121"/>
      <c r="D37" s="125"/>
    </row>
    <row r="38" spans="2:10" x14ac:dyDescent="0.15">
      <c r="D38" s="125"/>
    </row>
    <row r="39" spans="2:10" x14ac:dyDescent="0.15">
      <c r="C39" t="s">
        <v>176</v>
      </c>
    </row>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H23"/>
  <sheetViews>
    <sheetView topLeftCell="B1" workbookViewId="0">
      <selection activeCell="H9" sqref="H9"/>
    </sheetView>
  </sheetViews>
  <sheetFormatPr baseColWidth="10" defaultColWidth="8.83203125" defaultRowHeight="13" x14ac:dyDescent="0.15"/>
  <cols>
    <col min="6" max="6" width="12.1640625" customWidth="1"/>
  </cols>
  <sheetData>
    <row r="4" spans="3:8" ht="14" thickBot="1" x14ac:dyDescent="0.2"/>
    <row r="5" spans="3:8" ht="18" x14ac:dyDescent="0.2">
      <c r="C5" s="2" t="s">
        <v>3</v>
      </c>
      <c r="D5" s="3"/>
      <c r="E5" s="3"/>
      <c r="F5" s="3"/>
      <c r="G5" s="4"/>
      <c r="H5" s="5"/>
    </row>
    <row r="6" spans="3:8" ht="18" x14ac:dyDescent="0.2">
      <c r="C6" s="17"/>
      <c r="D6" s="7"/>
      <c r="E6" s="7"/>
      <c r="F6" s="7"/>
      <c r="G6" s="18"/>
      <c r="H6" s="19"/>
    </row>
    <row r="7" spans="3:8" x14ac:dyDescent="0.15">
      <c r="C7" s="6" t="s">
        <v>18</v>
      </c>
      <c r="D7" s="7"/>
      <c r="E7" s="7"/>
      <c r="F7" s="7"/>
      <c r="G7" s="7"/>
      <c r="H7" s="8">
        <v>1</v>
      </c>
    </row>
    <row r="8" spans="3:8" x14ac:dyDescent="0.15">
      <c r="C8" s="6"/>
      <c r="D8" s="7"/>
      <c r="E8" s="11"/>
      <c r="F8" s="7"/>
      <c r="G8" s="9" t="s">
        <v>4</v>
      </c>
      <c r="H8" s="25">
        <v>9806.65</v>
      </c>
    </row>
    <row r="9" spans="3:8" x14ac:dyDescent="0.15">
      <c r="C9" s="6"/>
      <c r="D9" s="7"/>
      <c r="E9" s="7"/>
      <c r="F9" s="7"/>
      <c r="G9" s="9" t="s">
        <v>5</v>
      </c>
      <c r="H9" s="33">
        <v>0.17512678000000001</v>
      </c>
    </row>
    <row r="10" spans="3:8" x14ac:dyDescent="0.15">
      <c r="C10" s="6"/>
      <c r="D10" s="7"/>
      <c r="E10" s="7"/>
      <c r="F10" s="7"/>
      <c r="G10" s="9"/>
      <c r="H10" s="25"/>
    </row>
    <row r="11" spans="3:8" x14ac:dyDescent="0.15">
      <c r="C11" s="12"/>
      <c r="D11" s="7"/>
      <c r="E11" s="7"/>
      <c r="F11" s="7"/>
      <c r="G11" s="9" t="s">
        <v>6</v>
      </c>
      <c r="H11" s="25">
        <v>175.126777258</v>
      </c>
    </row>
    <row r="12" spans="3:8" x14ac:dyDescent="0.15">
      <c r="C12" s="6"/>
      <c r="D12" s="7"/>
      <c r="E12" s="7"/>
      <c r="F12" s="7"/>
      <c r="G12" s="9" t="s">
        <v>7</v>
      </c>
      <c r="H12" s="25">
        <v>1.7857959999999999E-2</v>
      </c>
    </row>
    <row r="13" spans="3:8" x14ac:dyDescent="0.15">
      <c r="C13" s="6"/>
      <c r="D13" s="7"/>
      <c r="E13" s="7"/>
      <c r="F13" s="7"/>
      <c r="G13" s="9" t="s">
        <v>8</v>
      </c>
      <c r="H13" s="25">
        <v>0.10197162</v>
      </c>
    </row>
    <row r="14" spans="3:8" x14ac:dyDescent="0.15">
      <c r="C14" s="10"/>
      <c r="D14" s="9"/>
      <c r="E14" s="13"/>
      <c r="F14" s="7"/>
      <c r="G14" s="9" t="s">
        <v>9</v>
      </c>
      <c r="H14" s="25">
        <v>5.7101490500000001</v>
      </c>
    </row>
    <row r="15" spans="3:8" x14ac:dyDescent="0.15">
      <c r="C15" s="10"/>
      <c r="D15" s="7"/>
      <c r="E15" s="7"/>
      <c r="F15" s="7"/>
      <c r="G15" s="9" t="s">
        <v>10</v>
      </c>
      <c r="H15" s="25">
        <v>1000</v>
      </c>
    </row>
    <row r="16" spans="3:8" x14ac:dyDescent="0.15">
      <c r="C16" s="10"/>
      <c r="D16" s="7"/>
      <c r="E16" s="7"/>
      <c r="F16" s="7"/>
      <c r="G16" s="9" t="s">
        <v>11</v>
      </c>
      <c r="H16" s="25">
        <v>1E-3</v>
      </c>
    </row>
    <row r="17" spans="3:8" x14ac:dyDescent="0.15">
      <c r="C17" s="10"/>
      <c r="D17" s="7"/>
      <c r="E17" s="7"/>
      <c r="F17" s="7"/>
      <c r="G17" s="9" t="s">
        <v>12</v>
      </c>
      <c r="H17" s="25">
        <v>1.0197E-4</v>
      </c>
    </row>
    <row r="18" spans="3:8" x14ac:dyDescent="0.15">
      <c r="C18" s="10"/>
      <c r="D18" s="7"/>
      <c r="E18" s="7"/>
      <c r="F18" s="7"/>
      <c r="G18" s="9" t="s">
        <v>13</v>
      </c>
      <c r="H18" s="26">
        <v>5.7101499999999998E-3</v>
      </c>
    </row>
    <row r="19" spans="3:8" x14ac:dyDescent="0.15">
      <c r="C19" s="10"/>
      <c r="D19" s="7"/>
      <c r="E19" s="13" t="s">
        <v>14</v>
      </c>
      <c r="F19" s="13" t="s">
        <v>15</v>
      </c>
      <c r="G19" s="13" t="s">
        <v>16</v>
      </c>
      <c r="H19" s="14" t="s">
        <v>17</v>
      </c>
    </row>
    <row r="20" spans="3:8" x14ac:dyDescent="0.15">
      <c r="C20" s="15" t="s">
        <v>14</v>
      </c>
      <c r="D20" s="1">
        <v>148.85776300000003</v>
      </c>
      <c r="E20" s="20">
        <v>148.85776300000003</v>
      </c>
      <c r="F20" s="20">
        <v>148857.76300000004</v>
      </c>
      <c r="G20" s="20">
        <v>15.179267242686063</v>
      </c>
      <c r="H20" s="21">
        <v>850.00001397957533</v>
      </c>
    </row>
    <row r="21" spans="3:8" x14ac:dyDescent="0.15">
      <c r="C21" s="15" t="s">
        <v>15</v>
      </c>
      <c r="D21" s="1">
        <v>100</v>
      </c>
      <c r="E21" s="20">
        <v>0.1</v>
      </c>
      <c r="F21" s="20">
        <v>100</v>
      </c>
      <c r="G21" s="20">
        <v>1.0196999999999999E-2</v>
      </c>
      <c r="H21" s="21">
        <v>0.57101499999999994</v>
      </c>
    </row>
    <row r="22" spans="3:8" x14ac:dyDescent="0.15">
      <c r="C22" s="15" t="s">
        <v>16</v>
      </c>
      <c r="D22" s="1">
        <v>1.0197162000000001E-2</v>
      </c>
      <c r="E22" s="20">
        <v>9.9999998727300005E-2</v>
      </c>
      <c r="F22" s="20">
        <v>99.99999872730001</v>
      </c>
      <c r="G22" s="20">
        <v>1.0197162000000001E-2</v>
      </c>
      <c r="H22" s="21">
        <v>0.57101489731274868</v>
      </c>
    </row>
    <row r="23" spans="3:8" ht="14" thickBot="1" x14ac:dyDescent="0.2">
      <c r="C23" s="16" t="s">
        <v>17</v>
      </c>
      <c r="D23" s="22">
        <v>900</v>
      </c>
      <c r="E23" s="23">
        <v>157.614102</v>
      </c>
      <c r="F23" s="23">
        <v>157614.09953219999</v>
      </c>
      <c r="G23" s="23">
        <v>16.072164000000001</v>
      </c>
      <c r="H23" s="24">
        <v>900</v>
      </c>
    </row>
  </sheetData>
  <phoneticPr fontId="1" type="noConversion"/>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2:L23"/>
  <sheetViews>
    <sheetView workbookViewId="0">
      <selection activeCell="E12" sqref="E12"/>
    </sheetView>
  </sheetViews>
  <sheetFormatPr baseColWidth="10" defaultColWidth="8.83203125" defaultRowHeight="13" x14ac:dyDescent="0.15"/>
  <cols>
    <col min="2" max="2" width="3.83203125" customWidth="1"/>
    <col min="3" max="3" width="19.6640625" customWidth="1"/>
    <col min="8" max="8" width="12.33203125" customWidth="1"/>
    <col min="12" max="12" width="21.1640625" customWidth="1"/>
  </cols>
  <sheetData>
    <row r="2" spans="3:12" ht="25" x14ac:dyDescent="0.25">
      <c r="C2" s="108" t="s">
        <v>146</v>
      </c>
      <c r="D2" s="108"/>
      <c r="E2" s="108"/>
    </row>
    <row r="4" spans="3:12" ht="14" thickBot="1" x14ac:dyDescent="0.2"/>
    <row r="5" spans="3:12" ht="16" x14ac:dyDescent="0.2">
      <c r="C5" s="45"/>
      <c r="D5" s="46"/>
      <c r="E5" s="46"/>
      <c r="F5" s="46"/>
      <c r="G5" s="46"/>
      <c r="H5" s="47">
        <f>H7/H11</f>
        <v>0.5</v>
      </c>
      <c r="I5" s="48"/>
      <c r="J5" s="49"/>
      <c r="K5" s="48"/>
      <c r="L5" s="50"/>
    </row>
    <row r="6" spans="3:12" ht="16" x14ac:dyDescent="0.2">
      <c r="C6" s="51"/>
      <c r="D6" s="52"/>
      <c r="E6" s="53"/>
      <c r="F6" s="53"/>
      <c r="G6" s="53"/>
      <c r="H6" s="54" t="s">
        <v>128</v>
      </c>
      <c r="I6" s="53"/>
      <c r="J6" s="53"/>
      <c r="K6" s="53"/>
      <c r="L6" s="55"/>
    </row>
    <row r="7" spans="3:12" ht="17" thickBot="1" x14ac:dyDescent="0.25">
      <c r="C7" s="51"/>
      <c r="D7" s="53"/>
      <c r="E7" s="53"/>
      <c r="F7" s="53"/>
      <c r="G7" s="53"/>
      <c r="H7" s="56">
        <f>F9+J9</f>
        <v>4905</v>
      </c>
      <c r="I7" s="53"/>
      <c r="J7" s="53"/>
      <c r="K7" s="53"/>
      <c r="L7" s="55"/>
    </row>
    <row r="8" spans="3:12" ht="17" thickBot="1" x14ac:dyDescent="0.25">
      <c r="C8" s="51"/>
      <c r="D8" s="53"/>
      <c r="E8" s="57"/>
      <c r="F8" s="58">
        <f>F9/H11</f>
        <v>0.33446143391097521</v>
      </c>
      <c r="G8" s="59" t="s">
        <v>129</v>
      </c>
      <c r="H8" s="60"/>
      <c r="I8" s="61" t="s">
        <v>130</v>
      </c>
      <c r="J8" s="62">
        <f>J9/H11</f>
        <v>0.16553856608902481</v>
      </c>
      <c r="K8" s="53"/>
      <c r="L8" s="55"/>
    </row>
    <row r="9" spans="3:12" ht="17" thickBot="1" x14ac:dyDescent="0.25">
      <c r="C9" s="63" t="s">
        <v>131</v>
      </c>
      <c r="D9" s="64" t="s">
        <v>132</v>
      </c>
      <c r="E9" s="65">
        <f>F9-J9</f>
        <v>1657.1333333333332</v>
      </c>
      <c r="F9" s="66">
        <f>'EXAM Q1'!J19</f>
        <v>3281.0666666666666</v>
      </c>
      <c r="G9" s="67"/>
      <c r="H9" s="68"/>
      <c r="I9" s="69"/>
      <c r="J9" s="70">
        <f>'EXAM Q1'!J20</f>
        <v>1623.9333333333334</v>
      </c>
      <c r="K9" s="53"/>
      <c r="L9" s="55"/>
    </row>
    <row r="10" spans="3:12" ht="17" thickBot="1" x14ac:dyDescent="0.25">
      <c r="C10" s="51"/>
      <c r="D10" s="71"/>
      <c r="E10" s="53"/>
      <c r="F10" s="71"/>
      <c r="G10" s="72"/>
      <c r="H10" s="68"/>
      <c r="I10" s="73"/>
      <c r="J10" s="74"/>
      <c r="K10" s="53"/>
      <c r="L10" s="55"/>
    </row>
    <row r="11" spans="3:12" ht="17" thickBot="1" x14ac:dyDescent="0.25">
      <c r="C11" s="51"/>
      <c r="D11" s="75" t="s">
        <v>133</v>
      </c>
      <c r="E11" s="76">
        <f>F11/H11</f>
        <v>0.69032959565069651</v>
      </c>
      <c r="F11" s="77">
        <f>F9+F13</f>
        <v>6772.1333333333332</v>
      </c>
      <c r="G11" s="78"/>
      <c r="H11" s="79">
        <f>H7+H14</f>
        <v>9810</v>
      </c>
      <c r="I11" s="78"/>
      <c r="J11" s="80">
        <f>J9+J13</f>
        <v>3037.8666666666668</v>
      </c>
      <c r="K11" s="81">
        <f>J11/H11</f>
        <v>0.30967040434930343</v>
      </c>
      <c r="L11" s="82" t="s">
        <v>134</v>
      </c>
    </row>
    <row r="12" spans="3:12" ht="17" thickBot="1" x14ac:dyDescent="0.25">
      <c r="C12" s="83" t="s">
        <v>135</v>
      </c>
      <c r="D12" s="84" t="s">
        <v>136</v>
      </c>
      <c r="E12" s="85">
        <f>E13-E9</f>
        <v>420</v>
      </c>
      <c r="F12" s="86">
        <f>F13/H11</f>
        <v>0.35586816173972136</v>
      </c>
      <c r="G12" s="72"/>
      <c r="H12" s="68"/>
      <c r="I12" s="73"/>
      <c r="J12" s="87">
        <f>J13/H11</f>
        <v>0.14413183826027862</v>
      </c>
      <c r="K12" s="53"/>
      <c r="L12" s="55"/>
    </row>
    <row r="13" spans="3:12" ht="17" thickBot="1" x14ac:dyDescent="0.25">
      <c r="C13" s="63" t="s">
        <v>137</v>
      </c>
      <c r="D13" s="88" t="s">
        <v>138</v>
      </c>
      <c r="E13" s="65">
        <f>F13-J13</f>
        <v>2077.1333333333332</v>
      </c>
      <c r="F13" s="66">
        <f>'EXAM Q1'!J21</f>
        <v>3491.0666666666666</v>
      </c>
      <c r="G13" s="89" t="s">
        <v>139</v>
      </c>
      <c r="H13" s="90"/>
      <c r="I13" s="91" t="s">
        <v>140</v>
      </c>
      <c r="J13" s="92">
        <f>'EXAM Q1'!J22</f>
        <v>1413.9333333333332</v>
      </c>
      <c r="K13" s="53"/>
      <c r="L13" s="55"/>
    </row>
    <row r="14" spans="3:12" ht="17" thickBot="1" x14ac:dyDescent="0.25">
      <c r="C14" s="51"/>
      <c r="D14" s="93"/>
      <c r="E14" s="94" t="s">
        <v>141</v>
      </c>
      <c r="F14" s="95">
        <f>F13-F9</f>
        <v>210</v>
      </c>
      <c r="G14" s="57"/>
      <c r="H14" s="96">
        <f>F13+J13</f>
        <v>4905</v>
      </c>
      <c r="I14" s="57"/>
      <c r="J14" s="97">
        <f>J13-J9</f>
        <v>-210.00000000000023</v>
      </c>
      <c r="K14" s="98" t="s">
        <v>142</v>
      </c>
      <c r="L14" s="82"/>
    </row>
    <row r="15" spans="3:12" ht="17" thickBot="1" x14ac:dyDescent="0.25">
      <c r="C15" s="51"/>
      <c r="D15" s="71"/>
      <c r="E15" s="99" t="s">
        <v>143</v>
      </c>
      <c r="F15" s="100">
        <f>(F13+J9)/H11</f>
        <v>0.5214067278287462</v>
      </c>
      <c r="G15" s="53"/>
      <c r="H15" s="101" t="s">
        <v>144</v>
      </c>
      <c r="I15" s="53"/>
      <c r="J15" s="53"/>
      <c r="K15" s="53"/>
      <c r="L15" s="55"/>
    </row>
    <row r="16" spans="3:12" ht="17" thickBot="1" x14ac:dyDescent="0.25">
      <c r="C16" s="102"/>
      <c r="D16" s="93"/>
      <c r="E16" s="94" t="s">
        <v>145</v>
      </c>
      <c r="F16" s="103">
        <f>F13-J9</f>
        <v>1867.1333333333332</v>
      </c>
      <c r="G16" s="104"/>
      <c r="H16" s="105">
        <f>H14/H11</f>
        <v>0.5</v>
      </c>
      <c r="I16" s="104"/>
      <c r="J16" s="104"/>
      <c r="K16" s="106"/>
      <c r="L16" s="107"/>
    </row>
    <row r="19" spans="5:10" x14ac:dyDescent="0.15">
      <c r="E19">
        <v>156</v>
      </c>
    </row>
    <row r="23" spans="5:10" x14ac:dyDescent="0.15">
      <c r="J23" s="4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EXAM Q1</vt:lpstr>
      <vt:lpstr>EXAM Q2</vt:lpstr>
      <vt:lpstr>EXAM Q3</vt:lpstr>
      <vt:lpstr>EXAM Q4</vt:lpstr>
      <vt:lpstr>EXAM Q5</vt:lpstr>
      <vt:lpstr>EXAM Q6</vt:lpstr>
      <vt:lpstr>EXAM Q6,ii</vt:lpstr>
      <vt:lpstr>Spring Rate Conversion</vt:lpstr>
      <vt:lpstr>Load Spliits</vt:lpstr>
    </vt:vector>
  </TitlesOfParts>
  <Company>Swansea Institute of Higher Education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Dowden</dc:creator>
  <cp:lastModifiedBy>danieldavies0014@gmail.com</cp:lastModifiedBy>
  <cp:lastPrinted>2011-02-13T19:11:45Z</cp:lastPrinted>
  <dcterms:created xsi:type="dcterms:W3CDTF">2008-02-09T17:39:24Z</dcterms:created>
  <dcterms:modified xsi:type="dcterms:W3CDTF">2020-05-04T14:07:33Z</dcterms:modified>
</cp:coreProperties>
</file>