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109787\OneDrive - University of Wales Trinity Saint David\3 Hybrid powertrain and control\Assignment 2\"/>
    </mc:Choice>
  </mc:AlternateContent>
  <xr:revisionPtr revIDLastSave="0" documentId="8_{26AAC2C1-E024-4F27-96E2-419C39505D3F}" xr6:coauthVersionLast="47" xr6:coauthVersionMax="47" xr10:uidLastSave="{00000000-0000-0000-0000-000000000000}"/>
  <bookViews>
    <workbookView xWindow="-120" yWindow="-120" windowWidth="29040" windowHeight="15840" tabRatio="875" activeTab="4" xr2:uid="{00000000-000D-0000-FFFF-FFFF00000000}"/>
  </bookViews>
  <sheets>
    <sheet name="1-Specification &amp; Data" sheetId="1" r:id="rId1"/>
    <sheet name="1-Simulation" sheetId="8" r:id="rId2"/>
    <sheet name="2- Specification Data" sheetId="12" r:id="rId3"/>
    <sheet name="2-Simulaation" sheetId="10" r:id="rId4"/>
    <sheet name="2-Result" sheetId="11" r:id="rId5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8" i="11" l="1"/>
  <c r="E13" i="11"/>
  <c r="E19" i="11" s="1"/>
  <c r="B16" i="11"/>
  <c r="B17" i="11"/>
  <c r="E5" i="11"/>
  <c r="E6" i="11" s="1"/>
  <c r="B5" i="11"/>
  <c r="B6" i="11" s="1"/>
  <c r="B7" i="11" s="1"/>
  <c r="B8" i="11" s="1"/>
  <c r="B9" i="11" s="1"/>
  <c r="H280" i="10"/>
  <c r="B19" i="11" l="1"/>
  <c r="B20" i="11" s="1"/>
  <c r="B21" i="11" s="1"/>
  <c r="B10" i="11" s="1"/>
  <c r="E20" i="11" s="1"/>
  <c r="E21" i="11" s="1"/>
  <c r="G10" i="1"/>
  <c r="F13" i="12"/>
  <c r="A3" i="10"/>
  <c r="A4" i="10" s="1"/>
  <c r="A5" i="10" s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4" i="10" s="1"/>
  <c r="A225" i="10" s="1"/>
  <c r="A226" i="10" s="1"/>
  <c r="A227" i="10" s="1"/>
  <c r="A228" i="10" s="1"/>
  <c r="A229" i="10" s="1"/>
  <c r="A230" i="10" s="1"/>
  <c r="A231" i="10" s="1"/>
  <c r="A232" i="10" s="1"/>
  <c r="A233" i="10" s="1"/>
  <c r="A234" i="10" s="1"/>
  <c r="A235" i="10" s="1"/>
  <c r="A236" i="10" s="1"/>
  <c r="A237" i="10" s="1"/>
  <c r="A238" i="10" s="1"/>
  <c r="A239" i="10" s="1"/>
  <c r="A240" i="10" s="1"/>
  <c r="A241" i="10" s="1"/>
  <c r="A242" i="10" s="1"/>
  <c r="A243" i="10" s="1"/>
  <c r="A244" i="10" s="1"/>
  <c r="A245" i="10" s="1"/>
  <c r="A246" i="10" s="1"/>
  <c r="A247" i="10" s="1"/>
  <c r="A248" i="10" s="1"/>
  <c r="A249" i="10" s="1"/>
  <c r="A250" i="10" s="1"/>
  <c r="A251" i="10" s="1"/>
  <c r="A252" i="10" s="1"/>
  <c r="A253" i="10" s="1"/>
  <c r="A254" i="10" s="1"/>
  <c r="A255" i="10" s="1"/>
  <c r="A256" i="10" s="1"/>
  <c r="A257" i="10" s="1"/>
  <c r="A258" i="10" s="1"/>
  <c r="A259" i="10" s="1"/>
  <c r="A260" i="10" s="1"/>
  <c r="A261" i="10" s="1"/>
  <c r="A262" i="10" s="1"/>
  <c r="A263" i="10" s="1"/>
  <c r="A264" i="10" s="1"/>
  <c r="A265" i="10" s="1"/>
  <c r="A266" i="10" s="1"/>
  <c r="A267" i="10" s="1"/>
  <c r="A268" i="10" s="1"/>
  <c r="A269" i="10" s="1"/>
  <c r="A270" i="10" s="1"/>
  <c r="A271" i="10" s="1"/>
  <c r="A272" i="10" s="1"/>
  <c r="A273" i="10" s="1"/>
  <c r="A274" i="10" s="1"/>
  <c r="A275" i="10" s="1"/>
  <c r="A276" i="10" s="1"/>
  <c r="A277" i="10" s="1"/>
  <c r="S2" i="8"/>
  <c r="S278" i="8"/>
  <c r="T157" i="8"/>
  <c r="T234" i="8"/>
  <c r="T233" i="8"/>
  <c r="T232" i="8"/>
  <c r="T158" i="8"/>
  <c r="T94" i="8"/>
  <c r="T93" i="8"/>
  <c r="T92" i="8"/>
  <c r="O2" i="8"/>
  <c r="M278" i="8"/>
  <c r="O278" i="8" s="1"/>
  <c r="J4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245" i="8"/>
  <c r="J246" i="8"/>
  <c r="J247" i="8"/>
  <c r="J248" i="8"/>
  <c r="J249" i="8"/>
  <c r="J250" i="8"/>
  <c r="J251" i="8"/>
  <c r="J252" i="8"/>
  <c r="J253" i="8"/>
  <c r="J254" i="8"/>
  <c r="J255" i="8"/>
  <c r="J256" i="8"/>
  <c r="J257" i="8"/>
  <c r="J258" i="8"/>
  <c r="J259" i="8"/>
  <c r="J260" i="8"/>
  <c r="J261" i="8"/>
  <c r="J262" i="8"/>
  <c r="J263" i="8"/>
  <c r="J264" i="8"/>
  <c r="J265" i="8"/>
  <c r="J266" i="8"/>
  <c r="J267" i="8"/>
  <c r="J268" i="8"/>
  <c r="J269" i="8"/>
  <c r="J270" i="8"/>
  <c r="J271" i="8"/>
  <c r="J272" i="8"/>
  <c r="J273" i="8"/>
  <c r="J274" i="8"/>
  <c r="J275" i="8"/>
  <c r="J276" i="8"/>
  <c r="J277" i="8"/>
  <c r="J3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H203" i="8"/>
  <c r="I203" i="8" s="1"/>
  <c r="H204" i="8"/>
  <c r="I204" i="8" s="1"/>
  <c r="H227" i="8"/>
  <c r="I227" i="8" s="1"/>
  <c r="H249" i="8"/>
  <c r="I249" i="8" s="1"/>
  <c r="F6" i="8"/>
  <c r="F7" i="8"/>
  <c r="F8" i="8"/>
  <c r="E8" i="8" s="1"/>
  <c r="F9" i="8"/>
  <c r="E9" i="8" s="1"/>
  <c r="F10" i="8"/>
  <c r="F11" i="8"/>
  <c r="F12" i="8"/>
  <c r="E12" i="8" s="1"/>
  <c r="F13" i="8"/>
  <c r="F14" i="8"/>
  <c r="F15" i="8"/>
  <c r="F16" i="8"/>
  <c r="F17" i="8"/>
  <c r="E17" i="8" s="1"/>
  <c r="F18" i="8"/>
  <c r="F19" i="8"/>
  <c r="F20" i="8"/>
  <c r="F21" i="8"/>
  <c r="E21" i="8" s="1"/>
  <c r="F22" i="8"/>
  <c r="F23" i="8"/>
  <c r="E23" i="8" s="1"/>
  <c r="F24" i="8"/>
  <c r="E24" i="8" s="1"/>
  <c r="F25" i="8"/>
  <c r="F26" i="8"/>
  <c r="F27" i="8"/>
  <c r="F28" i="8"/>
  <c r="F29" i="8"/>
  <c r="F30" i="8"/>
  <c r="F31" i="8"/>
  <c r="E31" i="8" s="1"/>
  <c r="F32" i="8"/>
  <c r="E32" i="8" s="1"/>
  <c r="F33" i="8"/>
  <c r="E33" i="8" s="1"/>
  <c r="F34" i="8"/>
  <c r="F35" i="8"/>
  <c r="F36" i="8"/>
  <c r="F37" i="8"/>
  <c r="E37" i="8" s="1"/>
  <c r="F38" i="8"/>
  <c r="F39" i="8"/>
  <c r="E39" i="8" s="1"/>
  <c r="F40" i="8"/>
  <c r="E40" i="8" s="1"/>
  <c r="F41" i="8"/>
  <c r="E41" i="8" s="1"/>
  <c r="F42" i="8"/>
  <c r="F43" i="8"/>
  <c r="F44" i="8"/>
  <c r="F45" i="8"/>
  <c r="F46" i="8"/>
  <c r="F47" i="8"/>
  <c r="E47" i="8" s="1"/>
  <c r="F48" i="8"/>
  <c r="E48" i="8" s="1"/>
  <c r="F49" i="8"/>
  <c r="F50" i="8"/>
  <c r="F51" i="8"/>
  <c r="F52" i="8"/>
  <c r="F53" i="8"/>
  <c r="F54" i="8"/>
  <c r="F55" i="8"/>
  <c r="E55" i="8" s="1"/>
  <c r="F56" i="8"/>
  <c r="E56" i="8" s="1"/>
  <c r="F57" i="8"/>
  <c r="F58" i="8"/>
  <c r="F59" i="8"/>
  <c r="F60" i="8"/>
  <c r="F61" i="8"/>
  <c r="F62" i="8"/>
  <c r="F63" i="8"/>
  <c r="F64" i="8"/>
  <c r="E64" i="8" s="1"/>
  <c r="F65" i="8"/>
  <c r="F66" i="8"/>
  <c r="F67" i="8"/>
  <c r="F68" i="8"/>
  <c r="F69" i="8"/>
  <c r="F70" i="8"/>
  <c r="F71" i="8"/>
  <c r="E71" i="8" s="1"/>
  <c r="F72" i="8"/>
  <c r="F73" i="8"/>
  <c r="F74" i="8"/>
  <c r="F75" i="8"/>
  <c r="F76" i="8"/>
  <c r="F77" i="8"/>
  <c r="F78" i="8"/>
  <c r="F79" i="8"/>
  <c r="E79" i="8" s="1"/>
  <c r="F80" i="8"/>
  <c r="E80" i="8" s="1"/>
  <c r="F81" i="8"/>
  <c r="F82" i="8"/>
  <c r="F83" i="8"/>
  <c r="F84" i="8"/>
  <c r="F85" i="8"/>
  <c r="F86" i="8"/>
  <c r="F87" i="8"/>
  <c r="H87" i="8" s="1"/>
  <c r="I87" i="8" s="1"/>
  <c r="F88" i="8"/>
  <c r="E88" i="8" s="1"/>
  <c r="F89" i="8"/>
  <c r="F90" i="8"/>
  <c r="F91" i="8"/>
  <c r="F92" i="8"/>
  <c r="F93" i="8"/>
  <c r="E93" i="8" s="1"/>
  <c r="F94" i="8"/>
  <c r="F95" i="8"/>
  <c r="E95" i="8" s="1"/>
  <c r="F96" i="8"/>
  <c r="E96" i="8" s="1"/>
  <c r="F97" i="8"/>
  <c r="E97" i="8" s="1"/>
  <c r="F98" i="8"/>
  <c r="E98" i="8" s="1"/>
  <c r="F99" i="8"/>
  <c r="F100" i="8"/>
  <c r="F101" i="8"/>
  <c r="F102" i="8"/>
  <c r="F103" i="8"/>
  <c r="H103" i="8" s="1"/>
  <c r="I103" i="8" s="1"/>
  <c r="F104" i="8"/>
  <c r="E104" i="8" s="1"/>
  <c r="F105" i="8"/>
  <c r="F106" i="8"/>
  <c r="F107" i="8"/>
  <c r="F108" i="8"/>
  <c r="F109" i="8"/>
  <c r="F110" i="8"/>
  <c r="F111" i="8"/>
  <c r="E111" i="8" s="1"/>
  <c r="F112" i="8"/>
  <c r="E112" i="8" s="1"/>
  <c r="F113" i="8"/>
  <c r="F114" i="8"/>
  <c r="F115" i="8"/>
  <c r="F116" i="8"/>
  <c r="F117" i="8"/>
  <c r="F118" i="8"/>
  <c r="F119" i="8"/>
  <c r="H119" i="8" s="1"/>
  <c r="I119" i="8" s="1"/>
  <c r="F120" i="8"/>
  <c r="E120" i="8" s="1"/>
  <c r="F121" i="8"/>
  <c r="F122" i="8"/>
  <c r="F123" i="8"/>
  <c r="F124" i="8"/>
  <c r="F125" i="8"/>
  <c r="F126" i="8"/>
  <c r="F127" i="8"/>
  <c r="E127" i="8" s="1"/>
  <c r="F128" i="8"/>
  <c r="E128" i="8" s="1"/>
  <c r="F129" i="8"/>
  <c r="F130" i="8"/>
  <c r="F131" i="8"/>
  <c r="F132" i="8"/>
  <c r="F133" i="8"/>
  <c r="F134" i="8"/>
  <c r="F135" i="8"/>
  <c r="H135" i="8" s="1"/>
  <c r="I135" i="8" s="1"/>
  <c r="F136" i="8"/>
  <c r="E136" i="8" s="1"/>
  <c r="F137" i="8"/>
  <c r="F138" i="8"/>
  <c r="F139" i="8"/>
  <c r="F140" i="8"/>
  <c r="F141" i="8"/>
  <c r="F142" i="8"/>
  <c r="F143" i="8"/>
  <c r="H143" i="8" s="1"/>
  <c r="I143" i="8" s="1"/>
  <c r="F144" i="8"/>
  <c r="F145" i="8"/>
  <c r="E145" i="8" s="1"/>
  <c r="F146" i="8"/>
  <c r="F147" i="8"/>
  <c r="F148" i="8"/>
  <c r="F149" i="8"/>
  <c r="E149" i="8" s="1"/>
  <c r="F150" i="8"/>
  <c r="E150" i="8" s="1"/>
  <c r="F151" i="8"/>
  <c r="E151" i="8" s="1"/>
  <c r="F152" i="8"/>
  <c r="E152" i="8" s="1"/>
  <c r="F153" i="8"/>
  <c r="E153" i="8" s="1"/>
  <c r="F154" i="8"/>
  <c r="F155" i="8"/>
  <c r="F156" i="8"/>
  <c r="F157" i="8"/>
  <c r="F158" i="8"/>
  <c r="F159" i="8"/>
  <c r="E159" i="8" s="1"/>
  <c r="F160" i="8"/>
  <c r="F161" i="8"/>
  <c r="E161" i="8" s="1"/>
  <c r="F162" i="8"/>
  <c r="F163" i="8"/>
  <c r="F164" i="8"/>
  <c r="E164" i="8" s="1"/>
  <c r="F165" i="8"/>
  <c r="E165" i="8" s="1"/>
  <c r="F166" i="8"/>
  <c r="F167" i="8"/>
  <c r="H167" i="8" s="1"/>
  <c r="I167" i="8" s="1"/>
  <c r="F168" i="8"/>
  <c r="E168" i="8" s="1"/>
  <c r="F169" i="8"/>
  <c r="E169" i="8" s="1"/>
  <c r="F170" i="8"/>
  <c r="F171" i="8"/>
  <c r="F172" i="8"/>
  <c r="E172" i="8" s="1"/>
  <c r="F173" i="8"/>
  <c r="E173" i="8" s="1"/>
  <c r="F174" i="8"/>
  <c r="F175" i="8"/>
  <c r="H175" i="8" s="1"/>
  <c r="I175" i="8" s="1"/>
  <c r="F176" i="8"/>
  <c r="E176" i="8" s="1"/>
  <c r="F177" i="8"/>
  <c r="F178" i="8"/>
  <c r="F179" i="8"/>
  <c r="F180" i="8"/>
  <c r="E180" i="8" s="1"/>
  <c r="F181" i="8"/>
  <c r="E181" i="8" s="1"/>
  <c r="F182" i="8"/>
  <c r="F183" i="8"/>
  <c r="E183" i="8" s="1"/>
  <c r="F184" i="8"/>
  <c r="E184" i="8" s="1"/>
  <c r="F185" i="8"/>
  <c r="E185" i="8" s="1"/>
  <c r="F186" i="8"/>
  <c r="F187" i="8"/>
  <c r="F188" i="8"/>
  <c r="E188" i="8" s="1"/>
  <c r="F189" i="8"/>
  <c r="E189" i="8" s="1"/>
  <c r="F190" i="8"/>
  <c r="F191" i="8"/>
  <c r="E191" i="8" s="1"/>
  <c r="F192" i="8"/>
  <c r="E192" i="8" s="1"/>
  <c r="F193" i="8"/>
  <c r="F194" i="8"/>
  <c r="F195" i="8"/>
  <c r="E94" i="8"/>
  <c r="E42" i="8"/>
  <c r="E43" i="8"/>
  <c r="F4" i="8"/>
  <c r="E4" i="8" s="1"/>
  <c r="F5" i="8"/>
  <c r="E5" i="8" s="1"/>
  <c r="H27" i="8"/>
  <c r="I27" i="8" s="1"/>
  <c r="H30" i="8"/>
  <c r="I30" i="8" s="1"/>
  <c r="H51" i="8"/>
  <c r="I51" i="8" s="1"/>
  <c r="H61" i="8"/>
  <c r="I61" i="8" s="1"/>
  <c r="H90" i="8"/>
  <c r="I90" i="8" s="1"/>
  <c r="H91" i="8"/>
  <c r="I91" i="8" s="1"/>
  <c r="H98" i="8"/>
  <c r="I98" i="8" s="1"/>
  <c r="H99" i="8"/>
  <c r="I99" i="8" s="1"/>
  <c r="H106" i="8"/>
  <c r="I106" i="8" s="1"/>
  <c r="H107" i="8"/>
  <c r="I107" i="8" s="1"/>
  <c r="H111" i="8"/>
  <c r="I111" i="8" s="1"/>
  <c r="H114" i="8"/>
  <c r="I114" i="8" s="1"/>
  <c r="H115" i="8"/>
  <c r="I115" i="8" s="1"/>
  <c r="H123" i="8"/>
  <c r="I123" i="8" s="1"/>
  <c r="H130" i="8"/>
  <c r="I130" i="8" s="1"/>
  <c r="H131" i="8"/>
  <c r="I131" i="8" s="1"/>
  <c r="H139" i="8"/>
  <c r="I139" i="8" s="1"/>
  <c r="H148" i="8"/>
  <c r="I148" i="8" s="1"/>
  <c r="H159" i="8"/>
  <c r="I159" i="8" s="1"/>
  <c r="H171" i="8"/>
  <c r="I171" i="8" s="1"/>
  <c r="H183" i="8"/>
  <c r="I183" i="8" s="1"/>
  <c r="F196" i="8"/>
  <c r="F197" i="8"/>
  <c r="F198" i="8"/>
  <c r="F199" i="8"/>
  <c r="E199" i="8" s="1"/>
  <c r="F200" i="8"/>
  <c r="F3" i="8"/>
  <c r="E6" i="8"/>
  <c r="E10" i="8"/>
  <c r="E11" i="8"/>
  <c r="E14" i="8"/>
  <c r="E15" i="8"/>
  <c r="E16" i="8"/>
  <c r="E18" i="8"/>
  <c r="E19" i="8"/>
  <c r="E20" i="8"/>
  <c r="E22" i="8"/>
  <c r="E26" i="8"/>
  <c r="E27" i="8"/>
  <c r="E28" i="8"/>
  <c r="E30" i="8"/>
  <c r="E34" i="8"/>
  <c r="E35" i="8"/>
  <c r="E36" i="8"/>
  <c r="E38" i="8"/>
  <c r="E44" i="8"/>
  <c r="E45" i="8"/>
  <c r="E46" i="8"/>
  <c r="E49" i="8"/>
  <c r="E50" i="8"/>
  <c r="E51" i="8"/>
  <c r="E52" i="8"/>
  <c r="E53" i="8"/>
  <c r="E54" i="8"/>
  <c r="E57" i="8"/>
  <c r="E58" i="8"/>
  <c r="E59" i="8"/>
  <c r="E60" i="8"/>
  <c r="E61" i="8"/>
  <c r="E62" i="8"/>
  <c r="E65" i="8"/>
  <c r="E66" i="8"/>
  <c r="E67" i="8"/>
  <c r="E68" i="8"/>
  <c r="E69" i="8"/>
  <c r="E70" i="8"/>
  <c r="E72" i="8"/>
  <c r="E73" i="8"/>
  <c r="E74" i="8"/>
  <c r="E75" i="8"/>
  <c r="E76" i="8"/>
  <c r="E77" i="8"/>
  <c r="E78" i="8"/>
  <c r="E81" i="8"/>
  <c r="E82" i="8"/>
  <c r="E83" i="8"/>
  <c r="E84" i="8"/>
  <c r="E85" i="8"/>
  <c r="E86" i="8"/>
  <c r="E89" i="8"/>
  <c r="E90" i="8"/>
  <c r="E91" i="8"/>
  <c r="E92" i="8"/>
  <c r="E99" i="8"/>
  <c r="E100" i="8"/>
  <c r="E102" i="8"/>
  <c r="E103" i="8"/>
  <c r="E106" i="8"/>
  <c r="E107" i="8"/>
  <c r="E108" i="8"/>
  <c r="E110" i="8"/>
  <c r="E114" i="8"/>
  <c r="E115" i="8"/>
  <c r="E116" i="8"/>
  <c r="E118" i="8"/>
  <c r="E122" i="8"/>
  <c r="E123" i="8"/>
  <c r="E124" i="8"/>
  <c r="E126" i="8"/>
  <c r="E130" i="8"/>
  <c r="E131" i="8"/>
  <c r="E132" i="8"/>
  <c r="E134" i="8"/>
  <c r="E135" i="8"/>
  <c r="E138" i="8"/>
  <c r="E139" i="8"/>
  <c r="E140" i="8"/>
  <c r="E142" i="8"/>
  <c r="E146" i="8"/>
  <c r="E147" i="8"/>
  <c r="E148" i="8"/>
  <c r="E154" i="8"/>
  <c r="E155" i="8"/>
  <c r="E156" i="8"/>
  <c r="E158" i="8"/>
  <c r="E163" i="8"/>
  <c r="E166" i="8"/>
  <c r="E170" i="8"/>
  <c r="E171" i="8"/>
  <c r="E174" i="8"/>
  <c r="E175" i="8"/>
  <c r="E177" i="8"/>
  <c r="E178" i="8"/>
  <c r="E179" i="8"/>
  <c r="E182" i="8"/>
  <c r="E186" i="8"/>
  <c r="E187" i="8"/>
  <c r="E190" i="8"/>
  <c r="E193" i="8"/>
  <c r="E194" i="8"/>
  <c r="E195" i="8"/>
  <c r="F2" i="8"/>
  <c r="C3" i="8"/>
  <c r="C4" i="8" s="1"/>
  <c r="C5" i="8" s="1"/>
  <c r="C6" i="8" s="1"/>
  <c r="C7" i="8" s="1"/>
  <c r="C8" i="8" s="1"/>
  <c r="C9" i="8" s="1"/>
  <c r="C10" i="8" s="1"/>
  <c r="C11" i="8" s="1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C31" i="8" s="1"/>
  <c r="C32" i="8" s="1"/>
  <c r="C33" i="8" s="1"/>
  <c r="C34" i="8" s="1"/>
  <c r="C35" i="8" s="1"/>
  <c r="C36" i="8" s="1"/>
  <c r="C37" i="8" s="1"/>
  <c r="C38" i="8" s="1"/>
  <c r="C39" i="8" s="1"/>
  <c r="C40" i="8" s="1"/>
  <c r="C41" i="8" s="1"/>
  <c r="C42" i="8" s="1"/>
  <c r="C43" i="8" s="1"/>
  <c r="C44" i="8" s="1"/>
  <c r="C45" i="8" s="1"/>
  <c r="C46" i="8" s="1"/>
  <c r="C47" i="8" s="1"/>
  <c r="C48" i="8" s="1"/>
  <c r="C49" i="8" s="1"/>
  <c r="C50" i="8" s="1"/>
  <c r="C51" i="8" s="1"/>
  <c r="C52" i="8" s="1"/>
  <c r="C53" i="8" s="1"/>
  <c r="C54" i="8" s="1"/>
  <c r="C55" i="8" s="1"/>
  <c r="C56" i="8" s="1"/>
  <c r="C57" i="8" s="1"/>
  <c r="C58" i="8" s="1"/>
  <c r="C59" i="8" s="1"/>
  <c r="C60" i="8" s="1"/>
  <c r="C61" i="8" s="1"/>
  <c r="C62" i="8" s="1"/>
  <c r="C63" i="8" s="1"/>
  <c r="C64" i="8" s="1"/>
  <c r="C65" i="8" s="1"/>
  <c r="C66" i="8" s="1"/>
  <c r="C67" i="8" s="1"/>
  <c r="C68" i="8" s="1"/>
  <c r="C69" i="8" s="1"/>
  <c r="C70" i="8" s="1"/>
  <c r="C71" i="8" s="1"/>
  <c r="C72" i="8" s="1"/>
  <c r="C73" i="8" s="1"/>
  <c r="C74" i="8" s="1"/>
  <c r="C75" i="8" s="1"/>
  <c r="C76" i="8" s="1"/>
  <c r="C77" i="8" s="1"/>
  <c r="C78" i="8" s="1"/>
  <c r="C79" i="8" s="1"/>
  <c r="C80" i="8" s="1"/>
  <c r="C81" i="8" s="1"/>
  <c r="C82" i="8" s="1"/>
  <c r="C83" i="8" s="1"/>
  <c r="C84" i="8" s="1"/>
  <c r="C85" i="8" s="1"/>
  <c r="C86" i="8" s="1"/>
  <c r="C87" i="8" s="1"/>
  <c r="C88" i="8" s="1"/>
  <c r="C89" i="8" s="1"/>
  <c r="C90" i="8" s="1"/>
  <c r="C91" i="8" s="1"/>
  <c r="C92" i="8" s="1"/>
  <c r="C93" i="8" s="1"/>
  <c r="C94" i="8" s="1"/>
  <c r="C95" i="8" s="1"/>
  <c r="C96" i="8" s="1"/>
  <c r="C97" i="8" s="1"/>
  <c r="C98" i="8" s="1"/>
  <c r="C99" i="8" s="1"/>
  <c r="C100" i="8" s="1"/>
  <c r="C101" i="8" s="1"/>
  <c r="C102" i="8" s="1"/>
  <c r="C103" i="8" s="1"/>
  <c r="C104" i="8" s="1"/>
  <c r="C105" i="8" s="1"/>
  <c r="C106" i="8" s="1"/>
  <c r="C107" i="8" s="1"/>
  <c r="C108" i="8" s="1"/>
  <c r="C109" i="8" s="1"/>
  <c r="C110" i="8" s="1"/>
  <c r="C111" i="8" s="1"/>
  <c r="C112" i="8" s="1"/>
  <c r="C113" i="8" s="1"/>
  <c r="C114" i="8" s="1"/>
  <c r="C115" i="8" s="1"/>
  <c r="C116" i="8" s="1"/>
  <c r="C117" i="8" s="1"/>
  <c r="C118" i="8" s="1"/>
  <c r="C119" i="8" s="1"/>
  <c r="C120" i="8" s="1"/>
  <c r="C121" i="8" s="1"/>
  <c r="C122" i="8" s="1"/>
  <c r="C123" i="8" s="1"/>
  <c r="C124" i="8" s="1"/>
  <c r="C125" i="8" s="1"/>
  <c r="C126" i="8" s="1"/>
  <c r="C127" i="8" s="1"/>
  <c r="C128" i="8" s="1"/>
  <c r="C129" i="8" s="1"/>
  <c r="C130" i="8" s="1"/>
  <c r="C131" i="8" s="1"/>
  <c r="C132" i="8" s="1"/>
  <c r="C133" i="8" s="1"/>
  <c r="C134" i="8" s="1"/>
  <c r="C135" i="8" s="1"/>
  <c r="C136" i="8" s="1"/>
  <c r="C137" i="8" s="1"/>
  <c r="C138" i="8" s="1"/>
  <c r="C139" i="8" s="1"/>
  <c r="C140" i="8" s="1"/>
  <c r="C141" i="8" s="1"/>
  <c r="C142" i="8" s="1"/>
  <c r="C143" i="8" s="1"/>
  <c r="C144" i="8" s="1"/>
  <c r="C145" i="8" s="1"/>
  <c r="C146" i="8" s="1"/>
  <c r="C147" i="8" s="1"/>
  <c r="C148" i="8" s="1"/>
  <c r="C149" i="8" s="1"/>
  <c r="C150" i="8" s="1"/>
  <c r="C151" i="8" s="1"/>
  <c r="C152" i="8" s="1"/>
  <c r="C153" i="8" s="1"/>
  <c r="C154" i="8" s="1"/>
  <c r="C155" i="8" s="1"/>
  <c r="C156" i="8" s="1"/>
  <c r="C157" i="8" s="1"/>
  <c r="C158" i="8" s="1"/>
  <c r="C159" i="8" s="1"/>
  <c r="C160" i="8" s="1"/>
  <c r="C161" i="8" s="1"/>
  <c r="C162" i="8" s="1"/>
  <c r="C163" i="8" s="1"/>
  <c r="C164" i="8" s="1"/>
  <c r="C165" i="8" s="1"/>
  <c r="C166" i="8" s="1"/>
  <c r="C167" i="8" s="1"/>
  <c r="C168" i="8" s="1"/>
  <c r="C169" i="8" s="1"/>
  <c r="C170" i="8" s="1"/>
  <c r="C171" i="8" s="1"/>
  <c r="C172" i="8" s="1"/>
  <c r="C173" i="8" s="1"/>
  <c r="C174" i="8" s="1"/>
  <c r="C175" i="8" s="1"/>
  <c r="C176" i="8" s="1"/>
  <c r="C177" i="8" s="1"/>
  <c r="C178" i="8" s="1"/>
  <c r="C179" i="8" s="1"/>
  <c r="C180" i="8" s="1"/>
  <c r="C181" i="8" s="1"/>
  <c r="C182" i="8" s="1"/>
  <c r="C183" i="8" s="1"/>
  <c r="C184" i="8" s="1"/>
  <c r="C185" i="8" s="1"/>
  <c r="C186" i="8" s="1"/>
  <c r="C187" i="8" s="1"/>
  <c r="C188" i="8" s="1"/>
  <c r="C189" i="8" s="1"/>
  <c r="C190" i="8" s="1"/>
  <c r="C191" i="8" s="1"/>
  <c r="C192" i="8" s="1"/>
  <c r="C193" i="8" s="1"/>
  <c r="C194" i="8" s="1"/>
  <c r="C195" i="8" s="1"/>
  <c r="C196" i="8" s="1"/>
  <c r="C197" i="8" s="1"/>
  <c r="C198" i="8" s="1"/>
  <c r="C199" i="8" s="1"/>
  <c r="C200" i="8" s="1"/>
  <c r="C201" i="8" s="1"/>
  <c r="C202" i="8" s="1"/>
  <c r="C203" i="8" s="1"/>
  <c r="C204" i="8" s="1"/>
  <c r="C205" i="8" s="1"/>
  <c r="C206" i="8" s="1"/>
  <c r="C207" i="8" s="1"/>
  <c r="C208" i="8" s="1"/>
  <c r="C209" i="8" s="1"/>
  <c r="C210" i="8" s="1"/>
  <c r="C211" i="8" s="1"/>
  <c r="C212" i="8" s="1"/>
  <c r="C213" i="8" s="1"/>
  <c r="C214" i="8" s="1"/>
  <c r="C215" i="8" s="1"/>
  <c r="C216" i="8" s="1"/>
  <c r="C217" i="8" s="1"/>
  <c r="C218" i="8" s="1"/>
  <c r="C219" i="8" s="1"/>
  <c r="C220" i="8" s="1"/>
  <c r="C221" i="8" s="1"/>
  <c r="C222" i="8" s="1"/>
  <c r="C223" i="8" s="1"/>
  <c r="C224" i="8" s="1"/>
  <c r="C225" i="8" s="1"/>
  <c r="C226" i="8" s="1"/>
  <c r="C227" i="8" s="1"/>
  <c r="C228" i="8" s="1"/>
  <c r="C229" i="8" s="1"/>
  <c r="C230" i="8" s="1"/>
  <c r="C231" i="8" s="1"/>
  <c r="C232" i="8" s="1"/>
  <c r="C233" i="8" s="1"/>
  <c r="C234" i="8" s="1"/>
  <c r="C235" i="8" s="1"/>
  <c r="C236" i="8" s="1"/>
  <c r="C237" i="8" s="1"/>
  <c r="C238" i="8" s="1"/>
  <c r="C239" i="8" s="1"/>
  <c r="C240" i="8" s="1"/>
  <c r="C241" i="8" s="1"/>
  <c r="C242" i="8" s="1"/>
  <c r="C243" i="8" s="1"/>
  <c r="C244" i="8" s="1"/>
  <c r="C245" i="8" s="1"/>
  <c r="C246" i="8" s="1"/>
  <c r="C247" i="8" s="1"/>
  <c r="C248" i="8" s="1"/>
  <c r="C249" i="8" s="1"/>
  <c r="C250" i="8" s="1"/>
  <c r="C251" i="8" s="1"/>
  <c r="C252" i="8" s="1"/>
  <c r="C253" i="8" s="1"/>
  <c r="C254" i="8" s="1"/>
  <c r="C255" i="8" s="1"/>
  <c r="C256" i="8" s="1"/>
  <c r="C257" i="8" s="1"/>
  <c r="C258" i="8" s="1"/>
  <c r="C259" i="8" s="1"/>
  <c r="C260" i="8" s="1"/>
  <c r="C261" i="8" s="1"/>
  <c r="C262" i="8" s="1"/>
  <c r="C263" i="8" s="1"/>
  <c r="C264" i="8" s="1"/>
  <c r="C265" i="8" s="1"/>
  <c r="C266" i="8" s="1"/>
  <c r="C267" i="8" s="1"/>
  <c r="C268" i="8" s="1"/>
  <c r="C269" i="8" s="1"/>
  <c r="C270" i="8" s="1"/>
  <c r="C271" i="8" s="1"/>
  <c r="C272" i="8" s="1"/>
  <c r="C273" i="8" s="1"/>
  <c r="C274" i="8" s="1"/>
  <c r="C275" i="8" s="1"/>
  <c r="C276" i="8" s="1"/>
  <c r="C277" i="8" s="1"/>
  <c r="C278" i="8" s="1"/>
  <c r="B14" i="1"/>
  <c r="E19" i="10" s="1"/>
  <c r="B13" i="1"/>
  <c r="E194" i="10" l="1"/>
  <c r="H187" i="8"/>
  <c r="I187" i="8" s="1"/>
  <c r="E178" i="10"/>
  <c r="E170" i="10"/>
  <c r="E162" i="10"/>
  <c r="E154" i="10"/>
  <c r="E146" i="10"/>
  <c r="E138" i="10"/>
  <c r="E130" i="10"/>
  <c r="E122" i="10"/>
  <c r="E114" i="10"/>
  <c r="E106" i="10"/>
  <c r="E90" i="10"/>
  <c r="E82" i="10"/>
  <c r="E74" i="10"/>
  <c r="E66" i="10"/>
  <c r="E58" i="10"/>
  <c r="E50" i="10"/>
  <c r="E42" i="10"/>
  <c r="E34" i="10"/>
  <c r="E26" i="10"/>
  <c r="E18" i="10"/>
  <c r="E15" i="10"/>
  <c r="E7" i="10"/>
  <c r="E274" i="10"/>
  <c r="E266" i="10"/>
  <c r="E258" i="10"/>
  <c r="E250" i="10"/>
  <c r="E242" i="10"/>
  <c r="E234" i="10"/>
  <c r="E226" i="10"/>
  <c r="E218" i="10"/>
  <c r="H216" i="8"/>
  <c r="I216" i="8" s="1"/>
  <c r="E210" i="10"/>
  <c r="E202" i="10"/>
  <c r="H163" i="8"/>
  <c r="I163" i="8" s="1"/>
  <c r="H64" i="8"/>
  <c r="I64" i="8" s="1"/>
  <c r="H122" i="8"/>
  <c r="I122" i="8" s="1"/>
  <c r="H155" i="8"/>
  <c r="I155" i="8" s="1"/>
  <c r="H157" i="8"/>
  <c r="I157" i="8" s="1"/>
  <c r="E186" i="10"/>
  <c r="H195" i="8"/>
  <c r="I195" i="8" s="1"/>
  <c r="H147" i="8"/>
  <c r="I147" i="8" s="1"/>
  <c r="H179" i="8"/>
  <c r="I179" i="8" s="1"/>
  <c r="H267" i="8"/>
  <c r="I267" i="8" s="1"/>
  <c r="H223" i="8"/>
  <c r="I223" i="8" s="1"/>
  <c r="E87" i="8"/>
  <c r="E63" i="8"/>
  <c r="E143" i="8"/>
  <c r="H176" i="8"/>
  <c r="I176" i="8" s="1"/>
  <c r="H151" i="8"/>
  <c r="I151" i="8" s="1"/>
  <c r="H127" i="8"/>
  <c r="I127" i="8" s="1"/>
  <c r="E98" i="10"/>
  <c r="E167" i="8"/>
  <c r="E119" i="8"/>
  <c r="E7" i="8"/>
  <c r="H192" i="8"/>
  <c r="I192" i="8" s="1"/>
  <c r="H168" i="8"/>
  <c r="I168" i="8" s="1"/>
  <c r="H191" i="8"/>
  <c r="I191" i="8" s="1"/>
  <c r="H95" i="8"/>
  <c r="I95" i="8" s="1"/>
  <c r="E14" i="10"/>
  <c r="E6" i="10"/>
  <c r="E273" i="10"/>
  <c r="E265" i="10"/>
  <c r="E257" i="10"/>
  <c r="E249" i="10"/>
  <c r="E241" i="10"/>
  <c r="E233" i="10"/>
  <c r="E225" i="10"/>
  <c r="E217" i="10"/>
  <c r="E209" i="10"/>
  <c r="E201" i="10"/>
  <c r="E193" i="10"/>
  <c r="E185" i="10"/>
  <c r="E177" i="10"/>
  <c r="E169" i="10"/>
  <c r="E161" i="10"/>
  <c r="E153" i="10"/>
  <c r="E145" i="10"/>
  <c r="E137" i="10"/>
  <c r="E129" i="10"/>
  <c r="E121" i="10"/>
  <c r="E113" i="10"/>
  <c r="E105" i="10"/>
  <c r="E97" i="10"/>
  <c r="E89" i="10"/>
  <c r="E81" i="10"/>
  <c r="E73" i="10"/>
  <c r="E65" i="10"/>
  <c r="E57" i="10"/>
  <c r="E49" i="10"/>
  <c r="E41" i="10"/>
  <c r="E33" i="10"/>
  <c r="E25" i="10"/>
  <c r="E17" i="10"/>
  <c r="E13" i="10"/>
  <c r="E5" i="10"/>
  <c r="E272" i="10"/>
  <c r="E264" i="10"/>
  <c r="E256" i="10"/>
  <c r="E248" i="10"/>
  <c r="E240" i="10"/>
  <c r="E232" i="10"/>
  <c r="E224" i="10"/>
  <c r="E216" i="10"/>
  <c r="E208" i="10"/>
  <c r="E200" i="10"/>
  <c r="E192" i="10"/>
  <c r="E184" i="10"/>
  <c r="E176" i="10"/>
  <c r="E168" i="10"/>
  <c r="E160" i="10"/>
  <c r="E152" i="10"/>
  <c r="E144" i="10"/>
  <c r="E136" i="10"/>
  <c r="E128" i="10"/>
  <c r="E120" i="10"/>
  <c r="E112" i="10"/>
  <c r="E104" i="10"/>
  <c r="E96" i="10"/>
  <c r="E88" i="10"/>
  <c r="E80" i="10"/>
  <c r="E72" i="10"/>
  <c r="E64" i="10"/>
  <c r="E56" i="10"/>
  <c r="E48" i="10"/>
  <c r="E40" i="10"/>
  <c r="E32" i="10"/>
  <c r="E24" i="10"/>
  <c r="E16" i="10"/>
  <c r="E12" i="10"/>
  <c r="E4" i="10"/>
  <c r="E271" i="10"/>
  <c r="E263" i="10"/>
  <c r="E255" i="10"/>
  <c r="E247" i="10"/>
  <c r="E239" i="10"/>
  <c r="E231" i="10"/>
  <c r="E223" i="10"/>
  <c r="E215" i="10"/>
  <c r="E207" i="10"/>
  <c r="E199" i="10"/>
  <c r="E191" i="10"/>
  <c r="E183" i="10"/>
  <c r="E175" i="10"/>
  <c r="E167" i="10"/>
  <c r="E159" i="10"/>
  <c r="E151" i="10"/>
  <c r="E143" i="10"/>
  <c r="E135" i="10"/>
  <c r="E127" i="10"/>
  <c r="E119" i="10"/>
  <c r="E111" i="10"/>
  <c r="E103" i="10"/>
  <c r="E95" i="10"/>
  <c r="E87" i="10"/>
  <c r="E79" i="10"/>
  <c r="E71" i="10"/>
  <c r="E63" i="10"/>
  <c r="E55" i="10"/>
  <c r="E47" i="10"/>
  <c r="E39" i="10"/>
  <c r="E31" i="10"/>
  <c r="E23" i="10"/>
  <c r="E11" i="10"/>
  <c r="E3" i="10"/>
  <c r="E270" i="10"/>
  <c r="E262" i="10"/>
  <c r="E254" i="10"/>
  <c r="E246" i="10"/>
  <c r="E238" i="10"/>
  <c r="E230" i="10"/>
  <c r="E222" i="10"/>
  <c r="E214" i="10"/>
  <c r="E206" i="10"/>
  <c r="E198" i="10"/>
  <c r="E190" i="10"/>
  <c r="E182" i="10"/>
  <c r="E174" i="10"/>
  <c r="E166" i="10"/>
  <c r="E158" i="10"/>
  <c r="E150" i="10"/>
  <c r="E142" i="10"/>
  <c r="E134" i="10"/>
  <c r="E126" i="10"/>
  <c r="E118" i="10"/>
  <c r="E110" i="10"/>
  <c r="E102" i="10"/>
  <c r="E94" i="10"/>
  <c r="E86" i="10"/>
  <c r="E78" i="10"/>
  <c r="E70" i="10"/>
  <c r="E62" i="10"/>
  <c r="E54" i="10"/>
  <c r="E46" i="10"/>
  <c r="E38" i="10"/>
  <c r="E30" i="10"/>
  <c r="E22" i="10"/>
  <c r="E10" i="10"/>
  <c r="E277" i="10"/>
  <c r="E269" i="10"/>
  <c r="E261" i="10"/>
  <c r="E253" i="10"/>
  <c r="E245" i="10"/>
  <c r="E237" i="10"/>
  <c r="E229" i="10"/>
  <c r="E221" i="10"/>
  <c r="E213" i="10"/>
  <c r="E205" i="10"/>
  <c r="E197" i="10"/>
  <c r="E189" i="10"/>
  <c r="E181" i="10"/>
  <c r="E173" i="10"/>
  <c r="E165" i="10"/>
  <c r="E157" i="10"/>
  <c r="E149" i="10"/>
  <c r="E141" i="10"/>
  <c r="E133" i="10"/>
  <c r="E125" i="10"/>
  <c r="E117" i="10"/>
  <c r="E109" i="10"/>
  <c r="E101" i="10"/>
  <c r="E93" i="10"/>
  <c r="E85" i="10"/>
  <c r="E77" i="10"/>
  <c r="E69" i="10"/>
  <c r="E61" i="10"/>
  <c r="E53" i="10"/>
  <c r="E45" i="10"/>
  <c r="E37" i="10"/>
  <c r="E29" i="10"/>
  <c r="E21" i="10"/>
  <c r="E9" i="10"/>
  <c r="E276" i="10"/>
  <c r="E268" i="10"/>
  <c r="E260" i="10"/>
  <c r="E252" i="10"/>
  <c r="E244" i="10"/>
  <c r="E236" i="10"/>
  <c r="E228" i="10"/>
  <c r="E220" i="10"/>
  <c r="E212" i="10"/>
  <c r="E204" i="10"/>
  <c r="E196" i="10"/>
  <c r="E188" i="10"/>
  <c r="E180" i="10"/>
  <c r="E172" i="10"/>
  <c r="E164" i="10"/>
  <c r="E156" i="10"/>
  <c r="E148" i="10"/>
  <c r="E140" i="10"/>
  <c r="E132" i="10"/>
  <c r="E124" i="10"/>
  <c r="E116" i="10"/>
  <c r="E108" i="10"/>
  <c r="E100" i="10"/>
  <c r="E92" i="10"/>
  <c r="E84" i="10"/>
  <c r="E76" i="10"/>
  <c r="E68" i="10"/>
  <c r="E60" i="10"/>
  <c r="E52" i="10"/>
  <c r="E44" i="10"/>
  <c r="E36" i="10"/>
  <c r="E28" i="10"/>
  <c r="E20" i="10"/>
  <c r="E2" i="10"/>
  <c r="G2" i="10" s="1"/>
  <c r="E8" i="10"/>
  <c r="E275" i="10"/>
  <c r="E267" i="10"/>
  <c r="E259" i="10"/>
  <c r="E251" i="10"/>
  <c r="E243" i="10"/>
  <c r="E235" i="10"/>
  <c r="E227" i="10"/>
  <c r="E219" i="10"/>
  <c r="E211" i="10"/>
  <c r="E203" i="10"/>
  <c r="E195" i="10"/>
  <c r="E187" i="10"/>
  <c r="E179" i="10"/>
  <c r="E171" i="10"/>
  <c r="E163" i="10"/>
  <c r="E155" i="10"/>
  <c r="E147" i="10"/>
  <c r="E139" i="10"/>
  <c r="E131" i="10"/>
  <c r="E123" i="10"/>
  <c r="E115" i="10"/>
  <c r="E107" i="10"/>
  <c r="E99" i="10"/>
  <c r="E91" i="10"/>
  <c r="E83" i="10"/>
  <c r="E75" i="10"/>
  <c r="E67" i="10"/>
  <c r="E59" i="10"/>
  <c r="E51" i="10"/>
  <c r="E43" i="10"/>
  <c r="E35" i="10"/>
  <c r="E27" i="10"/>
  <c r="P278" i="8"/>
  <c r="U278" i="8"/>
  <c r="P2" i="8"/>
  <c r="H194" i="8"/>
  <c r="I194" i="8" s="1"/>
  <c r="H138" i="8"/>
  <c r="I138" i="8" s="1"/>
  <c r="H126" i="8"/>
  <c r="I126" i="8" s="1"/>
  <c r="H118" i="8"/>
  <c r="I118" i="8" s="1"/>
  <c r="H110" i="8"/>
  <c r="I110" i="8" s="1"/>
  <c r="H102" i="8"/>
  <c r="I102" i="8" s="1"/>
  <c r="H86" i="8"/>
  <c r="I86" i="8" s="1"/>
  <c r="H58" i="8"/>
  <c r="I58" i="8" s="1"/>
  <c r="H54" i="8"/>
  <c r="I54" i="8" s="1"/>
  <c r="H46" i="8"/>
  <c r="I46" i="8" s="1"/>
  <c r="H26" i="8"/>
  <c r="I26" i="8" s="1"/>
  <c r="H42" i="8"/>
  <c r="I42" i="8" s="1"/>
  <c r="H225" i="8"/>
  <c r="I225" i="8" s="1"/>
  <c r="E157" i="8"/>
  <c r="H94" i="8"/>
  <c r="I94" i="8" s="1"/>
  <c r="H57" i="8"/>
  <c r="I57" i="8" s="1"/>
  <c r="H45" i="8"/>
  <c r="I45" i="8" s="1"/>
  <c r="H217" i="8"/>
  <c r="I217" i="8" s="1"/>
  <c r="H245" i="8"/>
  <c r="I245" i="8" s="1"/>
  <c r="H221" i="8"/>
  <c r="I221" i="8" s="1"/>
  <c r="H156" i="8"/>
  <c r="I156" i="8" s="1"/>
  <c r="H152" i="8"/>
  <c r="I152" i="8" s="1"/>
  <c r="H140" i="8"/>
  <c r="I140" i="8" s="1"/>
  <c r="H136" i="8"/>
  <c r="I136" i="8" s="1"/>
  <c r="H132" i="8"/>
  <c r="I132" i="8" s="1"/>
  <c r="H128" i="8"/>
  <c r="I128" i="8" s="1"/>
  <c r="H124" i="8"/>
  <c r="I124" i="8" s="1"/>
  <c r="H120" i="8"/>
  <c r="I120" i="8" s="1"/>
  <c r="H116" i="8"/>
  <c r="I116" i="8" s="1"/>
  <c r="H112" i="8"/>
  <c r="I112" i="8" s="1"/>
  <c r="H108" i="8"/>
  <c r="I108" i="8" s="1"/>
  <c r="H104" i="8"/>
  <c r="I104" i="8" s="1"/>
  <c r="H100" i="8"/>
  <c r="I100" i="8" s="1"/>
  <c r="H92" i="8"/>
  <c r="I92" i="8" s="1"/>
  <c r="H88" i="8"/>
  <c r="I88" i="8" s="1"/>
  <c r="H60" i="8"/>
  <c r="I60" i="8" s="1"/>
  <c r="H56" i="8"/>
  <c r="I56" i="8" s="1"/>
  <c r="H44" i="8"/>
  <c r="I44" i="8" s="1"/>
  <c r="H28" i="8"/>
  <c r="I28" i="8" s="1"/>
  <c r="H24" i="8"/>
  <c r="I24" i="8" s="1"/>
  <c r="H190" i="8"/>
  <c r="I190" i="8" s="1"/>
  <c r="H186" i="8"/>
  <c r="I186" i="8" s="1"/>
  <c r="H182" i="8"/>
  <c r="I182" i="8" s="1"/>
  <c r="H178" i="8"/>
  <c r="I178" i="8" s="1"/>
  <c r="H174" i="8"/>
  <c r="I174" i="8" s="1"/>
  <c r="H170" i="8"/>
  <c r="I170" i="8" s="1"/>
  <c r="H166" i="8"/>
  <c r="I166" i="8" s="1"/>
  <c r="H162" i="8"/>
  <c r="I162" i="8" s="1"/>
  <c r="H158" i="8"/>
  <c r="I158" i="8" s="1"/>
  <c r="H154" i="8"/>
  <c r="I154" i="8" s="1"/>
  <c r="H150" i="8"/>
  <c r="I150" i="8" s="1"/>
  <c r="H146" i="8"/>
  <c r="I146" i="8" s="1"/>
  <c r="H50" i="8"/>
  <c r="I50" i="8" s="1"/>
  <c r="H189" i="8"/>
  <c r="I189" i="8" s="1"/>
  <c r="H160" i="8"/>
  <c r="I160" i="8" s="1"/>
  <c r="H180" i="8"/>
  <c r="I180" i="8" s="1"/>
  <c r="H173" i="8"/>
  <c r="I173" i="8" s="1"/>
  <c r="H141" i="8"/>
  <c r="I141" i="8" s="1"/>
  <c r="H137" i="8"/>
  <c r="I137" i="8" s="1"/>
  <c r="H133" i="8"/>
  <c r="I133" i="8" s="1"/>
  <c r="H129" i="8"/>
  <c r="I129" i="8" s="1"/>
  <c r="H125" i="8"/>
  <c r="I125" i="8" s="1"/>
  <c r="H121" i="8"/>
  <c r="I121" i="8" s="1"/>
  <c r="H117" i="8"/>
  <c r="I117" i="8" s="1"/>
  <c r="H113" i="8"/>
  <c r="I113" i="8" s="1"/>
  <c r="H109" i="8"/>
  <c r="I109" i="8" s="1"/>
  <c r="H105" i="8"/>
  <c r="I105" i="8" s="1"/>
  <c r="H101" i="8"/>
  <c r="I101" i="8" s="1"/>
  <c r="H97" i="8"/>
  <c r="I97" i="8" s="1"/>
  <c r="H93" i="8"/>
  <c r="I93" i="8" s="1"/>
  <c r="H89" i="8"/>
  <c r="I89" i="8" s="1"/>
  <c r="H81" i="8"/>
  <c r="I81" i="8" s="1"/>
  <c r="H29" i="8"/>
  <c r="I29" i="8" s="1"/>
  <c r="H25" i="8"/>
  <c r="I25" i="8" s="1"/>
  <c r="H250" i="8"/>
  <c r="I250" i="8" s="1"/>
  <c r="H188" i="8"/>
  <c r="I188" i="8" s="1"/>
  <c r="H193" i="8"/>
  <c r="I193" i="8" s="1"/>
  <c r="H161" i="8"/>
  <c r="I161" i="8" s="1"/>
  <c r="H260" i="8"/>
  <c r="I260" i="8" s="1"/>
  <c r="H184" i="8"/>
  <c r="I184" i="8" s="1"/>
  <c r="H177" i="8"/>
  <c r="I177" i="8" s="1"/>
  <c r="H172" i="8"/>
  <c r="I172" i="8" s="1"/>
  <c r="H164" i="8"/>
  <c r="I164" i="8" s="1"/>
  <c r="H134" i="8"/>
  <c r="I134" i="8" s="1"/>
  <c r="H185" i="8"/>
  <c r="I185" i="8" s="1"/>
  <c r="H169" i="8"/>
  <c r="I169" i="8" s="1"/>
  <c r="H153" i="8"/>
  <c r="I153" i="8" s="1"/>
  <c r="H67" i="8"/>
  <c r="I67" i="8" s="1"/>
  <c r="H59" i="8"/>
  <c r="I59" i="8" s="1"/>
  <c r="H55" i="8"/>
  <c r="I55" i="8" s="1"/>
  <c r="H47" i="8"/>
  <c r="I47" i="8" s="1"/>
  <c r="H43" i="8"/>
  <c r="I43" i="8" s="1"/>
  <c r="H246" i="8"/>
  <c r="I246" i="8" s="1"/>
  <c r="H224" i="8"/>
  <c r="I224" i="8" s="1"/>
  <c r="H219" i="8"/>
  <c r="I219" i="8" s="1"/>
  <c r="H268" i="8"/>
  <c r="I268" i="8" s="1"/>
  <c r="E198" i="8"/>
  <c r="H181" i="8"/>
  <c r="I181" i="8" s="1"/>
  <c r="H165" i="8"/>
  <c r="I165" i="8" s="1"/>
  <c r="H149" i="8"/>
  <c r="I149" i="8" s="1"/>
  <c r="H142" i="8"/>
  <c r="I142" i="8" s="1"/>
  <c r="H220" i="8"/>
  <c r="I220" i="8" s="1"/>
  <c r="H215" i="8"/>
  <c r="I215" i="8" s="1"/>
  <c r="H259" i="8"/>
  <c r="I259" i="8" s="1"/>
  <c r="E200" i="8"/>
  <c r="E196" i="8"/>
  <c r="E141" i="8"/>
  <c r="E137" i="8"/>
  <c r="E133" i="8"/>
  <c r="E129" i="8"/>
  <c r="E125" i="8"/>
  <c r="E121" i="8"/>
  <c r="E117" i="8"/>
  <c r="E113" i="8"/>
  <c r="E109" i="8"/>
  <c r="E105" i="8"/>
  <c r="E101" i="8"/>
  <c r="E29" i="8"/>
  <c r="E25" i="8"/>
  <c r="H96" i="8"/>
  <c r="I96" i="8" s="1"/>
  <c r="H247" i="8"/>
  <c r="I247" i="8" s="1"/>
  <c r="H226" i="8"/>
  <c r="I226" i="8" s="1"/>
  <c r="H222" i="8"/>
  <c r="I222" i="8" s="1"/>
  <c r="H218" i="8"/>
  <c r="I218" i="8" s="1"/>
  <c r="H205" i="8"/>
  <c r="I205" i="8" s="1"/>
  <c r="H261" i="8"/>
  <c r="I261" i="8" s="1"/>
  <c r="H251" i="8"/>
  <c r="I251" i="8" s="1"/>
  <c r="E197" i="8"/>
  <c r="H248" i="8"/>
  <c r="I248" i="8" s="1"/>
  <c r="H202" i="8"/>
  <c r="I202" i="8" s="1"/>
  <c r="H253" i="8"/>
  <c r="I253" i="8" s="1"/>
  <c r="H266" i="8"/>
  <c r="I266" i="8" s="1"/>
  <c r="E2" i="8"/>
  <c r="L3" i="8"/>
  <c r="L5" i="8"/>
  <c r="L4" i="8"/>
  <c r="L195" i="8"/>
  <c r="L194" i="8"/>
  <c r="L193" i="8"/>
  <c r="L192" i="8"/>
  <c r="L191" i="8"/>
  <c r="L190" i="8"/>
  <c r="L189" i="8"/>
  <c r="L188" i="8"/>
  <c r="L187" i="8"/>
  <c r="L186" i="8"/>
  <c r="L185" i="8"/>
  <c r="L184" i="8"/>
  <c r="L183" i="8"/>
  <c r="L182" i="8"/>
  <c r="L181" i="8"/>
  <c r="L180" i="8"/>
  <c r="L179" i="8"/>
  <c r="L178" i="8"/>
  <c r="L177" i="8"/>
  <c r="L176" i="8"/>
  <c r="L175" i="8"/>
  <c r="L174" i="8"/>
  <c r="L173" i="8"/>
  <c r="L172" i="8"/>
  <c r="L171" i="8"/>
  <c r="L170" i="8"/>
  <c r="L169" i="8"/>
  <c r="L168" i="8"/>
  <c r="L167" i="8"/>
  <c r="L166" i="8"/>
  <c r="L165" i="8"/>
  <c r="L164" i="8"/>
  <c r="L163" i="8"/>
  <c r="L161" i="8"/>
  <c r="L159" i="8"/>
  <c r="L158" i="8"/>
  <c r="L157" i="8"/>
  <c r="L156" i="8"/>
  <c r="L155" i="8"/>
  <c r="L154" i="8"/>
  <c r="L153" i="8"/>
  <c r="L152" i="8"/>
  <c r="L151" i="8"/>
  <c r="L150" i="8"/>
  <c r="L149" i="8"/>
  <c r="L148" i="8"/>
  <c r="L147" i="8"/>
  <c r="L146" i="8"/>
  <c r="L145" i="8"/>
  <c r="L144" i="8"/>
  <c r="L143" i="8"/>
  <c r="L142" i="8"/>
  <c r="L141" i="8"/>
  <c r="L140" i="8"/>
  <c r="L139" i="8"/>
  <c r="L138" i="8"/>
  <c r="L137" i="8"/>
  <c r="L136" i="8"/>
  <c r="L135" i="8"/>
  <c r="L134" i="8"/>
  <c r="L133" i="8"/>
  <c r="L132" i="8"/>
  <c r="L131" i="8"/>
  <c r="L130" i="8"/>
  <c r="L129" i="8"/>
  <c r="L128" i="8"/>
  <c r="L127" i="8"/>
  <c r="L126" i="8"/>
  <c r="L125" i="8"/>
  <c r="L124" i="8"/>
  <c r="L123" i="8"/>
  <c r="L122" i="8"/>
  <c r="L121" i="8"/>
  <c r="L120" i="8"/>
  <c r="L119" i="8"/>
  <c r="L118" i="8"/>
  <c r="L117" i="8"/>
  <c r="L116" i="8"/>
  <c r="L115" i="8"/>
  <c r="L114" i="8"/>
  <c r="L113" i="8"/>
  <c r="L112" i="8"/>
  <c r="L111" i="8"/>
  <c r="L110" i="8"/>
  <c r="L109" i="8"/>
  <c r="L108" i="8"/>
  <c r="L107" i="8"/>
  <c r="L106" i="8"/>
  <c r="L105" i="8"/>
  <c r="L104" i="8"/>
  <c r="L103" i="8"/>
  <c r="L102" i="8"/>
  <c r="L101" i="8"/>
  <c r="L100" i="8"/>
  <c r="L99" i="8"/>
  <c r="L98" i="8"/>
  <c r="L97" i="8"/>
  <c r="L96" i="8"/>
  <c r="L95" i="8"/>
  <c r="L94" i="8"/>
  <c r="L93" i="8"/>
  <c r="L92" i="8"/>
  <c r="L91" i="8"/>
  <c r="L90" i="8"/>
  <c r="L89" i="8"/>
  <c r="L88" i="8"/>
  <c r="L87" i="8"/>
  <c r="L86" i="8"/>
  <c r="L85" i="8"/>
  <c r="L84" i="8"/>
  <c r="L83" i="8"/>
  <c r="L82" i="8"/>
  <c r="L81" i="8"/>
  <c r="L80" i="8"/>
  <c r="L79" i="8"/>
  <c r="L78" i="8"/>
  <c r="L77" i="8"/>
  <c r="L76" i="8"/>
  <c r="L75" i="8"/>
  <c r="L74" i="8"/>
  <c r="L73" i="8"/>
  <c r="L72" i="8"/>
  <c r="L71" i="8"/>
  <c r="L70" i="8"/>
  <c r="L69" i="8"/>
  <c r="L68" i="8"/>
  <c r="L67" i="8"/>
  <c r="L66" i="8"/>
  <c r="L65" i="8"/>
  <c r="L64" i="8"/>
  <c r="L63" i="8"/>
  <c r="L62" i="8"/>
  <c r="L61" i="8"/>
  <c r="L60" i="8"/>
  <c r="L59" i="8"/>
  <c r="L58" i="8"/>
  <c r="L57" i="8"/>
  <c r="L56" i="8"/>
  <c r="L55" i="8"/>
  <c r="L54" i="8"/>
  <c r="L53" i="8"/>
  <c r="L52" i="8"/>
  <c r="L51" i="8"/>
  <c r="L50" i="8"/>
  <c r="L49" i="8"/>
  <c r="L48" i="8"/>
  <c r="L47" i="8"/>
  <c r="L46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L27" i="8"/>
  <c r="L26" i="8"/>
  <c r="L25" i="8"/>
  <c r="L24" i="8"/>
  <c r="L23" i="8"/>
  <c r="L22" i="8"/>
  <c r="L21" i="8"/>
  <c r="L20" i="8"/>
  <c r="L19" i="8"/>
  <c r="L18" i="8"/>
  <c r="L17" i="8"/>
  <c r="L16" i="8"/>
  <c r="L15" i="8"/>
  <c r="L14" i="8"/>
  <c r="L12" i="8"/>
  <c r="L11" i="8"/>
  <c r="L10" i="8"/>
  <c r="L9" i="8"/>
  <c r="L8" i="8"/>
  <c r="L7" i="8"/>
  <c r="L6" i="8"/>
  <c r="E278" i="8"/>
  <c r="L13" i="8"/>
  <c r="E13" i="8"/>
  <c r="L162" i="8"/>
  <c r="E162" i="8"/>
  <c r="E144" i="8"/>
  <c r="H144" i="8"/>
  <c r="I144" i="8" s="1"/>
  <c r="H145" i="8"/>
  <c r="I145" i="8" s="1"/>
  <c r="E3" i="8"/>
  <c r="H278" i="8"/>
  <c r="H80" i="8"/>
  <c r="I80" i="8" s="1"/>
  <c r="H200" i="8"/>
  <c r="I200" i="8" s="1"/>
  <c r="L200" i="8"/>
  <c r="H199" i="8"/>
  <c r="I199" i="8" s="1"/>
  <c r="L199" i="8"/>
  <c r="H198" i="8"/>
  <c r="I198" i="8" s="1"/>
  <c r="L198" i="8"/>
  <c r="H197" i="8"/>
  <c r="I197" i="8" s="1"/>
  <c r="L197" i="8"/>
  <c r="H196" i="8"/>
  <c r="I196" i="8" s="1"/>
  <c r="L196" i="8"/>
  <c r="E160" i="8"/>
  <c r="L160" i="8"/>
  <c r="E277" i="8"/>
  <c r="L277" i="8"/>
  <c r="E276" i="8"/>
  <c r="L276" i="8"/>
  <c r="E275" i="8"/>
  <c r="L275" i="8"/>
  <c r="E274" i="8"/>
  <c r="L274" i="8"/>
  <c r="E273" i="8"/>
  <c r="L273" i="8"/>
  <c r="E272" i="8"/>
  <c r="L272" i="8"/>
  <c r="E271" i="8"/>
  <c r="L271" i="8"/>
  <c r="E270" i="8"/>
  <c r="L270" i="8"/>
  <c r="E269" i="8"/>
  <c r="L269" i="8"/>
  <c r="E268" i="8"/>
  <c r="L268" i="8"/>
  <c r="E267" i="8"/>
  <c r="L267" i="8"/>
  <c r="E266" i="8"/>
  <c r="L266" i="8"/>
  <c r="E265" i="8"/>
  <c r="L265" i="8"/>
  <c r="E264" i="8"/>
  <c r="L264" i="8"/>
  <c r="E263" i="8"/>
  <c r="L263" i="8"/>
  <c r="E262" i="8"/>
  <c r="L262" i="8"/>
  <c r="E261" i="8"/>
  <c r="L261" i="8"/>
  <c r="E260" i="8"/>
  <c r="L260" i="8"/>
  <c r="E259" i="8"/>
  <c r="L259" i="8"/>
  <c r="E258" i="8"/>
  <c r="L258" i="8"/>
  <c r="E257" i="8"/>
  <c r="L257" i="8"/>
  <c r="E256" i="8"/>
  <c r="L256" i="8"/>
  <c r="E255" i="8"/>
  <c r="L255" i="8"/>
  <c r="E254" i="8"/>
  <c r="L254" i="8"/>
  <c r="E253" i="8"/>
  <c r="L253" i="8"/>
  <c r="E252" i="8"/>
  <c r="L252" i="8"/>
  <c r="E251" i="8"/>
  <c r="L251" i="8"/>
  <c r="E250" i="8"/>
  <c r="L250" i="8"/>
  <c r="E249" i="8"/>
  <c r="L249" i="8"/>
  <c r="E248" i="8"/>
  <c r="L248" i="8"/>
  <c r="E247" i="8"/>
  <c r="L247" i="8"/>
  <c r="E246" i="8"/>
  <c r="L246" i="8"/>
  <c r="E245" i="8"/>
  <c r="L245" i="8"/>
  <c r="E244" i="8"/>
  <c r="L244" i="8"/>
  <c r="E243" i="8"/>
  <c r="L243" i="8"/>
  <c r="E242" i="8"/>
  <c r="L242" i="8"/>
  <c r="E241" i="8"/>
  <c r="L241" i="8"/>
  <c r="E240" i="8"/>
  <c r="L240" i="8"/>
  <c r="E239" i="8"/>
  <c r="L239" i="8"/>
  <c r="E238" i="8"/>
  <c r="L238" i="8"/>
  <c r="E237" i="8"/>
  <c r="L237" i="8"/>
  <c r="E236" i="8"/>
  <c r="L236" i="8"/>
  <c r="E235" i="8"/>
  <c r="L235" i="8"/>
  <c r="E234" i="8"/>
  <c r="L234" i="8"/>
  <c r="E233" i="8"/>
  <c r="L233" i="8"/>
  <c r="E232" i="8"/>
  <c r="L232" i="8"/>
  <c r="E231" i="8"/>
  <c r="L231" i="8"/>
  <c r="E230" i="8"/>
  <c r="L230" i="8"/>
  <c r="E229" i="8"/>
  <c r="L229" i="8"/>
  <c r="E228" i="8"/>
  <c r="L228" i="8"/>
  <c r="E227" i="8"/>
  <c r="L227" i="8"/>
  <c r="E226" i="8"/>
  <c r="L226" i="8"/>
  <c r="E225" i="8"/>
  <c r="L225" i="8"/>
  <c r="E224" i="8"/>
  <c r="L224" i="8"/>
  <c r="E223" i="8"/>
  <c r="L223" i="8"/>
  <c r="E222" i="8"/>
  <c r="L222" i="8"/>
  <c r="E221" i="8"/>
  <c r="L221" i="8"/>
  <c r="E220" i="8"/>
  <c r="L220" i="8"/>
  <c r="E219" i="8"/>
  <c r="L219" i="8"/>
  <c r="E218" i="8"/>
  <c r="L218" i="8"/>
  <c r="E217" i="8"/>
  <c r="L217" i="8"/>
  <c r="E216" i="8"/>
  <c r="L216" i="8"/>
  <c r="E215" i="8"/>
  <c r="L215" i="8"/>
  <c r="E214" i="8"/>
  <c r="L214" i="8"/>
  <c r="E213" i="8"/>
  <c r="L213" i="8"/>
  <c r="E212" i="8"/>
  <c r="L212" i="8"/>
  <c r="E211" i="8"/>
  <c r="L211" i="8"/>
  <c r="E210" i="8"/>
  <c r="L210" i="8"/>
  <c r="E209" i="8"/>
  <c r="L209" i="8"/>
  <c r="E208" i="8"/>
  <c r="L208" i="8"/>
  <c r="E207" i="8"/>
  <c r="L207" i="8"/>
  <c r="E206" i="8"/>
  <c r="L206" i="8"/>
  <c r="E205" i="8"/>
  <c r="L205" i="8"/>
  <c r="E204" i="8"/>
  <c r="L204" i="8"/>
  <c r="E203" i="8"/>
  <c r="L203" i="8"/>
  <c r="E202" i="8"/>
  <c r="L202" i="8"/>
  <c r="E201" i="8"/>
  <c r="L201" i="8"/>
  <c r="H277" i="8"/>
  <c r="I277" i="8" s="1"/>
  <c r="H276" i="8"/>
  <c r="I276" i="8" s="1"/>
  <c r="H275" i="8"/>
  <c r="I275" i="8" s="1"/>
  <c r="H274" i="8"/>
  <c r="I274" i="8" s="1"/>
  <c r="H273" i="8"/>
  <c r="I273" i="8" s="1"/>
  <c r="H272" i="8"/>
  <c r="I272" i="8" s="1"/>
  <c r="H271" i="8"/>
  <c r="I271" i="8" s="1"/>
  <c r="H269" i="8"/>
  <c r="I269" i="8" s="1"/>
  <c r="H270" i="8"/>
  <c r="I270" i="8" s="1"/>
  <c r="H264" i="8"/>
  <c r="I264" i="8" s="1"/>
  <c r="H265" i="8"/>
  <c r="I265" i="8" s="1"/>
  <c r="H262" i="8"/>
  <c r="I262" i="8" s="1"/>
  <c r="H263" i="8"/>
  <c r="I263" i="8" s="1"/>
  <c r="H258" i="8"/>
  <c r="I258" i="8" s="1"/>
  <c r="H257" i="8"/>
  <c r="I257" i="8" s="1"/>
  <c r="H256" i="8"/>
  <c r="I256" i="8" s="1"/>
  <c r="H254" i="8"/>
  <c r="I254" i="8" s="1"/>
  <c r="H255" i="8"/>
  <c r="I255" i="8" s="1"/>
  <c r="H252" i="8"/>
  <c r="I252" i="8" s="1"/>
  <c r="H244" i="8"/>
  <c r="I244" i="8" s="1"/>
  <c r="H201" i="8"/>
  <c r="I201" i="8" s="1"/>
  <c r="H243" i="8"/>
  <c r="I243" i="8" s="1"/>
  <c r="H242" i="8"/>
  <c r="I242" i="8" s="1"/>
  <c r="H241" i="8"/>
  <c r="I241" i="8" s="1"/>
  <c r="H240" i="8"/>
  <c r="I240" i="8" s="1"/>
  <c r="H239" i="8"/>
  <c r="I239" i="8" s="1"/>
  <c r="H238" i="8"/>
  <c r="I238" i="8" s="1"/>
  <c r="H237" i="8"/>
  <c r="I237" i="8" s="1"/>
  <c r="H236" i="8"/>
  <c r="I236" i="8" s="1"/>
  <c r="H235" i="8"/>
  <c r="I235" i="8" s="1"/>
  <c r="H234" i="8"/>
  <c r="I234" i="8" s="1"/>
  <c r="H233" i="8"/>
  <c r="I233" i="8" s="1"/>
  <c r="H232" i="8"/>
  <c r="I232" i="8" s="1"/>
  <c r="H231" i="8"/>
  <c r="I231" i="8" s="1"/>
  <c r="H230" i="8"/>
  <c r="I230" i="8" s="1"/>
  <c r="H228" i="8"/>
  <c r="I228" i="8" s="1"/>
  <c r="H229" i="8"/>
  <c r="I229" i="8" s="1"/>
  <c r="H214" i="8"/>
  <c r="I214" i="8" s="1"/>
  <c r="H213" i="8"/>
  <c r="I213" i="8" s="1"/>
  <c r="H211" i="8"/>
  <c r="I211" i="8" s="1"/>
  <c r="H212" i="8"/>
  <c r="I212" i="8" s="1"/>
  <c r="H210" i="8"/>
  <c r="I210" i="8" s="1"/>
  <c r="H209" i="8"/>
  <c r="I209" i="8" s="1"/>
  <c r="H207" i="8"/>
  <c r="I207" i="8" s="1"/>
  <c r="H208" i="8"/>
  <c r="I208" i="8" s="1"/>
  <c r="H206" i="8"/>
  <c r="I206" i="8" s="1"/>
  <c r="H84" i="8"/>
  <c r="I84" i="8" s="1"/>
  <c r="H85" i="8"/>
  <c r="I85" i="8" s="1"/>
  <c r="H82" i="8"/>
  <c r="I82" i="8" s="1"/>
  <c r="H83" i="8"/>
  <c r="I83" i="8" s="1"/>
  <c r="H79" i="8"/>
  <c r="I79" i="8" s="1"/>
  <c r="H78" i="8"/>
  <c r="I78" i="8" s="1"/>
  <c r="H77" i="8"/>
  <c r="I77" i="8" s="1"/>
  <c r="H76" i="8"/>
  <c r="I76" i="8" s="1"/>
  <c r="H75" i="8"/>
  <c r="I75" i="8" s="1"/>
  <c r="H74" i="8"/>
  <c r="I74" i="8" s="1"/>
  <c r="H73" i="8"/>
  <c r="I73" i="8" s="1"/>
  <c r="H72" i="8"/>
  <c r="I72" i="8" s="1"/>
  <c r="H71" i="8"/>
  <c r="I71" i="8" s="1"/>
  <c r="H70" i="8"/>
  <c r="I70" i="8" s="1"/>
  <c r="H68" i="8"/>
  <c r="I68" i="8" s="1"/>
  <c r="H69" i="8"/>
  <c r="I69" i="8" s="1"/>
  <c r="H65" i="8"/>
  <c r="I65" i="8" s="1"/>
  <c r="H66" i="8"/>
  <c r="I66" i="8" s="1"/>
  <c r="H62" i="8"/>
  <c r="I62" i="8" s="1"/>
  <c r="H63" i="8"/>
  <c r="I63" i="8" s="1"/>
  <c r="H52" i="8"/>
  <c r="I52" i="8" s="1"/>
  <c r="H53" i="8"/>
  <c r="I53" i="8" s="1"/>
  <c r="H48" i="8"/>
  <c r="I48" i="8" s="1"/>
  <c r="H49" i="8"/>
  <c r="I49" i="8" s="1"/>
  <c r="H41" i="8"/>
  <c r="I41" i="8" s="1"/>
  <c r="H40" i="8"/>
  <c r="I40" i="8" s="1"/>
  <c r="H39" i="8"/>
  <c r="I39" i="8" s="1"/>
  <c r="H38" i="8"/>
  <c r="I38" i="8" s="1"/>
  <c r="H37" i="8"/>
  <c r="I37" i="8" s="1"/>
  <c r="H36" i="8"/>
  <c r="I36" i="8" s="1"/>
  <c r="H35" i="8"/>
  <c r="I35" i="8" s="1"/>
  <c r="H34" i="8"/>
  <c r="I34" i="8" s="1"/>
  <c r="H33" i="8"/>
  <c r="I33" i="8" s="1"/>
  <c r="H31" i="8"/>
  <c r="I31" i="8" s="1"/>
  <c r="H32" i="8"/>
  <c r="I32" i="8" s="1"/>
  <c r="H23" i="8"/>
  <c r="I23" i="8" s="1"/>
  <c r="H22" i="8"/>
  <c r="I22" i="8" s="1"/>
  <c r="H21" i="8"/>
  <c r="I21" i="8" s="1"/>
  <c r="H20" i="8"/>
  <c r="I20" i="8" s="1"/>
  <c r="H19" i="8"/>
  <c r="I19" i="8" s="1"/>
  <c r="H18" i="8"/>
  <c r="I18" i="8" s="1"/>
  <c r="H17" i="8"/>
  <c r="I17" i="8" s="1"/>
  <c r="H16" i="8"/>
  <c r="I16" i="8" s="1"/>
  <c r="H15" i="8"/>
  <c r="I15" i="8" s="1"/>
  <c r="H14" i="8"/>
  <c r="I14" i="8" s="1"/>
  <c r="H13" i="8"/>
  <c r="I13" i="8" s="1"/>
  <c r="H12" i="8"/>
  <c r="I12" i="8" s="1"/>
  <c r="H11" i="8"/>
  <c r="I11" i="8" s="1"/>
  <c r="H10" i="8"/>
  <c r="I10" i="8" s="1"/>
  <c r="H9" i="8"/>
  <c r="I9" i="8" s="1"/>
  <c r="H8" i="8"/>
  <c r="I8" i="8" s="1"/>
  <c r="H7" i="8"/>
  <c r="I7" i="8" s="1"/>
  <c r="H6" i="8"/>
  <c r="I6" i="8" s="1"/>
  <c r="H5" i="8"/>
  <c r="I5" i="8" s="1"/>
  <c r="H4" i="8"/>
  <c r="I4" i="8" s="1"/>
  <c r="H3" i="8"/>
  <c r="I3" i="8" s="1"/>
  <c r="G3" i="8"/>
  <c r="G4" i="8" s="1"/>
  <c r="G5" i="8" s="1"/>
  <c r="G6" i="8" s="1"/>
  <c r="G7" i="8" s="1"/>
  <c r="G8" i="8" s="1"/>
  <c r="G9" i="8" s="1"/>
  <c r="G10" i="8" s="1"/>
  <c r="G11" i="8" s="1"/>
  <c r="G12" i="8" s="1"/>
  <c r="G13" i="8" s="1"/>
  <c r="G14" i="8" s="1"/>
  <c r="G15" i="8" s="1"/>
  <c r="G16" i="8" s="1"/>
  <c r="G17" i="8" s="1"/>
  <c r="G18" i="8" s="1"/>
  <c r="G19" i="8" s="1"/>
  <c r="G20" i="8" s="1"/>
  <c r="G21" i="8" s="1"/>
  <c r="G22" i="8" s="1"/>
  <c r="G23" i="8" s="1"/>
  <c r="G24" i="8" s="1"/>
  <c r="G25" i="8" s="1"/>
  <c r="G26" i="8" s="1"/>
  <c r="G27" i="8" s="1"/>
  <c r="G28" i="8" s="1"/>
  <c r="G29" i="8" s="1"/>
  <c r="G30" i="8" s="1"/>
  <c r="G31" i="8" s="1"/>
  <c r="G32" i="8" s="1"/>
  <c r="G33" i="8" s="1"/>
  <c r="G34" i="8" s="1"/>
  <c r="G35" i="8" s="1"/>
  <c r="G36" i="8" s="1"/>
  <c r="G37" i="8" s="1"/>
  <c r="G38" i="8" s="1"/>
  <c r="G39" i="8" s="1"/>
  <c r="G40" i="8" s="1"/>
  <c r="G41" i="8" s="1"/>
  <c r="G42" i="8" s="1"/>
  <c r="G43" i="8" s="1"/>
  <c r="G44" i="8" s="1"/>
  <c r="G45" i="8" s="1"/>
  <c r="G46" i="8" s="1"/>
  <c r="G47" i="8" s="1"/>
  <c r="G48" i="8" s="1"/>
  <c r="G49" i="8" s="1"/>
  <c r="G50" i="8" s="1"/>
  <c r="G51" i="8" s="1"/>
  <c r="G52" i="8" s="1"/>
  <c r="G53" i="8" s="1"/>
  <c r="G54" i="8" s="1"/>
  <c r="G55" i="8" s="1"/>
  <c r="G56" i="8" s="1"/>
  <c r="G57" i="8" s="1"/>
  <c r="G58" i="8" s="1"/>
  <c r="G59" i="8" s="1"/>
  <c r="G60" i="8" s="1"/>
  <c r="G61" i="8" s="1"/>
  <c r="G62" i="8" s="1"/>
  <c r="G63" i="8" s="1"/>
  <c r="G64" i="8" s="1"/>
  <c r="G65" i="8" s="1"/>
  <c r="G66" i="8" s="1"/>
  <c r="G67" i="8" s="1"/>
  <c r="G68" i="8" s="1"/>
  <c r="G69" i="8" s="1"/>
  <c r="G70" i="8" s="1"/>
  <c r="G71" i="8" s="1"/>
  <c r="G72" i="8" s="1"/>
  <c r="G73" i="8" s="1"/>
  <c r="G74" i="8" s="1"/>
  <c r="G75" i="8" s="1"/>
  <c r="G76" i="8" s="1"/>
  <c r="G77" i="8" s="1"/>
  <c r="G78" i="8" s="1"/>
  <c r="G79" i="8" s="1"/>
  <c r="G80" i="8" s="1"/>
  <c r="G81" i="8" s="1"/>
  <c r="G82" i="8" s="1"/>
  <c r="G83" i="8" s="1"/>
  <c r="G84" i="8" s="1"/>
  <c r="G85" i="8" s="1"/>
  <c r="G86" i="8" s="1"/>
  <c r="G87" i="8" s="1"/>
  <c r="G88" i="8" s="1"/>
  <c r="G89" i="8" s="1"/>
  <c r="G90" i="8" s="1"/>
  <c r="G91" i="8" s="1"/>
  <c r="G92" i="8" s="1"/>
  <c r="G93" i="8" s="1"/>
  <c r="G94" i="8" s="1"/>
  <c r="G95" i="8" s="1"/>
  <c r="G96" i="8" s="1"/>
  <c r="G97" i="8" s="1"/>
  <c r="G98" i="8" s="1"/>
  <c r="G99" i="8" s="1"/>
  <c r="G100" i="8" s="1"/>
  <c r="G101" i="8" s="1"/>
  <c r="G102" i="8" s="1"/>
  <c r="G103" i="8" s="1"/>
  <c r="G104" i="8" s="1"/>
  <c r="G105" i="8" s="1"/>
  <c r="G106" i="8" s="1"/>
  <c r="G107" i="8" s="1"/>
  <c r="G108" i="8" s="1"/>
  <c r="G109" i="8" s="1"/>
  <c r="G110" i="8" s="1"/>
  <c r="G111" i="8" s="1"/>
  <c r="G112" i="8" s="1"/>
  <c r="G113" i="8" s="1"/>
  <c r="G114" i="8" s="1"/>
  <c r="G115" i="8" s="1"/>
  <c r="G116" i="8" s="1"/>
  <c r="G117" i="8" s="1"/>
  <c r="G118" i="8" s="1"/>
  <c r="G119" i="8" s="1"/>
  <c r="G120" i="8" s="1"/>
  <c r="G121" i="8" s="1"/>
  <c r="G122" i="8" s="1"/>
  <c r="G123" i="8" s="1"/>
  <c r="G124" i="8" s="1"/>
  <c r="G125" i="8" s="1"/>
  <c r="G126" i="8" s="1"/>
  <c r="G127" i="8" s="1"/>
  <c r="G128" i="8" s="1"/>
  <c r="G129" i="8" s="1"/>
  <c r="G130" i="8" s="1"/>
  <c r="G131" i="8" s="1"/>
  <c r="G132" i="8" s="1"/>
  <c r="G133" i="8" s="1"/>
  <c r="G134" i="8" s="1"/>
  <c r="G135" i="8" s="1"/>
  <c r="G136" i="8" s="1"/>
  <c r="G137" i="8" s="1"/>
  <c r="G138" i="8" s="1"/>
  <c r="G139" i="8" s="1"/>
  <c r="G140" i="8" s="1"/>
  <c r="G141" i="8" s="1"/>
  <c r="G142" i="8" s="1"/>
  <c r="G143" i="8" s="1"/>
  <c r="G144" i="8" s="1"/>
  <c r="G145" i="8" s="1"/>
  <c r="G146" i="8" s="1"/>
  <c r="G147" i="8" s="1"/>
  <c r="G148" i="8" s="1"/>
  <c r="G149" i="8" s="1"/>
  <c r="G150" i="8" s="1"/>
  <c r="G151" i="8" s="1"/>
  <c r="G152" i="8" s="1"/>
  <c r="G153" i="8" s="1"/>
  <c r="G154" i="8" s="1"/>
  <c r="G155" i="8" s="1"/>
  <c r="G156" i="8" s="1"/>
  <c r="G157" i="8" s="1"/>
  <c r="G158" i="8" s="1"/>
  <c r="G159" i="8" s="1"/>
  <c r="G160" i="8" s="1"/>
  <c r="G161" i="8" s="1"/>
  <c r="G162" i="8" s="1"/>
  <c r="G163" i="8" s="1"/>
  <c r="G164" i="8" s="1"/>
  <c r="G165" i="8" s="1"/>
  <c r="G166" i="8" s="1"/>
  <c r="G167" i="8" s="1"/>
  <c r="G168" i="8" s="1"/>
  <c r="G169" i="8" s="1"/>
  <c r="G170" i="8" s="1"/>
  <c r="G171" i="8" s="1"/>
  <c r="G172" i="8" s="1"/>
  <c r="G173" i="8" s="1"/>
  <c r="G174" i="8" s="1"/>
  <c r="G175" i="8" s="1"/>
  <c r="G176" i="8" s="1"/>
  <c r="G177" i="8" s="1"/>
  <c r="G178" i="8" s="1"/>
  <c r="G179" i="8" s="1"/>
  <c r="G180" i="8" s="1"/>
  <c r="G181" i="8" s="1"/>
  <c r="G182" i="8" s="1"/>
  <c r="G183" i="8" s="1"/>
  <c r="G184" i="8" s="1"/>
  <c r="G185" i="8" s="1"/>
  <c r="G186" i="8" s="1"/>
  <c r="G187" i="8" s="1"/>
  <c r="G188" i="8" s="1"/>
  <c r="G189" i="8" s="1"/>
  <c r="G190" i="8" s="1"/>
  <c r="G191" i="8" s="1"/>
  <c r="G192" i="8" s="1"/>
  <c r="G193" i="8" s="1"/>
  <c r="G194" i="8" s="1"/>
  <c r="G195" i="8" s="1"/>
  <c r="G196" i="8" s="1"/>
  <c r="G197" i="8" s="1"/>
  <c r="G198" i="8" s="1"/>
  <c r="G199" i="8" s="1"/>
  <c r="G200" i="8" s="1"/>
  <c r="G201" i="8" s="1"/>
  <c r="G202" i="8" s="1"/>
  <c r="G203" i="8" s="1"/>
  <c r="G204" i="8" s="1"/>
  <c r="G205" i="8" s="1"/>
  <c r="G206" i="8" s="1"/>
  <c r="G207" i="8" s="1"/>
  <c r="G208" i="8" s="1"/>
  <c r="G209" i="8" s="1"/>
  <c r="G210" i="8" s="1"/>
  <c r="G211" i="8" s="1"/>
  <c r="G212" i="8" s="1"/>
  <c r="G213" i="8" s="1"/>
  <c r="G214" i="8" s="1"/>
  <c r="G215" i="8" s="1"/>
  <c r="G216" i="8" s="1"/>
  <c r="G217" i="8" s="1"/>
  <c r="G218" i="8" s="1"/>
  <c r="G219" i="8" s="1"/>
  <c r="G220" i="8" s="1"/>
  <c r="G221" i="8" s="1"/>
  <c r="G222" i="8" s="1"/>
  <c r="G223" i="8" s="1"/>
  <c r="G224" i="8" s="1"/>
  <c r="G225" i="8" s="1"/>
  <c r="G226" i="8" s="1"/>
  <c r="G227" i="8" s="1"/>
  <c r="G228" i="8" s="1"/>
  <c r="G229" i="8" s="1"/>
  <c r="G230" i="8" s="1"/>
  <c r="G231" i="8" s="1"/>
  <c r="G232" i="8" s="1"/>
  <c r="G233" i="8" s="1"/>
  <c r="G234" i="8" s="1"/>
  <c r="G235" i="8" s="1"/>
  <c r="G236" i="8" s="1"/>
  <c r="G237" i="8" s="1"/>
  <c r="G238" i="8" s="1"/>
  <c r="G239" i="8" s="1"/>
  <c r="G240" i="8" s="1"/>
  <c r="G241" i="8" s="1"/>
  <c r="G242" i="8" s="1"/>
  <c r="G243" i="8" s="1"/>
  <c r="G244" i="8" s="1"/>
  <c r="G245" i="8" s="1"/>
  <c r="G246" i="8" s="1"/>
  <c r="G247" i="8" s="1"/>
  <c r="G248" i="8" s="1"/>
  <c r="G249" i="8" s="1"/>
  <c r="G250" i="8" s="1"/>
  <c r="G251" i="8" s="1"/>
  <c r="G252" i="8" s="1"/>
  <c r="G253" i="8" s="1"/>
  <c r="G254" i="8" s="1"/>
  <c r="G255" i="8" s="1"/>
  <c r="G256" i="8" s="1"/>
  <c r="G257" i="8" s="1"/>
  <c r="G258" i="8" s="1"/>
  <c r="G259" i="8" s="1"/>
  <c r="G260" i="8" s="1"/>
  <c r="G261" i="8" s="1"/>
  <c r="G262" i="8" s="1"/>
  <c r="G263" i="8" s="1"/>
  <c r="G264" i="8" s="1"/>
  <c r="G265" i="8" s="1"/>
  <c r="G266" i="8" s="1"/>
  <c r="G267" i="8" s="1"/>
  <c r="G268" i="8" s="1"/>
  <c r="G269" i="8" s="1"/>
  <c r="G270" i="8" s="1"/>
  <c r="G271" i="8" s="1"/>
  <c r="G272" i="8" s="1"/>
  <c r="G273" i="8" s="1"/>
  <c r="G274" i="8" s="1"/>
  <c r="G275" i="8" s="1"/>
  <c r="G276" i="8" s="1"/>
  <c r="G277" i="8" s="1"/>
  <c r="G278" i="8" s="1"/>
  <c r="M2" i="10" l="1"/>
  <c r="H2" i="10"/>
  <c r="I2" i="10"/>
  <c r="K2" i="10"/>
  <c r="L2" i="10" s="1"/>
  <c r="B8" i="1"/>
  <c r="B9" i="1" s="1"/>
  <c r="G14" i="1"/>
  <c r="B48" i="1"/>
  <c r="B47" i="1"/>
  <c r="B46" i="1"/>
  <c r="B18" i="1" s="1"/>
  <c r="G11" i="1"/>
  <c r="G9" i="1"/>
  <c r="G8" i="1"/>
  <c r="G7" i="1"/>
  <c r="B42" i="1"/>
  <c r="N2" i="10" l="1"/>
  <c r="O2" i="10"/>
  <c r="Q2" i="10"/>
  <c r="R2" i="10" s="1"/>
  <c r="G15" i="1"/>
  <c r="G19" i="1" s="1"/>
  <c r="G20" i="1"/>
  <c r="H19" i="1"/>
  <c r="I19" i="1"/>
  <c r="I20" i="1"/>
  <c r="B50" i="1"/>
  <c r="E15" i="1" s="1"/>
  <c r="B49" i="1"/>
  <c r="E14" i="1" s="1"/>
  <c r="H8" i="1"/>
  <c r="H7" i="1"/>
  <c r="H9" i="1"/>
  <c r="S2" i="10" l="1"/>
  <c r="T2" i="10" s="1"/>
  <c r="P2" i="10"/>
  <c r="F159" i="10"/>
  <c r="F95" i="10"/>
  <c r="F155" i="10"/>
  <c r="F91" i="10"/>
  <c r="F56" i="10"/>
  <c r="F87" i="10"/>
  <c r="F23" i="10"/>
  <c r="F230" i="10"/>
  <c r="F166" i="10"/>
  <c r="F53" i="10"/>
  <c r="F19" i="10"/>
  <c r="F234" i="10"/>
  <c r="F168" i="10"/>
  <c r="F58" i="10"/>
  <c r="F232" i="10"/>
  <c r="F158" i="10"/>
  <c r="F94" i="10"/>
  <c r="F237" i="10"/>
  <c r="F15" i="10"/>
  <c r="F162" i="10"/>
  <c r="F57" i="10"/>
  <c r="F86" i="10"/>
  <c r="F22" i="10"/>
  <c r="F229" i="10"/>
  <c r="F165" i="10"/>
  <c r="F52" i="10"/>
  <c r="F90" i="10"/>
  <c r="F24" i="10"/>
  <c r="F54" i="10"/>
  <c r="F20" i="10"/>
  <c r="F157" i="10"/>
  <c r="F93" i="10"/>
  <c r="F236" i="10"/>
  <c r="F59" i="10"/>
  <c r="F18" i="10"/>
  <c r="F233" i="10"/>
  <c r="F16" i="10"/>
  <c r="F55" i="10"/>
  <c r="F21" i="10"/>
  <c r="F228" i="10"/>
  <c r="F164" i="10"/>
  <c r="F51" i="10"/>
  <c r="F14" i="10"/>
  <c r="F161" i="10"/>
  <c r="F88" i="10"/>
  <c r="F96" i="10"/>
  <c r="F167" i="10"/>
  <c r="F163" i="10"/>
  <c r="F156" i="10"/>
  <c r="F92" i="10"/>
  <c r="F235" i="10"/>
  <c r="F89" i="10"/>
  <c r="F25" i="10"/>
  <c r="F160" i="10"/>
  <c r="F231" i="10"/>
  <c r="F17" i="10"/>
  <c r="F253" i="10"/>
  <c r="F204" i="10"/>
  <c r="F219" i="10"/>
  <c r="F265" i="10"/>
  <c r="F201" i="10"/>
  <c r="F216" i="10"/>
  <c r="F250" i="10"/>
  <c r="F209" i="10"/>
  <c r="F4" i="10"/>
  <c r="F215" i="10"/>
  <c r="F245" i="10"/>
  <c r="F260" i="10"/>
  <c r="F196" i="10"/>
  <c r="F211" i="10"/>
  <c r="F257" i="10"/>
  <c r="F193" i="10"/>
  <c r="F5" i="10"/>
  <c r="F208" i="10"/>
  <c r="F207" i="10"/>
  <c r="F222" i="10"/>
  <c r="F252" i="10"/>
  <c r="F203" i="10"/>
  <c r="F249" i="10"/>
  <c r="F200" i="10"/>
  <c r="F263" i="10"/>
  <c r="F199" i="10"/>
  <c r="F3" i="10"/>
  <c r="F214" i="10"/>
  <c r="F244" i="10"/>
  <c r="F259" i="10"/>
  <c r="F195" i="10"/>
  <c r="F218" i="10"/>
  <c r="F264" i="10"/>
  <c r="F246" i="10"/>
  <c r="F197" i="10"/>
  <c r="F212" i="10"/>
  <c r="F255" i="10"/>
  <c r="F206" i="10"/>
  <c r="F221" i="10"/>
  <c r="F251" i="10"/>
  <c r="F210" i="10"/>
  <c r="F256" i="10"/>
  <c r="F247" i="10"/>
  <c r="F262" i="10"/>
  <c r="F198" i="10"/>
  <c r="F277" i="10"/>
  <c r="F213" i="10"/>
  <c r="F243" i="10"/>
  <c r="F266" i="10"/>
  <c r="F202" i="10"/>
  <c r="F248" i="10"/>
  <c r="F276" i="10"/>
  <c r="F254" i="10"/>
  <c r="F205" i="10"/>
  <c r="F220" i="10"/>
  <c r="F258" i="10"/>
  <c r="F194" i="10"/>
  <c r="F6" i="10"/>
  <c r="F217" i="10"/>
  <c r="F261" i="10"/>
  <c r="F12" i="10"/>
  <c r="F223" i="10"/>
  <c r="F31" i="10"/>
  <c r="F238" i="10"/>
  <c r="F174" i="10"/>
  <c r="F110" i="10"/>
  <c r="F46" i="10"/>
  <c r="F189" i="10"/>
  <c r="F125" i="10"/>
  <c r="F61" i="10"/>
  <c r="F268" i="10"/>
  <c r="F140" i="10"/>
  <c r="F76" i="10"/>
  <c r="F8" i="10"/>
  <c r="F27" i="10"/>
  <c r="F242" i="10"/>
  <c r="F178" i="10"/>
  <c r="F114" i="10"/>
  <c r="F50" i="10"/>
  <c r="F137" i="10"/>
  <c r="F73" i="10"/>
  <c r="F13" i="10"/>
  <c r="F144" i="10"/>
  <c r="F182" i="10"/>
  <c r="F133" i="10"/>
  <c r="F84" i="10"/>
  <c r="F224" i="10"/>
  <c r="F151" i="10"/>
  <c r="F102" i="10"/>
  <c r="F38" i="10"/>
  <c r="F181" i="10"/>
  <c r="F117" i="10"/>
  <c r="F132" i="10"/>
  <c r="F68" i="10"/>
  <c r="F275" i="10"/>
  <c r="F147" i="10"/>
  <c r="F83" i="10"/>
  <c r="F170" i="10"/>
  <c r="F106" i="10"/>
  <c r="F42" i="10"/>
  <c r="F129" i="10"/>
  <c r="F65" i="10"/>
  <c r="F136" i="10"/>
  <c r="F48" i="10"/>
  <c r="F40" i="10"/>
  <c r="F39" i="10"/>
  <c r="F69" i="10"/>
  <c r="F227" i="10"/>
  <c r="F271" i="10"/>
  <c r="F143" i="10"/>
  <c r="F79" i="10"/>
  <c r="F11" i="10"/>
  <c r="F30" i="10"/>
  <c r="F173" i="10"/>
  <c r="F109" i="10"/>
  <c r="F45" i="10"/>
  <c r="F188" i="10"/>
  <c r="F124" i="10"/>
  <c r="F60" i="10"/>
  <c r="F267" i="10"/>
  <c r="F139" i="10"/>
  <c r="F75" i="10"/>
  <c r="F226" i="10"/>
  <c r="F98" i="10"/>
  <c r="F34" i="10"/>
  <c r="F185" i="10"/>
  <c r="F121" i="10"/>
  <c r="F272" i="10"/>
  <c r="F128" i="10"/>
  <c r="F32" i="10"/>
  <c r="F118" i="10"/>
  <c r="F145" i="10"/>
  <c r="F80" i="10"/>
  <c r="F135" i="10"/>
  <c r="F71" i="10"/>
  <c r="F150" i="10"/>
  <c r="F101" i="10"/>
  <c r="F37" i="10"/>
  <c r="F180" i="10"/>
  <c r="F116" i="10"/>
  <c r="F131" i="10"/>
  <c r="F67" i="10"/>
  <c r="F7" i="10"/>
  <c r="F154" i="10"/>
  <c r="F26" i="10"/>
  <c r="F241" i="10"/>
  <c r="F177" i="10"/>
  <c r="F113" i="10"/>
  <c r="F49" i="10"/>
  <c r="F192" i="10"/>
  <c r="F120" i="10"/>
  <c r="F112" i="10"/>
  <c r="F186" i="10"/>
  <c r="F81" i="10"/>
  <c r="F191" i="10"/>
  <c r="F127" i="10"/>
  <c r="F63" i="10"/>
  <c r="F270" i="10"/>
  <c r="F142" i="10"/>
  <c r="F78" i="10"/>
  <c r="F10" i="10"/>
  <c r="F29" i="10"/>
  <c r="F172" i="10"/>
  <c r="F108" i="10"/>
  <c r="F44" i="10"/>
  <c r="F187" i="10"/>
  <c r="F123" i="10"/>
  <c r="F274" i="10"/>
  <c r="F146" i="10"/>
  <c r="F82" i="10"/>
  <c r="F169" i="10"/>
  <c r="F105" i="10"/>
  <c r="F41" i="10"/>
  <c r="F184" i="10"/>
  <c r="F104" i="10"/>
  <c r="F103" i="10"/>
  <c r="F35" i="10"/>
  <c r="F64" i="10"/>
  <c r="F183" i="10"/>
  <c r="F119" i="10"/>
  <c r="F134" i="10"/>
  <c r="F70" i="10"/>
  <c r="F149" i="10"/>
  <c r="F85" i="10"/>
  <c r="F100" i="10"/>
  <c r="F36" i="10"/>
  <c r="F179" i="10"/>
  <c r="F115" i="10"/>
  <c r="F138" i="10"/>
  <c r="F74" i="10"/>
  <c r="F225" i="10"/>
  <c r="F97" i="10"/>
  <c r="F33" i="10"/>
  <c r="F176" i="10"/>
  <c r="F273" i="10"/>
  <c r="F152" i="10"/>
  <c r="F239" i="10"/>
  <c r="F175" i="10"/>
  <c r="F111" i="10"/>
  <c r="F47" i="10"/>
  <c r="F190" i="10"/>
  <c r="F126" i="10"/>
  <c r="F62" i="10"/>
  <c r="F269" i="10"/>
  <c r="F141" i="10"/>
  <c r="F77" i="10"/>
  <c r="F9" i="10"/>
  <c r="F28" i="10"/>
  <c r="F171" i="10"/>
  <c r="F107" i="10"/>
  <c r="F43" i="10"/>
  <c r="F130" i="10"/>
  <c r="F66" i="10"/>
  <c r="F153" i="10"/>
  <c r="F240" i="10"/>
  <c r="F72" i="10"/>
  <c r="F148" i="10"/>
  <c r="F99" i="10"/>
  <c r="F122" i="10"/>
  <c r="R200" i="8"/>
  <c r="R199" i="8"/>
  <c r="R198" i="8"/>
  <c r="R197" i="8"/>
  <c r="R196" i="8"/>
  <c r="R162" i="8"/>
  <c r="R160" i="8"/>
  <c r="R13" i="8"/>
  <c r="R277" i="8"/>
  <c r="R276" i="8"/>
  <c r="R275" i="8"/>
  <c r="R274" i="8"/>
  <c r="R273" i="8"/>
  <c r="R272" i="8"/>
  <c r="R271" i="8"/>
  <c r="R270" i="8"/>
  <c r="R269" i="8"/>
  <c r="R268" i="8"/>
  <c r="R267" i="8"/>
  <c r="R266" i="8"/>
  <c r="R265" i="8"/>
  <c r="R264" i="8"/>
  <c r="R263" i="8"/>
  <c r="R262" i="8"/>
  <c r="R261" i="8"/>
  <c r="R260" i="8"/>
  <c r="R259" i="8"/>
  <c r="R258" i="8"/>
  <c r="R257" i="8"/>
  <c r="R256" i="8"/>
  <c r="R255" i="8"/>
  <c r="R254" i="8"/>
  <c r="R253" i="8"/>
  <c r="R252" i="8"/>
  <c r="R251" i="8"/>
  <c r="R250" i="8"/>
  <c r="R249" i="8"/>
  <c r="R248" i="8"/>
  <c r="R247" i="8"/>
  <c r="R246" i="8"/>
  <c r="R245" i="8"/>
  <c r="R244" i="8"/>
  <c r="R243" i="8"/>
  <c r="R242" i="8"/>
  <c r="R241" i="8"/>
  <c r="R240" i="8"/>
  <c r="R239" i="8"/>
  <c r="R238" i="8"/>
  <c r="R237" i="8"/>
  <c r="R236" i="8"/>
  <c r="R235" i="8"/>
  <c r="R234" i="8"/>
  <c r="R233" i="8"/>
  <c r="R232" i="8"/>
  <c r="R231" i="8"/>
  <c r="R230" i="8"/>
  <c r="R229" i="8"/>
  <c r="R228" i="8"/>
  <c r="R227" i="8"/>
  <c r="R226" i="8"/>
  <c r="R225" i="8"/>
  <c r="R224" i="8"/>
  <c r="R223" i="8"/>
  <c r="R222" i="8"/>
  <c r="R221" i="8"/>
  <c r="R220" i="8"/>
  <c r="R219" i="8"/>
  <c r="R218" i="8"/>
  <c r="R217" i="8"/>
  <c r="R216" i="8"/>
  <c r="R215" i="8"/>
  <c r="R214" i="8"/>
  <c r="R213" i="8"/>
  <c r="R212" i="8"/>
  <c r="R211" i="8"/>
  <c r="R210" i="8"/>
  <c r="R209" i="8"/>
  <c r="R208" i="8"/>
  <c r="R207" i="8"/>
  <c r="R206" i="8"/>
  <c r="R205" i="8"/>
  <c r="R204" i="8"/>
  <c r="R203" i="8"/>
  <c r="R202" i="8"/>
  <c r="R201" i="8"/>
  <c r="R2" i="8"/>
  <c r="R3" i="8"/>
  <c r="R5" i="8"/>
  <c r="R4" i="8"/>
  <c r="R195" i="8"/>
  <c r="R194" i="8"/>
  <c r="R193" i="8"/>
  <c r="R192" i="8"/>
  <c r="R191" i="8"/>
  <c r="R190" i="8"/>
  <c r="R189" i="8"/>
  <c r="R188" i="8"/>
  <c r="R187" i="8"/>
  <c r="R186" i="8"/>
  <c r="R185" i="8"/>
  <c r="R184" i="8"/>
  <c r="R183" i="8"/>
  <c r="R182" i="8"/>
  <c r="R181" i="8"/>
  <c r="R180" i="8"/>
  <c r="R179" i="8"/>
  <c r="R178" i="8"/>
  <c r="R177" i="8"/>
  <c r="R176" i="8"/>
  <c r="R175" i="8"/>
  <c r="R174" i="8"/>
  <c r="R173" i="8"/>
  <c r="R172" i="8"/>
  <c r="R171" i="8"/>
  <c r="R170" i="8"/>
  <c r="R169" i="8"/>
  <c r="R168" i="8"/>
  <c r="R167" i="8"/>
  <c r="R166" i="8"/>
  <c r="R165" i="8"/>
  <c r="R164" i="8"/>
  <c r="R163" i="8"/>
  <c r="R161" i="8"/>
  <c r="R159" i="8"/>
  <c r="R158" i="8"/>
  <c r="R157" i="8"/>
  <c r="R156" i="8"/>
  <c r="R155" i="8"/>
  <c r="R154" i="8"/>
  <c r="R153" i="8"/>
  <c r="R152" i="8"/>
  <c r="R151" i="8"/>
  <c r="R150" i="8"/>
  <c r="R149" i="8"/>
  <c r="R148" i="8"/>
  <c r="R147" i="8"/>
  <c r="R146" i="8"/>
  <c r="R145" i="8"/>
  <c r="R144" i="8"/>
  <c r="R143" i="8"/>
  <c r="R142" i="8"/>
  <c r="R141" i="8"/>
  <c r="R140" i="8"/>
  <c r="R139" i="8"/>
  <c r="R138" i="8"/>
  <c r="R137" i="8"/>
  <c r="R136" i="8"/>
  <c r="R135" i="8"/>
  <c r="R134" i="8"/>
  <c r="R133" i="8"/>
  <c r="R132" i="8"/>
  <c r="R131" i="8"/>
  <c r="R130" i="8"/>
  <c r="R129" i="8"/>
  <c r="R128" i="8"/>
  <c r="R127" i="8"/>
  <c r="R126" i="8"/>
  <c r="R125" i="8"/>
  <c r="R124" i="8"/>
  <c r="R123" i="8"/>
  <c r="R122" i="8"/>
  <c r="R121" i="8"/>
  <c r="R120" i="8"/>
  <c r="R119" i="8"/>
  <c r="R118" i="8"/>
  <c r="R117" i="8"/>
  <c r="R116" i="8"/>
  <c r="R115" i="8"/>
  <c r="R114" i="8"/>
  <c r="R113" i="8"/>
  <c r="R112" i="8"/>
  <c r="R111" i="8"/>
  <c r="R110" i="8"/>
  <c r="R109" i="8"/>
  <c r="R108" i="8"/>
  <c r="R107" i="8"/>
  <c r="R106" i="8"/>
  <c r="R105" i="8"/>
  <c r="R104" i="8"/>
  <c r="R103" i="8"/>
  <c r="R102" i="8"/>
  <c r="R101" i="8"/>
  <c r="R100" i="8"/>
  <c r="R99" i="8"/>
  <c r="R98" i="8"/>
  <c r="R97" i="8"/>
  <c r="R96" i="8"/>
  <c r="R95" i="8"/>
  <c r="R94" i="8"/>
  <c r="R93" i="8"/>
  <c r="R92" i="8"/>
  <c r="R91" i="8"/>
  <c r="R90" i="8"/>
  <c r="R89" i="8"/>
  <c r="R88" i="8"/>
  <c r="R87" i="8"/>
  <c r="R86" i="8"/>
  <c r="R85" i="8"/>
  <c r="R84" i="8"/>
  <c r="R83" i="8"/>
  <c r="R82" i="8"/>
  <c r="R81" i="8"/>
  <c r="R80" i="8"/>
  <c r="R79" i="8"/>
  <c r="R78" i="8"/>
  <c r="R77" i="8"/>
  <c r="R76" i="8"/>
  <c r="R75" i="8"/>
  <c r="R74" i="8"/>
  <c r="R73" i="8"/>
  <c r="R72" i="8"/>
  <c r="R71" i="8"/>
  <c r="R70" i="8"/>
  <c r="R69" i="8"/>
  <c r="R68" i="8"/>
  <c r="R67" i="8"/>
  <c r="R66" i="8"/>
  <c r="R65" i="8"/>
  <c r="R64" i="8"/>
  <c r="R63" i="8"/>
  <c r="R62" i="8"/>
  <c r="R61" i="8"/>
  <c r="R60" i="8"/>
  <c r="R59" i="8"/>
  <c r="R58" i="8"/>
  <c r="R57" i="8"/>
  <c r="R56" i="8"/>
  <c r="R55" i="8"/>
  <c r="R54" i="8"/>
  <c r="R53" i="8"/>
  <c r="R52" i="8"/>
  <c r="R51" i="8"/>
  <c r="R50" i="8"/>
  <c r="R49" i="8"/>
  <c r="R48" i="8"/>
  <c r="R47" i="8"/>
  <c r="R46" i="8"/>
  <c r="R45" i="8"/>
  <c r="R44" i="8"/>
  <c r="R43" i="8"/>
  <c r="R42" i="8"/>
  <c r="R41" i="8"/>
  <c r="R40" i="8"/>
  <c r="R39" i="8"/>
  <c r="R38" i="8"/>
  <c r="R37" i="8"/>
  <c r="R36" i="8"/>
  <c r="R35" i="8"/>
  <c r="R34" i="8"/>
  <c r="R33" i="8"/>
  <c r="R32" i="8"/>
  <c r="R31" i="8"/>
  <c r="R30" i="8"/>
  <c r="R29" i="8"/>
  <c r="R28" i="8"/>
  <c r="R27" i="8"/>
  <c r="R26" i="8"/>
  <c r="R25" i="8"/>
  <c r="R24" i="8"/>
  <c r="R23" i="8"/>
  <c r="R22" i="8"/>
  <c r="R21" i="8"/>
  <c r="R20" i="8"/>
  <c r="R19" i="8"/>
  <c r="R18" i="8"/>
  <c r="R17" i="8"/>
  <c r="R16" i="8"/>
  <c r="R15" i="8"/>
  <c r="R14" i="8"/>
  <c r="R12" i="8"/>
  <c r="R11" i="8"/>
  <c r="R10" i="8"/>
  <c r="R9" i="8"/>
  <c r="R8" i="8"/>
  <c r="R7" i="8"/>
  <c r="R6" i="8"/>
  <c r="R278" i="8"/>
  <c r="K231" i="8"/>
  <c r="K232" i="8"/>
  <c r="K233" i="8"/>
  <c r="K234" i="8"/>
  <c r="K230" i="8"/>
  <c r="K269" i="8"/>
  <c r="K270" i="8"/>
  <c r="K271" i="8"/>
  <c r="K272" i="8"/>
  <c r="K268" i="8"/>
  <c r="K157" i="8"/>
  <c r="K158" i="8"/>
  <c r="K159" i="8"/>
  <c r="K160" i="8"/>
  <c r="K156" i="8"/>
  <c r="K91" i="8"/>
  <c r="K92" i="8"/>
  <c r="K93" i="8"/>
  <c r="K94" i="8"/>
  <c r="K90" i="8"/>
  <c r="N58" i="8"/>
  <c r="N59" i="8"/>
  <c r="N60" i="8"/>
  <c r="N61" i="8"/>
  <c r="N62" i="8"/>
  <c r="N63" i="8"/>
  <c r="N64" i="8"/>
  <c r="N57" i="8"/>
  <c r="N183" i="8"/>
  <c r="N184" i="8"/>
  <c r="N185" i="8"/>
  <c r="N186" i="8"/>
  <c r="N187" i="8"/>
  <c r="N188" i="8"/>
  <c r="N189" i="8"/>
  <c r="N190" i="8"/>
  <c r="N191" i="8"/>
  <c r="N192" i="8"/>
  <c r="N193" i="8"/>
  <c r="N194" i="8"/>
  <c r="N195" i="8"/>
  <c r="N196" i="8"/>
  <c r="N197" i="8"/>
  <c r="N198" i="8"/>
  <c r="N199" i="8"/>
  <c r="N200" i="8"/>
  <c r="N201" i="8"/>
  <c r="N202" i="8"/>
  <c r="N203" i="8"/>
  <c r="N204" i="8"/>
  <c r="N205" i="8"/>
  <c r="N206" i="8"/>
  <c r="N207" i="8"/>
  <c r="N208" i="8"/>
  <c r="N209" i="8"/>
  <c r="N210" i="8"/>
  <c r="N211" i="8"/>
  <c r="N212" i="8"/>
  <c r="N213" i="8"/>
  <c r="N214" i="8"/>
  <c r="N215" i="8"/>
  <c r="N216" i="8"/>
  <c r="N217" i="8"/>
  <c r="N218" i="8"/>
  <c r="N219" i="8"/>
  <c r="N220" i="8"/>
  <c r="N221" i="8"/>
  <c r="N222" i="8"/>
  <c r="N223" i="8"/>
  <c r="N224" i="8"/>
  <c r="N225" i="8"/>
  <c r="N226" i="8"/>
  <c r="N227" i="8"/>
  <c r="N228" i="8"/>
  <c r="N229" i="8"/>
  <c r="N230" i="8"/>
  <c r="N231" i="8"/>
  <c r="N232" i="8"/>
  <c r="N233" i="8"/>
  <c r="N234" i="8"/>
  <c r="N235" i="8"/>
  <c r="N236" i="8"/>
  <c r="N237" i="8"/>
  <c r="N238" i="8"/>
  <c r="N239" i="8"/>
  <c r="N240" i="8"/>
  <c r="N241" i="8"/>
  <c r="N242" i="8"/>
  <c r="N243" i="8"/>
  <c r="N244" i="8"/>
  <c r="N245" i="8"/>
  <c r="N246" i="8"/>
  <c r="N247" i="8"/>
  <c r="N248" i="8"/>
  <c r="N249" i="8"/>
  <c r="N250" i="8"/>
  <c r="N251" i="8"/>
  <c r="N252" i="8"/>
  <c r="N253" i="8"/>
  <c r="N254" i="8"/>
  <c r="N255" i="8"/>
  <c r="N256" i="8"/>
  <c r="N257" i="8"/>
  <c r="N258" i="8"/>
  <c r="N259" i="8"/>
  <c r="N260" i="8"/>
  <c r="N261" i="8"/>
  <c r="N262" i="8"/>
  <c r="N263" i="8"/>
  <c r="N264" i="8"/>
  <c r="N265" i="8"/>
  <c r="N266" i="8"/>
  <c r="N267" i="8"/>
  <c r="N268" i="8"/>
  <c r="N269" i="8"/>
  <c r="N270" i="8"/>
  <c r="N271" i="8"/>
  <c r="N272" i="8"/>
  <c r="N273" i="8"/>
  <c r="N274" i="8"/>
  <c r="N275" i="8"/>
  <c r="N276" i="8"/>
  <c r="N277" i="8"/>
  <c r="N182" i="8"/>
  <c r="N130" i="8"/>
  <c r="N131" i="8"/>
  <c r="N132" i="8"/>
  <c r="N133" i="8"/>
  <c r="N134" i="8"/>
  <c r="N135" i="8"/>
  <c r="N136" i="8"/>
  <c r="N137" i="8"/>
  <c r="N138" i="8"/>
  <c r="N139" i="8"/>
  <c r="N140" i="8"/>
  <c r="N141" i="8"/>
  <c r="N142" i="8"/>
  <c r="N143" i="8"/>
  <c r="N144" i="8"/>
  <c r="N145" i="8"/>
  <c r="N146" i="8"/>
  <c r="N147" i="8"/>
  <c r="N148" i="8"/>
  <c r="N149" i="8"/>
  <c r="N150" i="8"/>
  <c r="N151" i="8"/>
  <c r="N152" i="8"/>
  <c r="N153" i="8"/>
  <c r="N154" i="8"/>
  <c r="N155" i="8"/>
  <c r="N156" i="8"/>
  <c r="N157" i="8"/>
  <c r="N158" i="8"/>
  <c r="N159" i="8"/>
  <c r="N160" i="8"/>
  <c r="N161" i="8"/>
  <c r="N162" i="8"/>
  <c r="N163" i="8"/>
  <c r="N164" i="8"/>
  <c r="N165" i="8"/>
  <c r="N166" i="8"/>
  <c r="N167" i="8"/>
  <c r="N168" i="8"/>
  <c r="N169" i="8"/>
  <c r="N170" i="8"/>
  <c r="N171" i="8"/>
  <c r="N172" i="8"/>
  <c r="N173" i="8"/>
  <c r="N174" i="8"/>
  <c r="N175" i="8"/>
  <c r="N176" i="8"/>
  <c r="N177" i="8"/>
  <c r="N178" i="8"/>
  <c r="N179" i="8"/>
  <c r="N180" i="8"/>
  <c r="N181" i="8"/>
  <c r="N129" i="8"/>
  <c r="N4" i="8"/>
  <c r="N5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44" i="8"/>
  <c r="N45" i="8"/>
  <c r="N46" i="8"/>
  <c r="N47" i="8"/>
  <c r="N48" i="8"/>
  <c r="N49" i="8"/>
  <c r="N50" i="8"/>
  <c r="N51" i="8"/>
  <c r="N52" i="8"/>
  <c r="N53" i="8"/>
  <c r="N54" i="8"/>
  <c r="N55" i="8"/>
  <c r="N56" i="8"/>
  <c r="N65" i="8"/>
  <c r="N66" i="8"/>
  <c r="N67" i="8"/>
  <c r="N68" i="8"/>
  <c r="N69" i="8"/>
  <c r="N70" i="8"/>
  <c r="N71" i="8"/>
  <c r="N72" i="8"/>
  <c r="N73" i="8"/>
  <c r="N74" i="8"/>
  <c r="N75" i="8"/>
  <c r="N76" i="8"/>
  <c r="N77" i="8"/>
  <c r="N78" i="8"/>
  <c r="N79" i="8"/>
  <c r="N80" i="8"/>
  <c r="N81" i="8"/>
  <c r="N82" i="8"/>
  <c r="N83" i="8"/>
  <c r="N84" i="8"/>
  <c r="N85" i="8"/>
  <c r="N86" i="8"/>
  <c r="N87" i="8"/>
  <c r="N88" i="8"/>
  <c r="N89" i="8"/>
  <c r="N90" i="8"/>
  <c r="N91" i="8"/>
  <c r="N92" i="8"/>
  <c r="N93" i="8"/>
  <c r="N94" i="8"/>
  <c r="N95" i="8"/>
  <c r="N96" i="8"/>
  <c r="N97" i="8"/>
  <c r="N98" i="8"/>
  <c r="N99" i="8"/>
  <c r="N100" i="8"/>
  <c r="N101" i="8"/>
  <c r="N102" i="8"/>
  <c r="N103" i="8"/>
  <c r="N104" i="8"/>
  <c r="N105" i="8"/>
  <c r="N106" i="8"/>
  <c r="N107" i="8"/>
  <c r="N108" i="8"/>
  <c r="N109" i="8"/>
  <c r="N110" i="8"/>
  <c r="N111" i="8"/>
  <c r="N112" i="8"/>
  <c r="N113" i="8"/>
  <c r="N114" i="8"/>
  <c r="N115" i="8"/>
  <c r="N116" i="8"/>
  <c r="N117" i="8"/>
  <c r="N118" i="8"/>
  <c r="N119" i="8"/>
  <c r="N120" i="8"/>
  <c r="N121" i="8"/>
  <c r="N122" i="8"/>
  <c r="N123" i="8"/>
  <c r="N124" i="8"/>
  <c r="N125" i="8"/>
  <c r="N126" i="8"/>
  <c r="N127" i="8"/>
  <c r="N128" i="8"/>
  <c r="N3" i="8"/>
  <c r="I18" i="1"/>
  <c r="G18" i="1"/>
  <c r="H20" i="1"/>
  <c r="G17" i="1"/>
  <c r="H18" i="1"/>
  <c r="B52" i="1"/>
  <c r="B54" i="1"/>
  <c r="B53" i="1"/>
  <c r="B41" i="1"/>
  <c r="F279" i="10" l="1"/>
  <c r="Q275" i="8"/>
  <c r="Q274" i="8"/>
  <c r="Q273" i="8"/>
  <c r="Q272" i="8"/>
  <c r="Q271" i="8"/>
  <c r="Q270" i="8"/>
  <c r="Q269" i="8"/>
  <c r="Q268" i="8"/>
  <c r="Q267" i="8"/>
  <c r="Q242" i="8"/>
  <c r="Q241" i="8"/>
  <c r="Q240" i="8"/>
  <c r="Q239" i="8"/>
  <c r="Q238" i="8"/>
  <c r="Q227" i="8"/>
  <c r="Q226" i="8"/>
  <c r="Q225" i="8"/>
  <c r="Q224" i="8"/>
  <c r="Q223" i="8"/>
  <c r="Q192" i="8"/>
  <c r="Q191" i="8"/>
  <c r="Q190" i="8"/>
  <c r="Q189" i="8"/>
  <c r="Q188" i="8"/>
  <c r="Q187" i="8"/>
  <c r="Q186" i="8"/>
  <c r="Q185" i="8"/>
  <c r="Q184" i="8"/>
  <c r="Q183" i="8"/>
  <c r="Q182" i="8"/>
  <c r="Q181" i="8"/>
  <c r="Q180" i="8"/>
  <c r="Q179" i="8"/>
  <c r="Q178" i="8"/>
  <c r="Q177" i="8"/>
  <c r="Q176" i="8"/>
  <c r="Q175" i="8"/>
  <c r="Q174" i="8"/>
  <c r="Q173" i="8"/>
  <c r="Q172" i="8"/>
  <c r="Q171" i="8"/>
  <c r="Q170" i="8"/>
  <c r="Q169" i="8"/>
  <c r="Q151" i="8"/>
  <c r="Q150" i="8"/>
  <c r="Q149" i="8"/>
  <c r="Q148" i="8"/>
  <c r="Q147" i="8"/>
  <c r="Q146" i="8"/>
  <c r="Q145" i="8"/>
  <c r="Q144" i="8"/>
  <c r="Q143" i="8"/>
  <c r="Q142" i="8"/>
  <c r="Q132" i="8"/>
  <c r="Q131" i="8"/>
  <c r="Q130" i="8"/>
  <c r="Q129" i="8"/>
  <c r="Q128" i="8"/>
  <c r="Q127" i="8"/>
  <c r="Q126" i="8"/>
  <c r="Q125" i="8"/>
  <c r="Q124" i="8"/>
  <c r="Q123" i="8"/>
  <c r="Q122" i="8"/>
  <c r="Q121" i="8"/>
  <c r="Q120" i="8"/>
  <c r="Q119" i="8"/>
  <c r="Q118" i="8"/>
  <c r="Q117" i="8"/>
  <c r="Q116" i="8"/>
  <c r="Q115" i="8"/>
  <c r="Q114" i="8"/>
  <c r="Q113" i="8"/>
  <c r="Q112" i="8"/>
  <c r="Q111" i="8"/>
  <c r="Q110" i="8"/>
  <c r="Q109" i="8"/>
  <c r="Q108" i="8"/>
  <c r="Q107" i="8"/>
  <c r="Q106" i="8"/>
  <c r="Q105" i="8"/>
  <c r="Q104" i="8"/>
  <c r="Q103" i="8"/>
  <c r="Q102" i="8"/>
  <c r="Q101" i="8"/>
  <c r="Q100" i="8"/>
  <c r="Q99" i="8"/>
  <c r="Q98" i="8"/>
  <c r="Q97" i="8"/>
  <c r="Q85" i="8"/>
  <c r="Q84" i="8"/>
  <c r="Q83" i="8"/>
  <c r="Q82" i="8"/>
  <c r="Q81" i="8"/>
  <c r="Q80" i="8"/>
  <c r="Q79" i="8"/>
  <c r="Q78" i="8"/>
  <c r="Q77" i="8"/>
  <c r="Q76" i="8"/>
  <c r="Q75" i="8"/>
  <c r="Q74" i="8"/>
  <c r="Q73" i="8"/>
  <c r="Q72" i="8"/>
  <c r="Q71" i="8"/>
  <c r="Q70" i="8"/>
  <c r="Q69" i="8"/>
  <c r="Q68" i="8"/>
  <c r="Q67" i="8"/>
  <c r="Q66" i="8"/>
  <c r="Q65" i="8"/>
  <c r="Q64" i="8"/>
  <c r="Q63" i="8"/>
  <c r="Q62" i="8"/>
  <c r="Q61" i="8"/>
  <c r="Q60" i="8"/>
  <c r="Q50" i="8"/>
  <c r="Q49" i="8"/>
  <c r="Q48" i="8"/>
  <c r="Q47" i="8"/>
  <c r="Q46" i="8"/>
  <c r="Q45" i="8"/>
  <c r="Q44" i="8"/>
  <c r="Q43" i="8"/>
  <c r="Q42" i="8"/>
  <c r="Q41" i="8"/>
  <c r="Q40" i="8"/>
  <c r="Q39" i="8"/>
  <c r="Q38" i="8"/>
  <c r="Q37" i="8"/>
  <c r="Q36" i="8"/>
  <c r="Q35" i="8"/>
  <c r="Q34" i="8"/>
  <c r="Q33" i="8"/>
  <c r="Q32" i="8"/>
  <c r="Q31" i="8"/>
  <c r="Q30" i="8"/>
  <c r="Q29" i="8"/>
  <c r="Q28" i="8"/>
  <c r="Q27" i="8"/>
  <c r="Q26" i="8"/>
  <c r="Q13" i="8"/>
  <c r="Q12" i="8"/>
  <c r="Q11" i="8"/>
  <c r="Q10" i="8"/>
  <c r="Q9" i="8"/>
  <c r="Q8" i="8"/>
  <c r="Q7" i="8"/>
  <c r="Q237" i="8"/>
  <c r="Q236" i="8"/>
  <c r="Q235" i="8"/>
  <c r="Q234" i="8"/>
  <c r="Q233" i="8"/>
  <c r="Q232" i="8"/>
  <c r="Q231" i="8"/>
  <c r="Q230" i="8"/>
  <c r="Q229" i="8"/>
  <c r="Q228" i="8"/>
  <c r="Q168" i="8"/>
  <c r="Q167" i="8"/>
  <c r="Q166" i="8"/>
  <c r="Q165" i="8"/>
  <c r="Q164" i="8"/>
  <c r="Q163" i="8"/>
  <c r="Q162" i="8"/>
  <c r="Q161" i="8"/>
  <c r="Q160" i="8"/>
  <c r="Q159" i="8"/>
  <c r="Q158" i="8"/>
  <c r="Q157" i="8"/>
  <c r="Q156" i="8"/>
  <c r="Q155" i="8"/>
  <c r="Q154" i="8"/>
  <c r="Q153" i="8"/>
  <c r="Q152" i="8"/>
  <c r="Q141" i="8"/>
  <c r="Q140" i="8"/>
  <c r="Q139" i="8"/>
  <c r="Q138" i="8"/>
  <c r="Q137" i="8"/>
  <c r="Q136" i="8"/>
  <c r="Q135" i="8"/>
  <c r="Q134" i="8"/>
  <c r="Q133" i="8"/>
  <c r="Q96" i="8"/>
  <c r="Q95" i="8"/>
  <c r="Q94" i="8"/>
  <c r="Q93" i="8"/>
  <c r="Q92" i="8"/>
  <c r="Q91" i="8"/>
  <c r="Q90" i="8"/>
  <c r="Q89" i="8"/>
  <c r="Q88" i="8"/>
  <c r="Q87" i="8"/>
  <c r="Q86" i="8"/>
  <c r="Q59" i="8"/>
  <c r="Q58" i="8"/>
  <c r="Q57" i="8"/>
  <c r="Q56" i="8"/>
  <c r="Q55" i="8"/>
  <c r="Q54" i="8"/>
  <c r="Q53" i="8"/>
  <c r="Q52" i="8"/>
  <c r="Q51" i="8"/>
  <c r="Q25" i="8"/>
  <c r="Q24" i="8"/>
  <c r="Q23" i="8"/>
  <c r="Q22" i="8"/>
  <c r="Q21" i="8"/>
  <c r="Q20" i="8"/>
  <c r="Q19" i="8"/>
  <c r="Q18" i="8"/>
  <c r="Q17" i="8"/>
  <c r="Q16" i="8"/>
  <c r="Q15" i="8"/>
  <c r="Q14" i="8"/>
  <c r="Q3" i="8"/>
  <c r="Q277" i="8"/>
  <c r="Q276" i="8"/>
  <c r="Q266" i="8"/>
  <c r="Q265" i="8"/>
  <c r="Q264" i="8"/>
  <c r="Q263" i="8"/>
  <c r="Q262" i="8"/>
  <c r="Q261" i="8"/>
  <c r="Q260" i="8"/>
  <c r="Q259" i="8"/>
  <c r="Q258" i="8"/>
  <c r="Q257" i="8"/>
  <c r="Q256" i="8"/>
  <c r="Q255" i="8"/>
  <c r="Q254" i="8"/>
  <c r="Q253" i="8"/>
  <c r="Q252" i="8"/>
  <c r="Q251" i="8"/>
  <c r="Q250" i="8"/>
  <c r="Q249" i="8"/>
  <c r="Q248" i="8"/>
  <c r="Q247" i="8"/>
  <c r="Q246" i="8"/>
  <c r="Q245" i="8"/>
  <c r="Q244" i="8"/>
  <c r="Q243" i="8"/>
  <c r="Q222" i="8"/>
  <c r="Q221" i="8"/>
  <c r="Q220" i="8"/>
  <c r="Q219" i="8"/>
  <c r="Q218" i="8"/>
  <c r="Q217" i="8"/>
  <c r="Q216" i="8"/>
  <c r="Q215" i="8"/>
  <c r="Q214" i="8"/>
  <c r="Q213" i="8"/>
  <c r="Q212" i="8"/>
  <c r="Q211" i="8"/>
  <c r="Q210" i="8"/>
  <c r="Q209" i="8"/>
  <c r="Q208" i="8"/>
  <c r="Q207" i="8"/>
  <c r="Q206" i="8"/>
  <c r="Q205" i="8"/>
  <c r="Q204" i="8"/>
  <c r="Q203" i="8"/>
  <c r="Q202" i="8"/>
  <c r="Q201" i="8"/>
  <c r="Q200" i="8"/>
  <c r="Q199" i="8"/>
  <c r="Q198" i="8"/>
  <c r="Q197" i="8"/>
  <c r="Q196" i="8"/>
  <c r="Q195" i="8"/>
  <c r="Q194" i="8"/>
  <c r="Q193" i="8"/>
  <c r="Q6" i="8"/>
  <c r="Q5" i="8"/>
  <c r="Q4" i="8"/>
  <c r="M4" i="8" l="1"/>
  <c r="O4" i="8" s="1"/>
  <c r="S4" i="8"/>
  <c r="M5" i="8"/>
  <c r="O5" i="8" s="1"/>
  <c r="S5" i="8"/>
  <c r="M6" i="8"/>
  <c r="O6" i="8" s="1"/>
  <c r="U6" i="8" s="1"/>
  <c r="S6" i="8"/>
  <c r="M193" i="8"/>
  <c r="O193" i="8" s="1"/>
  <c r="S193" i="8"/>
  <c r="M194" i="8"/>
  <c r="O194" i="8" s="1"/>
  <c r="S194" i="8"/>
  <c r="M195" i="8"/>
  <c r="O195" i="8" s="1"/>
  <c r="S195" i="8"/>
  <c r="M196" i="8"/>
  <c r="O196" i="8" s="1"/>
  <c r="U196" i="8" s="1"/>
  <c r="S196" i="8"/>
  <c r="M197" i="8"/>
  <c r="O197" i="8" s="1"/>
  <c r="U197" i="8" s="1"/>
  <c r="S197" i="8"/>
  <c r="M198" i="8"/>
  <c r="O198" i="8" s="1"/>
  <c r="S198" i="8"/>
  <c r="M199" i="8"/>
  <c r="O199" i="8" s="1"/>
  <c r="S199" i="8"/>
  <c r="M200" i="8"/>
  <c r="O200" i="8" s="1"/>
  <c r="U200" i="8" s="1"/>
  <c r="S200" i="8"/>
  <c r="M201" i="8"/>
  <c r="O201" i="8" s="1"/>
  <c r="S201" i="8"/>
  <c r="M202" i="8"/>
  <c r="O202" i="8" s="1"/>
  <c r="S202" i="8"/>
  <c r="M203" i="8"/>
  <c r="O203" i="8" s="1"/>
  <c r="S203" i="8"/>
  <c r="M204" i="8"/>
  <c r="O204" i="8" s="1"/>
  <c r="P204" i="8" s="1"/>
  <c r="S204" i="8"/>
  <c r="M205" i="8"/>
  <c r="O205" i="8" s="1"/>
  <c r="S205" i="8"/>
  <c r="M206" i="8"/>
  <c r="O206" i="8" s="1"/>
  <c r="S206" i="8"/>
  <c r="M207" i="8"/>
  <c r="O207" i="8" s="1"/>
  <c r="S207" i="8"/>
  <c r="M208" i="8"/>
  <c r="O208" i="8" s="1"/>
  <c r="U208" i="8" s="1"/>
  <c r="S208" i="8"/>
  <c r="M209" i="8"/>
  <c r="O209" i="8" s="1"/>
  <c r="U209" i="8" s="1"/>
  <c r="S209" i="8"/>
  <c r="M210" i="8"/>
  <c r="O210" i="8" s="1"/>
  <c r="S210" i="8"/>
  <c r="M211" i="8"/>
  <c r="O211" i="8" s="1"/>
  <c r="S211" i="8"/>
  <c r="M212" i="8"/>
  <c r="O212" i="8" s="1"/>
  <c r="P212" i="8" s="1"/>
  <c r="S212" i="8"/>
  <c r="M213" i="8"/>
  <c r="O213" i="8" s="1"/>
  <c r="S213" i="8"/>
  <c r="M214" i="8"/>
  <c r="O214" i="8" s="1"/>
  <c r="S214" i="8"/>
  <c r="M215" i="8"/>
  <c r="O215" i="8" s="1"/>
  <c r="S215" i="8"/>
  <c r="M216" i="8"/>
  <c r="O216" i="8" s="1"/>
  <c r="U216" i="8" s="1"/>
  <c r="S216" i="8"/>
  <c r="M217" i="8"/>
  <c r="O217" i="8" s="1"/>
  <c r="U217" i="8" s="1"/>
  <c r="S217" i="8"/>
  <c r="M218" i="8"/>
  <c r="O218" i="8" s="1"/>
  <c r="S218" i="8"/>
  <c r="M219" i="8"/>
  <c r="O219" i="8" s="1"/>
  <c r="S219" i="8"/>
  <c r="M220" i="8"/>
  <c r="O220" i="8" s="1"/>
  <c r="U220" i="8" s="1"/>
  <c r="S220" i="8"/>
  <c r="M221" i="8"/>
  <c r="O221" i="8" s="1"/>
  <c r="S221" i="8"/>
  <c r="M222" i="8"/>
  <c r="O222" i="8" s="1"/>
  <c r="S222" i="8"/>
  <c r="M243" i="8"/>
  <c r="O243" i="8" s="1"/>
  <c r="S243" i="8"/>
  <c r="M244" i="8"/>
  <c r="O244" i="8" s="1"/>
  <c r="U244" i="8" s="1"/>
  <c r="S244" i="8"/>
  <c r="M245" i="8"/>
  <c r="O245" i="8" s="1"/>
  <c r="U245" i="8" s="1"/>
  <c r="S245" i="8"/>
  <c r="M246" i="8"/>
  <c r="O246" i="8" s="1"/>
  <c r="S246" i="8"/>
  <c r="M247" i="8"/>
  <c r="O247" i="8" s="1"/>
  <c r="S247" i="8"/>
  <c r="M248" i="8"/>
  <c r="O248" i="8" s="1"/>
  <c r="P248" i="8" s="1"/>
  <c r="S248" i="8"/>
  <c r="M249" i="8"/>
  <c r="O249" i="8" s="1"/>
  <c r="S249" i="8"/>
  <c r="M250" i="8"/>
  <c r="O250" i="8" s="1"/>
  <c r="S250" i="8"/>
  <c r="M251" i="8"/>
  <c r="O251" i="8" s="1"/>
  <c r="S251" i="8"/>
  <c r="M252" i="8"/>
  <c r="O252" i="8" s="1"/>
  <c r="U252" i="8" s="1"/>
  <c r="S252" i="8"/>
  <c r="M253" i="8"/>
  <c r="O253" i="8" s="1"/>
  <c r="S253" i="8"/>
  <c r="M254" i="8"/>
  <c r="O254" i="8" s="1"/>
  <c r="S254" i="8"/>
  <c r="M255" i="8"/>
  <c r="O255" i="8" s="1"/>
  <c r="S255" i="8"/>
  <c r="M256" i="8"/>
  <c r="O256" i="8" s="1"/>
  <c r="U256" i="8" s="1"/>
  <c r="S256" i="8"/>
  <c r="M257" i="8"/>
  <c r="O257" i="8" s="1"/>
  <c r="S257" i="8"/>
  <c r="M258" i="8"/>
  <c r="O258" i="8" s="1"/>
  <c r="S258" i="8"/>
  <c r="M259" i="8"/>
  <c r="O259" i="8" s="1"/>
  <c r="S259" i="8"/>
  <c r="M260" i="8"/>
  <c r="O260" i="8" s="1"/>
  <c r="U260" i="8" s="1"/>
  <c r="S260" i="8"/>
  <c r="M261" i="8"/>
  <c r="O261" i="8" s="1"/>
  <c r="U261" i="8" s="1"/>
  <c r="S261" i="8"/>
  <c r="M262" i="8"/>
  <c r="O262" i="8" s="1"/>
  <c r="S262" i="8"/>
  <c r="M263" i="8"/>
  <c r="O263" i="8" s="1"/>
  <c r="S263" i="8"/>
  <c r="M264" i="8"/>
  <c r="O264" i="8" s="1"/>
  <c r="P264" i="8" s="1"/>
  <c r="S264" i="8"/>
  <c r="M265" i="8"/>
  <c r="O265" i="8" s="1"/>
  <c r="U265" i="8" s="1"/>
  <c r="S265" i="8"/>
  <c r="M266" i="8"/>
  <c r="O266" i="8" s="1"/>
  <c r="S266" i="8"/>
  <c r="M276" i="8"/>
  <c r="O276" i="8" s="1"/>
  <c r="S276" i="8"/>
  <c r="M277" i="8"/>
  <c r="O277" i="8" s="1"/>
  <c r="U277" i="8" s="1"/>
  <c r="S277" i="8"/>
  <c r="M3" i="8"/>
  <c r="O3" i="8" s="1"/>
  <c r="S3" i="8"/>
  <c r="M14" i="8"/>
  <c r="O14" i="8" s="1"/>
  <c r="S14" i="8"/>
  <c r="M15" i="8"/>
  <c r="O15" i="8" s="1"/>
  <c r="S15" i="8"/>
  <c r="M16" i="8"/>
  <c r="O16" i="8" s="1"/>
  <c r="U16" i="8" s="1"/>
  <c r="S16" i="8"/>
  <c r="M17" i="8"/>
  <c r="O17" i="8" s="1"/>
  <c r="S17" i="8"/>
  <c r="M18" i="8"/>
  <c r="O18" i="8" s="1"/>
  <c r="S18" i="8"/>
  <c r="M19" i="8"/>
  <c r="O19" i="8" s="1"/>
  <c r="S19" i="8"/>
  <c r="M20" i="8"/>
  <c r="O20" i="8" s="1"/>
  <c r="P20" i="8" s="1"/>
  <c r="S20" i="8"/>
  <c r="M21" i="8"/>
  <c r="O21" i="8" s="1"/>
  <c r="U21" i="8" s="1"/>
  <c r="S21" i="8"/>
  <c r="M22" i="8"/>
  <c r="O22" i="8" s="1"/>
  <c r="S22" i="8"/>
  <c r="M23" i="8"/>
  <c r="O23" i="8" s="1"/>
  <c r="U23" i="8" s="1"/>
  <c r="S23" i="8"/>
  <c r="M24" i="8"/>
  <c r="O24" i="8" s="1"/>
  <c r="U24" i="8" s="1"/>
  <c r="S24" i="8"/>
  <c r="M25" i="8"/>
  <c r="O25" i="8" s="1"/>
  <c r="S25" i="8"/>
  <c r="M51" i="8"/>
  <c r="O51" i="8" s="1"/>
  <c r="S51" i="8"/>
  <c r="M52" i="8"/>
  <c r="O52" i="8" s="1"/>
  <c r="P52" i="8" s="1"/>
  <c r="S52" i="8"/>
  <c r="M53" i="8"/>
  <c r="O53" i="8" s="1"/>
  <c r="P53" i="8" s="1"/>
  <c r="S53" i="8"/>
  <c r="M54" i="8"/>
  <c r="O54" i="8" s="1"/>
  <c r="U54" i="8" s="1"/>
  <c r="S54" i="8"/>
  <c r="M55" i="8"/>
  <c r="O55" i="8" s="1"/>
  <c r="S55" i="8"/>
  <c r="M56" i="8"/>
  <c r="O56" i="8" s="1"/>
  <c r="U56" i="8" s="1"/>
  <c r="S56" i="8"/>
  <c r="M57" i="8"/>
  <c r="O57" i="8" s="1"/>
  <c r="U57" i="8" s="1"/>
  <c r="S57" i="8"/>
  <c r="M58" i="8"/>
  <c r="O58" i="8" s="1"/>
  <c r="U58" i="8" s="1"/>
  <c r="S58" i="8"/>
  <c r="M59" i="8"/>
  <c r="O59" i="8" s="1"/>
  <c r="S59" i="8"/>
  <c r="M86" i="8"/>
  <c r="O86" i="8" s="1"/>
  <c r="U86" i="8" s="1"/>
  <c r="S86" i="8"/>
  <c r="M87" i="8"/>
  <c r="O87" i="8" s="1"/>
  <c r="P87" i="8" s="1"/>
  <c r="S87" i="8"/>
  <c r="M88" i="8"/>
  <c r="O88" i="8" s="1"/>
  <c r="U88" i="8" s="1"/>
  <c r="S88" i="8"/>
  <c r="M89" i="8"/>
  <c r="O89" i="8" s="1"/>
  <c r="S89" i="8"/>
  <c r="M90" i="8"/>
  <c r="O90" i="8" s="1"/>
  <c r="P90" i="8" s="1"/>
  <c r="S90" i="8"/>
  <c r="M91" i="8"/>
  <c r="O91" i="8" s="1"/>
  <c r="U91" i="8" s="1"/>
  <c r="S91" i="8"/>
  <c r="M92" i="8"/>
  <c r="O92" i="8" s="1"/>
  <c r="S92" i="8"/>
  <c r="M93" i="8"/>
  <c r="O93" i="8" s="1"/>
  <c r="S93" i="8"/>
  <c r="M94" i="8"/>
  <c r="O94" i="8" s="1"/>
  <c r="U94" i="8" s="1"/>
  <c r="S94" i="8"/>
  <c r="M95" i="8"/>
  <c r="O95" i="8" s="1"/>
  <c r="P95" i="8" s="1"/>
  <c r="S95" i="8"/>
  <c r="M96" i="8"/>
  <c r="O96" i="8" s="1"/>
  <c r="U96" i="8" s="1"/>
  <c r="S96" i="8"/>
  <c r="M133" i="8"/>
  <c r="O133" i="8" s="1"/>
  <c r="U133" i="8" s="1"/>
  <c r="S133" i="8"/>
  <c r="M134" i="8"/>
  <c r="O134" i="8" s="1"/>
  <c r="U134" i="8" s="1"/>
  <c r="S134" i="8"/>
  <c r="M135" i="8"/>
  <c r="O135" i="8" s="1"/>
  <c r="U135" i="8" s="1"/>
  <c r="S135" i="8"/>
  <c r="M136" i="8"/>
  <c r="O136" i="8" s="1"/>
  <c r="S136" i="8"/>
  <c r="M137" i="8"/>
  <c r="O137" i="8" s="1"/>
  <c r="U137" i="8" s="1"/>
  <c r="S137" i="8"/>
  <c r="M138" i="8"/>
  <c r="O138" i="8" s="1"/>
  <c r="U138" i="8" s="1"/>
  <c r="S138" i="8"/>
  <c r="M139" i="8"/>
  <c r="O139" i="8" s="1"/>
  <c r="P139" i="8" s="1"/>
  <c r="S139" i="8"/>
  <c r="M140" i="8"/>
  <c r="O140" i="8" s="1"/>
  <c r="U140" i="8" s="1"/>
  <c r="S140" i="8"/>
  <c r="M141" i="8"/>
  <c r="O141" i="8" s="1"/>
  <c r="S141" i="8"/>
  <c r="M152" i="8"/>
  <c r="O152" i="8" s="1"/>
  <c r="S152" i="8"/>
  <c r="M153" i="8"/>
  <c r="O153" i="8" s="1"/>
  <c r="U153" i="8" s="1"/>
  <c r="S153" i="8"/>
  <c r="M154" i="8"/>
  <c r="O154" i="8" s="1"/>
  <c r="U154" i="8" s="1"/>
  <c r="S154" i="8"/>
  <c r="M155" i="8"/>
  <c r="O155" i="8" s="1"/>
  <c r="S155" i="8"/>
  <c r="M156" i="8"/>
  <c r="O156" i="8" s="1"/>
  <c r="U156" i="8" s="1"/>
  <c r="S156" i="8"/>
  <c r="M157" i="8"/>
  <c r="O157" i="8" s="1"/>
  <c r="P157" i="8" s="1"/>
  <c r="S157" i="8"/>
  <c r="M158" i="8"/>
  <c r="O158" i="8" s="1"/>
  <c r="U158" i="8" s="1"/>
  <c r="S158" i="8"/>
  <c r="M159" i="8"/>
  <c r="O159" i="8" s="1"/>
  <c r="S159" i="8"/>
  <c r="M160" i="8"/>
  <c r="O160" i="8" s="1"/>
  <c r="U160" i="8" s="1"/>
  <c r="S160" i="8"/>
  <c r="M161" i="8"/>
  <c r="O161" i="8" s="1"/>
  <c r="U161" i="8" s="1"/>
  <c r="S161" i="8"/>
  <c r="M162" i="8"/>
  <c r="O162" i="8" s="1"/>
  <c r="U162" i="8" s="1"/>
  <c r="S162" i="8"/>
  <c r="M163" i="8"/>
  <c r="O163" i="8" s="1"/>
  <c r="U163" i="8" s="1"/>
  <c r="S163" i="8"/>
  <c r="M164" i="8"/>
  <c r="O164" i="8" s="1"/>
  <c r="U164" i="8" s="1"/>
  <c r="S164" i="8"/>
  <c r="M165" i="8"/>
  <c r="O165" i="8" s="1"/>
  <c r="P165" i="8" s="1"/>
  <c r="S165" i="8"/>
  <c r="M166" i="8"/>
  <c r="O166" i="8" s="1"/>
  <c r="U166" i="8" s="1"/>
  <c r="S166" i="8"/>
  <c r="M167" i="8"/>
  <c r="O167" i="8" s="1"/>
  <c r="S167" i="8"/>
  <c r="M168" i="8"/>
  <c r="O168" i="8" s="1"/>
  <c r="U168" i="8" s="1"/>
  <c r="S168" i="8"/>
  <c r="M228" i="8"/>
  <c r="O228" i="8" s="1"/>
  <c r="U228" i="8" s="1"/>
  <c r="S228" i="8"/>
  <c r="M229" i="8"/>
  <c r="O229" i="8" s="1"/>
  <c r="U229" i="8" s="1"/>
  <c r="S229" i="8"/>
  <c r="M230" i="8"/>
  <c r="O230" i="8" s="1"/>
  <c r="U230" i="8" s="1"/>
  <c r="S230" i="8"/>
  <c r="M231" i="8"/>
  <c r="O231" i="8" s="1"/>
  <c r="U231" i="8" s="1"/>
  <c r="S231" i="8"/>
  <c r="M232" i="8"/>
  <c r="O232" i="8" s="1"/>
  <c r="P232" i="8" s="1"/>
  <c r="S232" i="8"/>
  <c r="M233" i="8"/>
  <c r="O233" i="8" s="1"/>
  <c r="P233" i="8" s="1"/>
  <c r="S233" i="8"/>
  <c r="M234" i="8"/>
  <c r="O234" i="8" s="1"/>
  <c r="U234" i="8" s="1"/>
  <c r="S234" i="8"/>
  <c r="M235" i="8"/>
  <c r="O235" i="8" s="1"/>
  <c r="P235" i="8" s="1"/>
  <c r="S235" i="8"/>
  <c r="M236" i="8"/>
  <c r="O236" i="8" s="1"/>
  <c r="U236" i="8" s="1"/>
  <c r="S236" i="8"/>
  <c r="M237" i="8"/>
  <c r="O237" i="8" s="1"/>
  <c r="P237" i="8" s="1"/>
  <c r="S237" i="8"/>
  <c r="M7" i="8"/>
  <c r="O7" i="8" s="1"/>
  <c r="S7" i="8"/>
  <c r="M8" i="8"/>
  <c r="O8" i="8" s="1"/>
  <c r="P8" i="8" s="1"/>
  <c r="S8" i="8"/>
  <c r="M9" i="8"/>
  <c r="O9" i="8" s="1"/>
  <c r="P9" i="8" s="1"/>
  <c r="S9" i="8"/>
  <c r="M10" i="8"/>
  <c r="O10" i="8" s="1"/>
  <c r="P10" i="8" s="1"/>
  <c r="S10" i="8"/>
  <c r="M11" i="8"/>
  <c r="O11" i="8" s="1"/>
  <c r="S11" i="8"/>
  <c r="M12" i="8"/>
  <c r="O12" i="8" s="1"/>
  <c r="P12" i="8" s="1"/>
  <c r="S12" i="8"/>
  <c r="M13" i="8"/>
  <c r="O13" i="8" s="1"/>
  <c r="U13" i="8" s="1"/>
  <c r="S13" i="8"/>
  <c r="M26" i="8"/>
  <c r="O26" i="8" s="1"/>
  <c r="U26" i="8" s="1"/>
  <c r="S26" i="8"/>
  <c r="M27" i="8"/>
  <c r="O27" i="8" s="1"/>
  <c r="U27" i="8" s="1"/>
  <c r="S27" i="8"/>
  <c r="M28" i="8"/>
  <c r="O28" i="8" s="1"/>
  <c r="U28" i="8" s="1"/>
  <c r="S28" i="8"/>
  <c r="M29" i="8"/>
  <c r="O29" i="8" s="1"/>
  <c r="P29" i="8" s="1"/>
  <c r="S29" i="8"/>
  <c r="M30" i="8"/>
  <c r="O30" i="8" s="1"/>
  <c r="P30" i="8" s="1"/>
  <c r="S30" i="8"/>
  <c r="M31" i="8"/>
  <c r="O31" i="8" s="1"/>
  <c r="S31" i="8"/>
  <c r="M32" i="8"/>
  <c r="O32" i="8" s="1"/>
  <c r="U32" i="8" s="1"/>
  <c r="S32" i="8"/>
  <c r="M33" i="8"/>
  <c r="O33" i="8" s="1"/>
  <c r="U33" i="8" s="1"/>
  <c r="S33" i="8"/>
  <c r="M34" i="8"/>
  <c r="O34" i="8" s="1"/>
  <c r="U34" i="8" s="1"/>
  <c r="S34" i="8"/>
  <c r="M35" i="8"/>
  <c r="O35" i="8" s="1"/>
  <c r="S35" i="8"/>
  <c r="M36" i="8"/>
  <c r="O36" i="8" s="1"/>
  <c r="U36" i="8" s="1"/>
  <c r="S36" i="8"/>
  <c r="M37" i="8"/>
  <c r="O37" i="8" s="1"/>
  <c r="P37" i="8" s="1"/>
  <c r="S37" i="8"/>
  <c r="M38" i="8"/>
  <c r="O38" i="8" s="1"/>
  <c r="U38" i="8" s="1"/>
  <c r="S38" i="8"/>
  <c r="M39" i="8"/>
  <c r="O39" i="8" s="1"/>
  <c r="U39" i="8" s="1"/>
  <c r="S39" i="8"/>
  <c r="M40" i="8"/>
  <c r="O40" i="8" s="1"/>
  <c r="S40" i="8"/>
  <c r="M41" i="8"/>
  <c r="O41" i="8" s="1"/>
  <c r="U41" i="8" s="1"/>
  <c r="S41" i="8"/>
  <c r="M42" i="8"/>
  <c r="O42" i="8" s="1"/>
  <c r="U42" i="8" s="1"/>
  <c r="S42" i="8"/>
  <c r="M43" i="8"/>
  <c r="O43" i="8" s="1"/>
  <c r="S43" i="8"/>
  <c r="M44" i="8"/>
  <c r="O44" i="8" s="1"/>
  <c r="U44" i="8" s="1"/>
  <c r="S44" i="8"/>
  <c r="M45" i="8"/>
  <c r="O45" i="8" s="1"/>
  <c r="P45" i="8" s="1"/>
  <c r="S45" i="8"/>
  <c r="M46" i="8"/>
  <c r="O46" i="8" s="1"/>
  <c r="U46" i="8" s="1"/>
  <c r="S46" i="8"/>
  <c r="M47" i="8"/>
  <c r="O47" i="8" s="1"/>
  <c r="S47" i="8"/>
  <c r="M48" i="8"/>
  <c r="O48" i="8" s="1"/>
  <c r="U48" i="8" s="1"/>
  <c r="S48" i="8"/>
  <c r="M49" i="8"/>
  <c r="O49" i="8" s="1"/>
  <c r="U49" i="8" s="1"/>
  <c r="S49" i="8"/>
  <c r="M50" i="8"/>
  <c r="O50" i="8" s="1"/>
  <c r="U50" i="8" s="1"/>
  <c r="S50" i="8"/>
  <c r="M60" i="8"/>
  <c r="O60" i="8" s="1"/>
  <c r="U60" i="8" s="1"/>
  <c r="S60" i="8"/>
  <c r="M61" i="8"/>
  <c r="O61" i="8" s="1"/>
  <c r="U61" i="8" s="1"/>
  <c r="S61" i="8"/>
  <c r="M62" i="8"/>
  <c r="O62" i="8" s="1"/>
  <c r="P62" i="8" s="1"/>
  <c r="S62" i="8"/>
  <c r="M63" i="8"/>
  <c r="O63" i="8" s="1"/>
  <c r="P63" i="8" s="1"/>
  <c r="S63" i="8"/>
  <c r="M64" i="8"/>
  <c r="O64" i="8" s="1"/>
  <c r="U64" i="8" s="1"/>
  <c r="S64" i="8"/>
  <c r="M65" i="8"/>
  <c r="O65" i="8" s="1"/>
  <c r="U65" i="8" s="1"/>
  <c r="S65" i="8"/>
  <c r="M66" i="8"/>
  <c r="O66" i="8" s="1"/>
  <c r="U66" i="8" s="1"/>
  <c r="S66" i="8"/>
  <c r="M67" i="8"/>
  <c r="O67" i="8" s="1"/>
  <c r="P67" i="8" s="1"/>
  <c r="S67" i="8"/>
  <c r="M68" i="8"/>
  <c r="O68" i="8" s="1"/>
  <c r="U68" i="8" s="1"/>
  <c r="S68" i="8"/>
  <c r="M69" i="8"/>
  <c r="O69" i="8" s="1"/>
  <c r="U69" i="8" s="1"/>
  <c r="S69" i="8"/>
  <c r="M70" i="8"/>
  <c r="O70" i="8" s="1"/>
  <c r="P70" i="8" s="1"/>
  <c r="S70" i="8"/>
  <c r="M71" i="8"/>
  <c r="O71" i="8" s="1"/>
  <c r="P71" i="8" s="1"/>
  <c r="S71" i="8"/>
  <c r="M72" i="8"/>
  <c r="O72" i="8" s="1"/>
  <c r="U72" i="8" s="1"/>
  <c r="S72" i="8"/>
  <c r="M73" i="8"/>
  <c r="O73" i="8" s="1"/>
  <c r="U73" i="8" s="1"/>
  <c r="S73" i="8"/>
  <c r="M74" i="8"/>
  <c r="O74" i="8" s="1"/>
  <c r="U74" i="8" s="1"/>
  <c r="S74" i="8"/>
  <c r="M75" i="8"/>
  <c r="O75" i="8" s="1"/>
  <c r="U75" i="8" s="1"/>
  <c r="S75" i="8"/>
  <c r="M76" i="8"/>
  <c r="O76" i="8" s="1"/>
  <c r="U76" i="8" s="1"/>
  <c r="S76" i="8"/>
  <c r="M77" i="8"/>
  <c r="O77" i="8" s="1"/>
  <c r="U77" i="8" s="1"/>
  <c r="S77" i="8"/>
  <c r="M78" i="8"/>
  <c r="O78" i="8" s="1"/>
  <c r="P78" i="8" s="1"/>
  <c r="S78" i="8"/>
  <c r="M79" i="8"/>
  <c r="O79" i="8" s="1"/>
  <c r="P79" i="8" s="1"/>
  <c r="S79" i="8"/>
  <c r="M80" i="8"/>
  <c r="O80" i="8" s="1"/>
  <c r="P80" i="8" s="1"/>
  <c r="S80" i="8"/>
  <c r="M81" i="8"/>
  <c r="O81" i="8" s="1"/>
  <c r="U81" i="8" s="1"/>
  <c r="S81" i="8"/>
  <c r="M82" i="8"/>
  <c r="O82" i="8" s="1"/>
  <c r="U82" i="8" s="1"/>
  <c r="S82" i="8"/>
  <c r="M83" i="8"/>
  <c r="O83" i="8" s="1"/>
  <c r="U83" i="8" s="1"/>
  <c r="S83" i="8"/>
  <c r="M84" i="8"/>
  <c r="O84" i="8" s="1"/>
  <c r="U84" i="8" s="1"/>
  <c r="S84" i="8"/>
  <c r="M85" i="8"/>
  <c r="O85" i="8" s="1"/>
  <c r="U85" i="8" s="1"/>
  <c r="S85" i="8"/>
  <c r="M97" i="8"/>
  <c r="O97" i="8" s="1"/>
  <c r="P97" i="8" s="1"/>
  <c r="S97" i="8"/>
  <c r="M98" i="8"/>
  <c r="O98" i="8" s="1"/>
  <c r="P98" i="8" s="1"/>
  <c r="S98" i="8"/>
  <c r="M99" i="8"/>
  <c r="O99" i="8" s="1"/>
  <c r="U99" i="8" s="1"/>
  <c r="S99" i="8"/>
  <c r="M100" i="8"/>
  <c r="O100" i="8" s="1"/>
  <c r="P100" i="8" s="1"/>
  <c r="S100" i="8"/>
  <c r="M101" i="8"/>
  <c r="O101" i="8" s="1"/>
  <c r="U101" i="8" s="1"/>
  <c r="S101" i="8"/>
  <c r="M102" i="8"/>
  <c r="O102" i="8" s="1"/>
  <c r="U102" i="8" s="1"/>
  <c r="S102" i="8"/>
  <c r="M103" i="8"/>
  <c r="O103" i="8" s="1"/>
  <c r="U103" i="8" s="1"/>
  <c r="S103" i="8"/>
  <c r="M104" i="8"/>
  <c r="O104" i="8" s="1"/>
  <c r="P104" i="8" s="1"/>
  <c r="S104" i="8"/>
  <c r="M105" i="8"/>
  <c r="O105" i="8" s="1"/>
  <c r="P105" i="8" s="1"/>
  <c r="S105" i="8"/>
  <c r="M106" i="8"/>
  <c r="O106" i="8" s="1"/>
  <c r="P106" i="8" s="1"/>
  <c r="S106" i="8"/>
  <c r="M107" i="8"/>
  <c r="O107" i="8" s="1"/>
  <c r="S107" i="8"/>
  <c r="M108" i="8"/>
  <c r="O108" i="8" s="1"/>
  <c r="P108" i="8" s="1"/>
  <c r="S108" i="8"/>
  <c r="M109" i="8"/>
  <c r="O109" i="8" s="1"/>
  <c r="U109" i="8" s="1"/>
  <c r="S109" i="8"/>
  <c r="M110" i="8"/>
  <c r="O110" i="8" s="1"/>
  <c r="U110" i="8" s="1"/>
  <c r="S110" i="8"/>
  <c r="M111" i="8"/>
  <c r="O111" i="8" s="1"/>
  <c r="U111" i="8" s="1"/>
  <c r="S111" i="8"/>
  <c r="M112" i="8"/>
  <c r="O112" i="8" s="1"/>
  <c r="U112" i="8" s="1"/>
  <c r="S112" i="8"/>
  <c r="M113" i="8"/>
  <c r="O113" i="8" s="1"/>
  <c r="P113" i="8" s="1"/>
  <c r="S113" i="8"/>
  <c r="M114" i="8"/>
  <c r="O114" i="8" s="1"/>
  <c r="P114" i="8" s="1"/>
  <c r="S114" i="8"/>
  <c r="M115" i="8"/>
  <c r="O115" i="8" s="1"/>
  <c r="U115" i="8" s="1"/>
  <c r="S115" i="8"/>
  <c r="M116" i="8"/>
  <c r="O116" i="8" s="1"/>
  <c r="U116" i="8" s="1"/>
  <c r="S116" i="8"/>
  <c r="M117" i="8"/>
  <c r="O117" i="8" s="1"/>
  <c r="U117" i="8" s="1"/>
  <c r="S117" i="8"/>
  <c r="M118" i="8"/>
  <c r="O118" i="8" s="1"/>
  <c r="U118" i="8" s="1"/>
  <c r="S118" i="8"/>
  <c r="M119" i="8"/>
  <c r="O119" i="8" s="1"/>
  <c r="U119" i="8" s="1"/>
  <c r="S119" i="8"/>
  <c r="M120" i="8"/>
  <c r="O120" i="8" s="1"/>
  <c r="U120" i="8" s="1"/>
  <c r="S120" i="8"/>
  <c r="M121" i="8"/>
  <c r="O121" i="8" s="1"/>
  <c r="P121" i="8" s="1"/>
  <c r="S121" i="8"/>
  <c r="M122" i="8"/>
  <c r="O122" i="8" s="1"/>
  <c r="U122" i="8" s="1"/>
  <c r="S122" i="8"/>
  <c r="M123" i="8"/>
  <c r="O123" i="8" s="1"/>
  <c r="U123" i="8" s="1"/>
  <c r="S123" i="8"/>
  <c r="M124" i="8"/>
  <c r="O124" i="8" s="1"/>
  <c r="U124" i="8" s="1"/>
  <c r="S124" i="8"/>
  <c r="M125" i="8"/>
  <c r="O125" i="8" s="1"/>
  <c r="U125" i="8" s="1"/>
  <c r="S125" i="8"/>
  <c r="M126" i="8"/>
  <c r="O126" i="8" s="1"/>
  <c r="U126" i="8" s="1"/>
  <c r="S126" i="8"/>
  <c r="M127" i="8"/>
  <c r="O127" i="8" s="1"/>
  <c r="P127" i="8" s="1"/>
  <c r="S127" i="8"/>
  <c r="M128" i="8"/>
  <c r="O128" i="8" s="1"/>
  <c r="U128" i="8" s="1"/>
  <c r="S128" i="8"/>
  <c r="M129" i="8"/>
  <c r="O129" i="8" s="1"/>
  <c r="P129" i="8" s="1"/>
  <c r="S129" i="8"/>
  <c r="M130" i="8"/>
  <c r="O130" i="8" s="1"/>
  <c r="U130" i="8" s="1"/>
  <c r="S130" i="8"/>
  <c r="M131" i="8"/>
  <c r="O131" i="8" s="1"/>
  <c r="U131" i="8" s="1"/>
  <c r="S131" i="8"/>
  <c r="M132" i="8"/>
  <c r="O132" i="8" s="1"/>
  <c r="P132" i="8" s="1"/>
  <c r="S132" i="8"/>
  <c r="M142" i="8"/>
  <c r="O142" i="8" s="1"/>
  <c r="U142" i="8" s="1"/>
  <c r="S142" i="8"/>
  <c r="M143" i="8"/>
  <c r="O143" i="8" s="1"/>
  <c r="U143" i="8" s="1"/>
  <c r="S143" i="8"/>
  <c r="M144" i="8"/>
  <c r="O144" i="8" s="1"/>
  <c r="U144" i="8" s="1"/>
  <c r="S144" i="8"/>
  <c r="M145" i="8"/>
  <c r="O145" i="8" s="1"/>
  <c r="U145" i="8" s="1"/>
  <c r="S145" i="8"/>
  <c r="M146" i="8"/>
  <c r="O146" i="8" s="1"/>
  <c r="P146" i="8" s="1"/>
  <c r="S146" i="8"/>
  <c r="M147" i="8"/>
  <c r="O147" i="8" s="1"/>
  <c r="U147" i="8" s="1"/>
  <c r="S147" i="8"/>
  <c r="M148" i="8"/>
  <c r="O148" i="8" s="1"/>
  <c r="U148" i="8" s="1"/>
  <c r="S148" i="8"/>
  <c r="M149" i="8"/>
  <c r="O149" i="8" s="1"/>
  <c r="U149" i="8" s="1"/>
  <c r="S149" i="8"/>
  <c r="M150" i="8"/>
  <c r="O150" i="8" s="1"/>
  <c r="U150" i="8" s="1"/>
  <c r="S150" i="8"/>
  <c r="M151" i="8"/>
  <c r="O151" i="8" s="1"/>
  <c r="U151" i="8" s="1"/>
  <c r="S151" i="8"/>
  <c r="M169" i="8"/>
  <c r="O169" i="8" s="1"/>
  <c r="U169" i="8" s="1"/>
  <c r="S169" i="8"/>
  <c r="M170" i="8"/>
  <c r="O170" i="8" s="1"/>
  <c r="P170" i="8" s="1"/>
  <c r="S170" i="8"/>
  <c r="M171" i="8"/>
  <c r="O171" i="8" s="1"/>
  <c r="P171" i="8" s="1"/>
  <c r="S171" i="8"/>
  <c r="M172" i="8"/>
  <c r="O172" i="8" s="1"/>
  <c r="U172" i="8" s="1"/>
  <c r="S172" i="8"/>
  <c r="M173" i="8"/>
  <c r="O173" i="8" s="1"/>
  <c r="P173" i="8" s="1"/>
  <c r="S173" i="8"/>
  <c r="M174" i="8"/>
  <c r="O174" i="8" s="1"/>
  <c r="U174" i="8" s="1"/>
  <c r="S174" i="8"/>
  <c r="M175" i="8"/>
  <c r="O175" i="8" s="1"/>
  <c r="U175" i="8" s="1"/>
  <c r="S175" i="8"/>
  <c r="M176" i="8"/>
  <c r="O176" i="8" s="1"/>
  <c r="U176" i="8" s="1"/>
  <c r="S176" i="8"/>
  <c r="M177" i="8"/>
  <c r="O177" i="8" s="1"/>
  <c r="U177" i="8" s="1"/>
  <c r="S177" i="8"/>
  <c r="M178" i="8"/>
  <c r="O178" i="8" s="1"/>
  <c r="P178" i="8" s="1"/>
  <c r="S178" i="8"/>
  <c r="M179" i="8"/>
  <c r="O179" i="8" s="1"/>
  <c r="P179" i="8" s="1"/>
  <c r="S179" i="8"/>
  <c r="M180" i="8"/>
  <c r="O180" i="8" s="1"/>
  <c r="U180" i="8" s="1"/>
  <c r="S180" i="8"/>
  <c r="M181" i="8"/>
  <c r="O181" i="8" s="1"/>
  <c r="P181" i="8" s="1"/>
  <c r="S181" i="8"/>
  <c r="M182" i="8"/>
  <c r="O182" i="8" s="1"/>
  <c r="U182" i="8" s="1"/>
  <c r="S182" i="8"/>
  <c r="M183" i="8"/>
  <c r="O183" i="8" s="1"/>
  <c r="U183" i="8" s="1"/>
  <c r="S183" i="8"/>
  <c r="M184" i="8"/>
  <c r="O184" i="8" s="1"/>
  <c r="U184" i="8" s="1"/>
  <c r="S184" i="8"/>
  <c r="M185" i="8"/>
  <c r="O185" i="8" s="1"/>
  <c r="U185" i="8" s="1"/>
  <c r="S185" i="8"/>
  <c r="M186" i="8"/>
  <c r="O186" i="8" s="1"/>
  <c r="U186" i="8" s="1"/>
  <c r="S186" i="8"/>
  <c r="M187" i="8"/>
  <c r="O187" i="8" s="1"/>
  <c r="P187" i="8" s="1"/>
  <c r="S187" i="8"/>
  <c r="M188" i="8"/>
  <c r="O188" i="8" s="1"/>
  <c r="U188" i="8" s="1"/>
  <c r="S188" i="8"/>
  <c r="M189" i="8"/>
  <c r="O189" i="8" s="1"/>
  <c r="P189" i="8" s="1"/>
  <c r="S189" i="8"/>
  <c r="M190" i="8"/>
  <c r="O190" i="8" s="1"/>
  <c r="U190" i="8" s="1"/>
  <c r="S190" i="8"/>
  <c r="M191" i="8"/>
  <c r="O191" i="8" s="1"/>
  <c r="U191" i="8" s="1"/>
  <c r="S191" i="8"/>
  <c r="M192" i="8"/>
  <c r="O192" i="8" s="1"/>
  <c r="U192" i="8" s="1"/>
  <c r="S192" i="8"/>
  <c r="M223" i="8"/>
  <c r="O223" i="8" s="1"/>
  <c r="U223" i="8" s="1"/>
  <c r="S223" i="8"/>
  <c r="M224" i="8"/>
  <c r="O224" i="8" s="1"/>
  <c r="P224" i="8" s="1"/>
  <c r="S224" i="8"/>
  <c r="M225" i="8"/>
  <c r="O225" i="8" s="1"/>
  <c r="P225" i="8" s="1"/>
  <c r="S225" i="8"/>
  <c r="M226" i="8"/>
  <c r="O226" i="8" s="1"/>
  <c r="U226" i="8" s="1"/>
  <c r="S226" i="8"/>
  <c r="M227" i="8"/>
  <c r="O227" i="8" s="1"/>
  <c r="P227" i="8" s="1"/>
  <c r="S227" i="8"/>
  <c r="M238" i="8"/>
  <c r="O238" i="8" s="1"/>
  <c r="U238" i="8" s="1"/>
  <c r="S238" i="8"/>
  <c r="M239" i="8"/>
  <c r="O239" i="8" s="1"/>
  <c r="U239" i="8" s="1"/>
  <c r="S239" i="8"/>
  <c r="M240" i="8"/>
  <c r="O240" i="8" s="1"/>
  <c r="U240" i="8" s="1"/>
  <c r="S240" i="8"/>
  <c r="M241" i="8"/>
  <c r="O241" i="8" s="1"/>
  <c r="U241" i="8" s="1"/>
  <c r="S241" i="8"/>
  <c r="M242" i="8"/>
  <c r="O242" i="8" s="1"/>
  <c r="U242" i="8" s="1"/>
  <c r="S242" i="8"/>
  <c r="M267" i="8"/>
  <c r="O267" i="8" s="1"/>
  <c r="P267" i="8" s="1"/>
  <c r="S267" i="8"/>
  <c r="M268" i="8"/>
  <c r="O268" i="8" s="1"/>
  <c r="U268" i="8" s="1"/>
  <c r="S268" i="8"/>
  <c r="M269" i="8"/>
  <c r="O269" i="8" s="1"/>
  <c r="U269" i="8" s="1"/>
  <c r="S269" i="8"/>
  <c r="M270" i="8"/>
  <c r="O270" i="8" s="1"/>
  <c r="P270" i="8" s="1"/>
  <c r="S270" i="8"/>
  <c r="M271" i="8"/>
  <c r="O271" i="8" s="1"/>
  <c r="U271" i="8" s="1"/>
  <c r="S271" i="8"/>
  <c r="M272" i="8"/>
  <c r="O272" i="8" s="1"/>
  <c r="U272" i="8" s="1"/>
  <c r="S272" i="8"/>
  <c r="M273" i="8"/>
  <c r="O273" i="8" s="1"/>
  <c r="U273" i="8" s="1"/>
  <c r="S273" i="8"/>
  <c r="M274" i="8"/>
  <c r="O274" i="8" s="1"/>
  <c r="P274" i="8" s="1"/>
  <c r="S274" i="8"/>
  <c r="M275" i="8"/>
  <c r="O275" i="8" s="1"/>
  <c r="P275" i="8" s="1"/>
  <c r="S275" i="8"/>
  <c r="U4" i="8"/>
  <c r="U5" i="8"/>
  <c r="U193" i="8"/>
  <c r="U194" i="8"/>
  <c r="U195" i="8"/>
  <c r="U198" i="8"/>
  <c r="U199" i="8"/>
  <c r="U201" i="8"/>
  <c r="U202" i="8"/>
  <c r="U203" i="8"/>
  <c r="U205" i="8"/>
  <c r="U206" i="8"/>
  <c r="U207" i="8"/>
  <c r="U210" i="8"/>
  <c r="U211" i="8"/>
  <c r="U213" i="8"/>
  <c r="U214" i="8"/>
  <c r="U215" i="8"/>
  <c r="U218" i="8"/>
  <c r="U219" i="8"/>
  <c r="U221" i="8"/>
  <c r="U222" i="8"/>
  <c r="U243" i="8"/>
  <c r="U246" i="8"/>
  <c r="U247" i="8"/>
  <c r="U249" i="8"/>
  <c r="U250" i="8"/>
  <c r="U251" i="8"/>
  <c r="U253" i="8"/>
  <c r="U254" i="8"/>
  <c r="U255" i="8"/>
  <c r="U257" i="8"/>
  <c r="U258" i="8"/>
  <c r="U259" i="8"/>
  <c r="U262" i="8"/>
  <c r="U263" i="8"/>
  <c r="U266" i="8"/>
  <c r="U276" i="8"/>
  <c r="U14" i="8"/>
  <c r="U15" i="8"/>
  <c r="U17" i="8"/>
  <c r="U18" i="8"/>
  <c r="U19" i="8"/>
  <c r="U22" i="8"/>
  <c r="U25" i="8"/>
  <c r="U51" i="8"/>
  <c r="U55" i="8"/>
  <c r="U59" i="8"/>
  <c r="U89" i="8"/>
  <c r="U92" i="8"/>
  <c r="U93" i="8"/>
  <c r="U136" i="8"/>
  <c r="U141" i="8"/>
  <c r="U152" i="8"/>
  <c r="U155" i="8"/>
  <c r="U159" i="8"/>
  <c r="U167" i="8"/>
  <c r="U235" i="8"/>
  <c r="U237" i="8"/>
  <c r="U7" i="8"/>
  <c r="U8" i="8"/>
  <c r="U10" i="8"/>
  <c r="U11" i="8"/>
  <c r="U12" i="8"/>
  <c r="U30" i="8"/>
  <c r="U31" i="8"/>
  <c r="U35" i="8"/>
  <c r="U40" i="8"/>
  <c r="U43" i="8"/>
  <c r="U47" i="8"/>
  <c r="U80" i="8"/>
  <c r="U107" i="8"/>
  <c r="U114" i="8"/>
  <c r="U178" i="8"/>
  <c r="P3" i="8"/>
  <c r="U3" i="8"/>
  <c r="P4" i="8"/>
  <c r="P5" i="8"/>
  <c r="P193" i="8"/>
  <c r="P194" i="8"/>
  <c r="P195" i="8"/>
  <c r="P197" i="8"/>
  <c r="P198" i="8"/>
  <c r="P199" i="8"/>
  <c r="P201" i="8"/>
  <c r="P202" i="8"/>
  <c r="P203" i="8"/>
  <c r="P205" i="8"/>
  <c r="P206" i="8"/>
  <c r="P207" i="8"/>
  <c r="P209" i="8"/>
  <c r="P210" i="8"/>
  <c r="P211" i="8"/>
  <c r="P213" i="8"/>
  <c r="P214" i="8"/>
  <c r="P215" i="8"/>
  <c r="P217" i="8"/>
  <c r="P218" i="8"/>
  <c r="P219" i="8"/>
  <c r="P221" i="8"/>
  <c r="P222" i="8"/>
  <c r="P243" i="8"/>
  <c r="P245" i="8"/>
  <c r="P246" i="8"/>
  <c r="P247" i="8"/>
  <c r="P249" i="8"/>
  <c r="P250" i="8"/>
  <c r="P251" i="8"/>
  <c r="P253" i="8"/>
  <c r="P254" i="8"/>
  <c r="P255" i="8"/>
  <c r="P257" i="8"/>
  <c r="P258" i="8"/>
  <c r="P259" i="8"/>
  <c r="P261" i="8"/>
  <c r="P262" i="8"/>
  <c r="P263" i="8"/>
  <c r="P265" i="8"/>
  <c r="P266" i="8"/>
  <c r="P276" i="8"/>
  <c r="P14" i="8"/>
  <c r="P15" i="8"/>
  <c r="P17" i="8"/>
  <c r="P18" i="8"/>
  <c r="P19" i="8"/>
  <c r="P21" i="8"/>
  <c r="P22" i="8"/>
  <c r="P25" i="8"/>
  <c r="P51" i="8"/>
  <c r="P55" i="8"/>
  <c r="P56" i="8"/>
  <c r="P58" i="8"/>
  <c r="P59" i="8"/>
  <c r="P88" i="8"/>
  <c r="P89" i="8"/>
  <c r="P92" i="8"/>
  <c r="P93" i="8"/>
  <c r="P94" i="8"/>
  <c r="P133" i="8"/>
  <c r="P134" i="8"/>
  <c r="P136" i="8"/>
  <c r="P137" i="8"/>
  <c r="P138" i="8"/>
  <c r="P141" i="8"/>
  <c r="P152" i="8"/>
  <c r="P154" i="8"/>
  <c r="P155" i="8"/>
  <c r="P158" i="8"/>
  <c r="P159" i="8"/>
  <c r="P162" i="8"/>
  <c r="P163" i="8"/>
  <c r="P164" i="8"/>
  <c r="P167" i="8"/>
  <c r="P168" i="8"/>
  <c r="P229" i="8"/>
  <c r="P230" i="8"/>
  <c r="P231" i="8"/>
  <c r="P234" i="8"/>
  <c r="P7" i="8"/>
  <c r="P11" i="8"/>
  <c r="P26" i="8"/>
  <c r="P27" i="8"/>
  <c r="P31" i="8"/>
  <c r="P32" i="8"/>
  <c r="P34" i="8"/>
  <c r="P35" i="8"/>
  <c r="P36" i="8"/>
  <c r="P38" i="8"/>
  <c r="P39" i="8"/>
  <c r="P40" i="8"/>
  <c r="P42" i="8"/>
  <c r="P43" i="8"/>
  <c r="P44" i="8"/>
  <c r="P47" i="8"/>
  <c r="P50" i="8"/>
  <c r="P64" i="8"/>
  <c r="P68" i="8"/>
  <c r="P72" i="8"/>
  <c r="P73" i="8"/>
  <c r="P76" i="8"/>
  <c r="P77" i="8"/>
  <c r="P81" i="8"/>
  <c r="P84" i="8"/>
  <c r="P85" i="8"/>
  <c r="P103" i="8"/>
  <c r="P107" i="8"/>
  <c r="P111" i="8"/>
  <c r="P116" i="8"/>
  <c r="P119" i="8"/>
  <c r="P120" i="8"/>
  <c r="P131" i="8"/>
  <c r="P144" i="8"/>
  <c r="P148" i="8"/>
  <c r="P185" i="8"/>
  <c r="P226" i="8" l="1"/>
  <c r="P188" i="8"/>
  <c r="P241" i="8"/>
  <c r="P128" i="8"/>
  <c r="P99" i="8"/>
  <c r="U173" i="8"/>
  <c r="U71" i="8"/>
  <c r="G71" i="10" s="1"/>
  <c r="H71" i="10" s="1"/>
  <c r="P115" i="8"/>
  <c r="U108" i="8"/>
  <c r="U67" i="8"/>
  <c r="G67" i="10" s="1"/>
  <c r="H67" i="10" s="1"/>
  <c r="P196" i="8"/>
  <c r="U274" i="8"/>
  <c r="U264" i="8"/>
  <c r="P256" i="8"/>
  <c r="U79" i="8"/>
  <c r="G79" i="10" s="1"/>
  <c r="H79" i="10" s="1"/>
  <c r="U204" i="8"/>
  <c r="G204" i="10" s="1"/>
  <c r="H204" i="10" s="1"/>
  <c r="P122" i="8"/>
  <c r="P75" i="8"/>
  <c r="U170" i="8"/>
  <c r="P169" i="8"/>
  <c r="U127" i="8"/>
  <c r="P118" i="8"/>
  <c r="P240" i="8"/>
  <c r="P147" i="8"/>
  <c r="P83" i="8"/>
  <c r="P184" i="8"/>
  <c r="U106" i="8"/>
  <c r="P269" i="8"/>
  <c r="P177" i="8"/>
  <c r="P123" i="8"/>
  <c r="P110" i="8"/>
  <c r="P60" i="8"/>
  <c r="U98" i="8"/>
  <c r="G98" i="10" s="1"/>
  <c r="H98" i="10" s="1"/>
  <c r="P192" i="8"/>
  <c r="P176" i="8"/>
  <c r="P143" i="8"/>
  <c r="P46" i="8"/>
  <c r="U227" i="8"/>
  <c r="U233" i="8"/>
  <c r="G233" i="10" s="1"/>
  <c r="H233" i="10" s="1"/>
  <c r="P172" i="8"/>
  <c r="P130" i="8"/>
  <c r="P102" i="8"/>
  <c r="P166" i="8"/>
  <c r="P96" i="8"/>
  <c r="U181" i="8"/>
  <c r="U63" i="8"/>
  <c r="P268" i="8"/>
  <c r="P182" i="8"/>
  <c r="P151" i="8"/>
  <c r="P126" i="8"/>
  <c r="P140" i="8"/>
  <c r="P54" i="8"/>
  <c r="U104" i="8"/>
  <c r="P180" i="8"/>
  <c r="U53" i="8"/>
  <c r="J53" i="10" s="1"/>
  <c r="P186" i="8"/>
  <c r="P220" i="8"/>
  <c r="U248" i="8"/>
  <c r="G248" i="10" s="1"/>
  <c r="H248" i="10" s="1"/>
  <c r="U132" i="8"/>
  <c r="U157" i="8"/>
  <c r="U20" i="8"/>
  <c r="P124" i="8"/>
  <c r="U37" i="8"/>
  <c r="G37" i="10" s="1"/>
  <c r="H37" i="10" s="1"/>
  <c r="P161" i="8"/>
  <c r="U212" i="8"/>
  <c r="G212" i="10" s="1"/>
  <c r="H212" i="10" s="1"/>
  <c r="P16" i="8"/>
  <c r="U224" i="8"/>
  <c r="P223" i="8"/>
  <c r="U189" i="8"/>
  <c r="P272" i="8"/>
  <c r="U100" i="8"/>
  <c r="G100" i="10" s="1"/>
  <c r="H100" i="10" s="1"/>
  <c r="P238" i="8"/>
  <c r="P149" i="8"/>
  <c r="P65" i="8"/>
  <c r="P86" i="8"/>
  <c r="U270" i="8"/>
  <c r="P23" i="8"/>
  <c r="P174" i="8"/>
  <c r="P145" i="8"/>
  <c r="P61" i="8"/>
  <c r="P160" i="8"/>
  <c r="U90" i="8"/>
  <c r="G90" i="10" s="1"/>
  <c r="H90" i="10" s="1"/>
  <c r="U52" i="8"/>
  <c r="G52" i="10" s="1"/>
  <c r="H52" i="10" s="1"/>
  <c r="P242" i="8"/>
  <c r="P191" i="8"/>
  <c r="P112" i="8"/>
  <c r="P69" i="8"/>
  <c r="P28" i="8"/>
  <c r="P190" i="8"/>
  <c r="P48" i="8"/>
  <c r="P156" i="8"/>
  <c r="P33" i="8"/>
  <c r="P109" i="8"/>
  <c r="P41" i="8"/>
  <c r="P91" i="8"/>
  <c r="U9" i="8"/>
  <c r="U139" i="8"/>
  <c r="G139" i="10" s="1"/>
  <c r="H139" i="10" s="1"/>
  <c r="P101" i="8"/>
  <c r="P117" i="8"/>
  <c r="P49" i="8"/>
  <c r="P135" i="8"/>
  <c r="P183" i="8"/>
  <c r="P153" i="8"/>
  <c r="P228" i="8"/>
  <c r="U129" i="8"/>
  <c r="G129" i="10" s="1"/>
  <c r="H129" i="10" s="1"/>
  <c r="U45" i="8"/>
  <c r="G45" i="10" s="1"/>
  <c r="H45" i="10" s="1"/>
  <c r="P236" i="8"/>
  <c r="U62" i="8"/>
  <c r="U165" i="8"/>
  <c r="U87" i="8"/>
  <c r="G87" i="10" s="1"/>
  <c r="H87" i="10" s="1"/>
  <c r="P74" i="8"/>
  <c r="P273" i="8"/>
  <c r="P13" i="8"/>
  <c r="P24" i="8"/>
  <c r="U146" i="8"/>
  <c r="G146" i="10" s="1"/>
  <c r="H146" i="10" s="1"/>
  <c r="P57" i="8"/>
  <c r="U95" i="8"/>
  <c r="U105" i="8"/>
  <c r="J105" i="10" s="1"/>
  <c r="P150" i="8"/>
  <c r="P82" i="8"/>
  <c r="U113" i="8"/>
  <c r="G113" i="10" s="1"/>
  <c r="H113" i="10" s="1"/>
  <c r="U29" i="8"/>
  <c r="G29" i="10" s="1"/>
  <c r="H29" i="10" s="1"/>
  <c r="P175" i="8"/>
  <c r="U121" i="8"/>
  <c r="U70" i="8"/>
  <c r="G70" i="10" s="1"/>
  <c r="H70" i="10" s="1"/>
  <c r="U78" i="8"/>
  <c r="G78" i="10" s="1"/>
  <c r="H78" i="10" s="1"/>
  <c r="P239" i="8"/>
  <c r="P271" i="8"/>
  <c r="P66" i="8"/>
  <c r="U97" i="8"/>
  <c r="G97" i="10" s="1"/>
  <c r="H97" i="10" s="1"/>
  <c r="U232" i="8"/>
  <c r="G232" i="10" s="1"/>
  <c r="H232" i="10" s="1"/>
  <c r="U171" i="8"/>
  <c r="U179" i="8"/>
  <c r="G179" i="10" s="1"/>
  <c r="H179" i="10" s="1"/>
  <c r="U187" i="8"/>
  <c r="G187" i="10" s="1"/>
  <c r="H187" i="10" s="1"/>
  <c r="U225" i="8"/>
  <c r="G225" i="10" s="1"/>
  <c r="H225" i="10" s="1"/>
  <c r="P142" i="8"/>
  <c r="P125" i="8"/>
  <c r="U275" i="8"/>
  <c r="J275" i="10" s="1"/>
  <c r="U267" i="8"/>
  <c r="G267" i="10" s="1"/>
  <c r="H267" i="10" s="1"/>
  <c r="P277" i="8"/>
  <c r="P260" i="8"/>
  <c r="P252" i="8"/>
  <c r="P244" i="8"/>
  <c r="P216" i="8"/>
  <c r="P208" i="8"/>
  <c r="P200" i="8"/>
  <c r="P6" i="8"/>
  <c r="G272" i="10"/>
  <c r="H272" i="10" s="1"/>
  <c r="J272" i="10"/>
  <c r="G240" i="10"/>
  <c r="H240" i="10" s="1"/>
  <c r="J240" i="10"/>
  <c r="G192" i="10"/>
  <c r="H192" i="10" s="1"/>
  <c r="J192" i="10"/>
  <c r="G184" i="10"/>
  <c r="H184" i="10" s="1"/>
  <c r="J184" i="10"/>
  <c r="G176" i="10"/>
  <c r="H176" i="10" s="1"/>
  <c r="J176" i="10"/>
  <c r="G151" i="10"/>
  <c r="H151" i="10" s="1"/>
  <c r="J151" i="10"/>
  <c r="G143" i="10"/>
  <c r="H143" i="10" s="1"/>
  <c r="J143" i="10"/>
  <c r="G126" i="10"/>
  <c r="H126" i="10" s="1"/>
  <c r="J126" i="10"/>
  <c r="G118" i="10"/>
  <c r="H118" i="10" s="1"/>
  <c r="J118" i="10"/>
  <c r="G110" i="10"/>
  <c r="H110" i="10" s="1"/>
  <c r="J110" i="10"/>
  <c r="G102" i="10"/>
  <c r="H102" i="10" s="1"/>
  <c r="J102" i="10"/>
  <c r="G83" i="10"/>
  <c r="H83" i="10" s="1"/>
  <c r="J83" i="10"/>
  <c r="G75" i="10"/>
  <c r="H75" i="10" s="1"/>
  <c r="J75" i="10"/>
  <c r="G50" i="10"/>
  <c r="H50" i="10" s="1"/>
  <c r="J50" i="10"/>
  <c r="G42" i="10"/>
  <c r="H42" i="10" s="1"/>
  <c r="J42" i="10"/>
  <c r="G34" i="10"/>
  <c r="H34" i="10" s="1"/>
  <c r="J34" i="10"/>
  <c r="G26" i="10"/>
  <c r="H26" i="10" s="1"/>
  <c r="J26" i="10"/>
  <c r="G237" i="10"/>
  <c r="H237" i="10" s="1"/>
  <c r="J237" i="10"/>
  <c r="G229" i="10"/>
  <c r="H229" i="10" s="1"/>
  <c r="J229" i="10"/>
  <c r="G162" i="10"/>
  <c r="H162" i="10" s="1"/>
  <c r="J162" i="10"/>
  <c r="G154" i="10"/>
  <c r="H154" i="10" s="1"/>
  <c r="J154" i="10"/>
  <c r="G136" i="10"/>
  <c r="H136" i="10" s="1"/>
  <c r="J136" i="10"/>
  <c r="G92" i="10"/>
  <c r="H92" i="10" s="1"/>
  <c r="J92" i="10"/>
  <c r="G58" i="10"/>
  <c r="H58" i="10" s="1"/>
  <c r="J58" i="10"/>
  <c r="G25" i="10"/>
  <c r="H25" i="10" s="1"/>
  <c r="J25" i="10"/>
  <c r="G17" i="10"/>
  <c r="H17" i="10" s="1"/>
  <c r="J17" i="10"/>
  <c r="G264" i="10"/>
  <c r="H264" i="10" s="1"/>
  <c r="J264" i="10"/>
  <c r="G256" i="10"/>
  <c r="H256" i="10" s="1"/>
  <c r="J256" i="10"/>
  <c r="G220" i="10"/>
  <c r="H220" i="10" s="1"/>
  <c r="J220" i="10"/>
  <c r="G196" i="10"/>
  <c r="H196" i="10" s="1"/>
  <c r="J196" i="10"/>
  <c r="G271" i="10"/>
  <c r="H271" i="10" s="1"/>
  <c r="J271" i="10"/>
  <c r="G239" i="10"/>
  <c r="H239" i="10" s="1"/>
  <c r="J239" i="10"/>
  <c r="G191" i="10"/>
  <c r="H191" i="10" s="1"/>
  <c r="J191" i="10"/>
  <c r="G183" i="10"/>
  <c r="H183" i="10" s="1"/>
  <c r="J183" i="10"/>
  <c r="G175" i="10"/>
  <c r="H175" i="10" s="1"/>
  <c r="J175" i="10"/>
  <c r="G150" i="10"/>
  <c r="H150" i="10" s="1"/>
  <c r="J150" i="10"/>
  <c r="G142" i="10"/>
  <c r="H142" i="10" s="1"/>
  <c r="J142" i="10"/>
  <c r="G125" i="10"/>
  <c r="H125" i="10" s="1"/>
  <c r="J125" i="10"/>
  <c r="G117" i="10"/>
  <c r="H117" i="10" s="1"/>
  <c r="J117" i="10"/>
  <c r="G109" i="10"/>
  <c r="H109" i="10" s="1"/>
  <c r="J109" i="10"/>
  <c r="G101" i="10"/>
  <c r="H101" i="10" s="1"/>
  <c r="J101" i="10"/>
  <c r="G82" i="10"/>
  <c r="H82" i="10" s="1"/>
  <c r="J82" i="10"/>
  <c r="G74" i="10"/>
  <c r="H74" i="10" s="1"/>
  <c r="J74" i="10"/>
  <c r="G66" i="10"/>
  <c r="H66" i="10" s="1"/>
  <c r="J66" i="10"/>
  <c r="G49" i="10"/>
  <c r="H49" i="10" s="1"/>
  <c r="J49" i="10"/>
  <c r="G41" i="10"/>
  <c r="H41" i="10" s="1"/>
  <c r="J41" i="10"/>
  <c r="G33" i="10"/>
  <c r="H33" i="10" s="1"/>
  <c r="J33" i="10"/>
  <c r="G13" i="10"/>
  <c r="H13" i="10" s="1"/>
  <c r="J13" i="10"/>
  <c r="G236" i="10"/>
  <c r="H236" i="10" s="1"/>
  <c r="J236" i="10"/>
  <c r="G228" i="10"/>
  <c r="H228" i="10" s="1"/>
  <c r="J228" i="10"/>
  <c r="G161" i="10"/>
  <c r="H161" i="10" s="1"/>
  <c r="I161" i="10" s="1"/>
  <c r="J161" i="10"/>
  <c r="G153" i="10"/>
  <c r="H153" i="10" s="1"/>
  <c r="J153" i="10"/>
  <c r="G135" i="10"/>
  <c r="H135" i="10" s="1"/>
  <c r="J135" i="10"/>
  <c r="G91" i="10"/>
  <c r="H91" i="10" s="1"/>
  <c r="J91" i="10"/>
  <c r="G57" i="10"/>
  <c r="H57" i="10" s="1"/>
  <c r="J57" i="10"/>
  <c r="G24" i="10"/>
  <c r="H24" i="10" s="1"/>
  <c r="J24" i="10"/>
  <c r="G16" i="10"/>
  <c r="H16" i="10" s="1"/>
  <c r="J16" i="10"/>
  <c r="G263" i="10"/>
  <c r="H263" i="10" s="1"/>
  <c r="J263" i="10"/>
  <c r="G255" i="10"/>
  <c r="H255" i="10" s="1"/>
  <c r="J255" i="10"/>
  <c r="G247" i="10"/>
  <c r="H247" i="10" s="1"/>
  <c r="J247" i="10"/>
  <c r="G219" i="10"/>
  <c r="H219" i="10" s="1"/>
  <c r="J219" i="10"/>
  <c r="G211" i="10"/>
  <c r="H211" i="10" s="1"/>
  <c r="J211" i="10"/>
  <c r="G203" i="10"/>
  <c r="H203" i="10" s="1"/>
  <c r="J203" i="10"/>
  <c r="G195" i="10"/>
  <c r="H195" i="10" s="1"/>
  <c r="J195" i="10"/>
  <c r="G270" i="10"/>
  <c r="H270" i="10" s="1"/>
  <c r="J270" i="10"/>
  <c r="G238" i="10"/>
  <c r="H238" i="10" s="1"/>
  <c r="J238" i="10"/>
  <c r="G190" i="10"/>
  <c r="H190" i="10" s="1"/>
  <c r="J190" i="10"/>
  <c r="G182" i="10"/>
  <c r="H182" i="10" s="1"/>
  <c r="J182" i="10"/>
  <c r="G174" i="10"/>
  <c r="H174" i="10" s="1"/>
  <c r="J174" i="10"/>
  <c r="G149" i="10"/>
  <c r="H149" i="10" s="1"/>
  <c r="J149" i="10"/>
  <c r="G132" i="10"/>
  <c r="H132" i="10" s="1"/>
  <c r="J132" i="10"/>
  <c r="G124" i="10"/>
  <c r="H124" i="10" s="1"/>
  <c r="J124" i="10"/>
  <c r="G116" i="10"/>
  <c r="H116" i="10" s="1"/>
  <c r="J116" i="10"/>
  <c r="G108" i="10"/>
  <c r="H108" i="10" s="1"/>
  <c r="J108" i="10"/>
  <c r="G81" i="10"/>
  <c r="H81" i="10" s="1"/>
  <c r="J81" i="10"/>
  <c r="G73" i="10"/>
  <c r="H73" i="10" s="1"/>
  <c r="J73" i="10"/>
  <c r="G65" i="10"/>
  <c r="H65" i="10" s="1"/>
  <c r="J65" i="10"/>
  <c r="G48" i="10"/>
  <c r="H48" i="10" s="1"/>
  <c r="J48" i="10"/>
  <c r="G40" i="10"/>
  <c r="H40" i="10" s="1"/>
  <c r="J40" i="10"/>
  <c r="G32" i="10"/>
  <c r="H32" i="10" s="1"/>
  <c r="J32" i="10"/>
  <c r="G12" i="10"/>
  <c r="H12" i="10" s="1"/>
  <c r="J12" i="10"/>
  <c r="G235" i="10"/>
  <c r="H235" i="10" s="1"/>
  <c r="J235" i="10"/>
  <c r="G168" i="10"/>
  <c r="H168" i="10" s="1"/>
  <c r="J168" i="10"/>
  <c r="G160" i="10"/>
  <c r="H160" i="10" s="1"/>
  <c r="J160" i="10"/>
  <c r="G152" i="10"/>
  <c r="H152" i="10" s="1"/>
  <c r="J152" i="10"/>
  <c r="G134" i="10"/>
  <c r="H134" i="10" s="1"/>
  <c r="J134" i="10"/>
  <c r="G56" i="10"/>
  <c r="H56" i="10" s="1"/>
  <c r="J56" i="10"/>
  <c r="G23" i="10"/>
  <c r="H23" i="10" s="1"/>
  <c r="J23" i="10"/>
  <c r="G15" i="10"/>
  <c r="H15" i="10" s="1"/>
  <c r="J15" i="10"/>
  <c r="G262" i="10"/>
  <c r="H262" i="10" s="1"/>
  <c r="J262" i="10"/>
  <c r="G254" i="10"/>
  <c r="H254" i="10" s="1"/>
  <c r="J254" i="10"/>
  <c r="G246" i="10"/>
  <c r="H246" i="10" s="1"/>
  <c r="J246" i="10"/>
  <c r="G218" i="10"/>
  <c r="H218" i="10" s="1"/>
  <c r="J218" i="10"/>
  <c r="G210" i="10"/>
  <c r="H210" i="10" s="1"/>
  <c r="J210" i="10"/>
  <c r="G202" i="10"/>
  <c r="H202" i="10" s="1"/>
  <c r="J202" i="10"/>
  <c r="G194" i="10"/>
  <c r="H194" i="10" s="1"/>
  <c r="J194" i="10"/>
  <c r="G3" i="10"/>
  <c r="H3" i="10" s="1"/>
  <c r="J3" i="10"/>
  <c r="G269" i="10"/>
  <c r="H269" i="10" s="1"/>
  <c r="J269" i="10"/>
  <c r="G227" i="10"/>
  <c r="H227" i="10" s="1"/>
  <c r="J227" i="10"/>
  <c r="G189" i="10"/>
  <c r="H189" i="10" s="1"/>
  <c r="J189" i="10"/>
  <c r="G181" i="10"/>
  <c r="H181" i="10" s="1"/>
  <c r="J181" i="10"/>
  <c r="G173" i="10"/>
  <c r="H173" i="10" s="1"/>
  <c r="J173" i="10"/>
  <c r="G148" i="10"/>
  <c r="H148" i="10" s="1"/>
  <c r="J148" i="10"/>
  <c r="G131" i="10"/>
  <c r="H131" i="10" s="1"/>
  <c r="J131" i="10"/>
  <c r="G123" i="10"/>
  <c r="H123" i="10" s="1"/>
  <c r="J123" i="10"/>
  <c r="G115" i="10"/>
  <c r="H115" i="10" s="1"/>
  <c r="J115" i="10"/>
  <c r="G107" i="10"/>
  <c r="H107" i="10" s="1"/>
  <c r="J107" i="10"/>
  <c r="G99" i="10"/>
  <c r="H99" i="10" s="1"/>
  <c r="J99" i="10"/>
  <c r="G80" i="10"/>
  <c r="H80" i="10" s="1"/>
  <c r="J80" i="10"/>
  <c r="G72" i="10"/>
  <c r="H72" i="10" s="1"/>
  <c r="J72" i="10"/>
  <c r="G64" i="10"/>
  <c r="H64" i="10" s="1"/>
  <c r="J64" i="10"/>
  <c r="G47" i="10"/>
  <c r="H47" i="10" s="1"/>
  <c r="J47" i="10"/>
  <c r="G39" i="10"/>
  <c r="H39" i="10" s="1"/>
  <c r="J39" i="10"/>
  <c r="G31" i="10"/>
  <c r="H31" i="10" s="1"/>
  <c r="J31" i="10"/>
  <c r="G11" i="10"/>
  <c r="H11" i="10" s="1"/>
  <c r="J11" i="10"/>
  <c r="G234" i="10"/>
  <c r="H234" i="10" s="1"/>
  <c r="J234" i="10"/>
  <c r="G167" i="10"/>
  <c r="H167" i="10" s="1"/>
  <c r="J167" i="10"/>
  <c r="G159" i="10"/>
  <c r="H159" i="10" s="1"/>
  <c r="J159" i="10"/>
  <c r="G141" i="10"/>
  <c r="H141" i="10" s="1"/>
  <c r="J141" i="10"/>
  <c r="G133" i="10"/>
  <c r="H133" i="10" s="1"/>
  <c r="J133" i="10"/>
  <c r="G89" i="10"/>
  <c r="H89" i="10" s="1"/>
  <c r="J89" i="10"/>
  <c r="G55" i="10"/>
  <c r="H55" i="10" s="1"/>
  <c r="J55" i="10"/>
  <c r="G22" i="10"/>
  <c r="H22" i="10" s="1"/>
  <c r="J22" i="10"/>
  <c r="G14" i="10"/>
  <c r="H14" i="10" s="1"/>
  <c r="J14" i="10"/>
  <c r="G261" i="10"/>
  <c r="H261" i="10" s="1"/>
  <c r="J261" i="10"/>
  <c r="G253" i="10"/>
  <c r="H253" i="10" s="1"/>
  <c r="J253" i="10"/>
  <c r="G245" i="10"/>
  <c r="H245" i="10" s="1"/>
  <c r="J245" i="10"/>
  <c r="G217" i="10"/>
  <c r="H217" i="10" s="1"/>
  <c r="J217" i="10"/>
  <c r="G209" i="10"/>
  <c r="H209" i="10" s="1"/>
  <c r="J209" i="10"/>
  <c r="G201" i="10"/>
  <c r="H201" i="10" s="1"/>
  <c r="J201" i="10"/>
  <c r="G193" i="10"/>
  <c r="H193" i="10" s="1"/>
  <c r="J193" i="10"/>
  <c r="G268" i="10"/>
  <c r="H268" i="10" s="1"/>
  <c r="J268" i="10"/>
  <c r="G226" i="10"/>
  <c r="H226" i="10" s="1"/>
  <c r="J226" i="10"/>
  <c r="G188" i="10"/>
  <c r="H188" i="10" s="1"/>
  <c r="J188" i="10"/>
  <c r="G180" i="10"/>
  <c r="H180" i="10" s="1"/>
  <c r="J180" i="10"/>
  <c r="G172" i="10"/>
  <c r="H172" i="10" s="1"/>
  <c r="J172" i="10"/>
  <c r="G147" i="10"/>
  <c r="H147" i="10" s="1"/>
  <c r="J147" i="10"/>
  <c r="G130" i="10"/>
  <c r="H130" i="10" s="1"/>
  <c r="J130" i="10"/>
  <c r="G122" i="10"/>
  <c r="H122" i="10" s="1"/>
  <c r="J122" i="10"/>
  <c r="G114" i="10"/>
  <c r="H114" i="10" s="1"/>
  <c r="J114" i="10"/>
  <c r="G106" i="10"/>
  <c r="H106" i="10" s="1"/>
  <c r="J106" i="10"/>
  <c r="G63" i="10"/>
  <c r="H63" i="10" s="1"/>
  <c r="J63" i="10"/>
  <c r="G46" i="10"/>
  <c r="H46" i="10" s="1"/>
  <c r="J46" i="10"/>
  <c r="G38" i="10"/>
  <c r="H38" i="10" s="1"/>
  <c r="J38" i="10"/>
  <c r="G30" i="10"/>
  <c r="H30" i="10" s="1"/>
  <c r="J30" i="10"/>
  <c r="G10" i="10"/>
  <c r="H10" i="10" s="1"/>
  <c r="J10" i="10"/>
  <c r="G166" i="10"/>
  <c r="H166" i="10" s="1"/>
  <c r="J166" i="10"/>
  <c r="G158" i="10"/>
  <c r="H158" i="10" s="1"/>
  <c r="J158" i="10"/>
  <c r="G140" i="10"/>
  <c r="H140" i="10" s="1"/>
  <c r="J140" i="10"/>
  <c r="G96" i="10"/>
  <c r="H96" i="10" s="1"/>
  <c r="J96" i="10"/>
  <c r="G88" i="10"/>
  <c r="H88" i="10" s="1"/>
  <c r="J88" i="10"/>
  <c r="G54" i="10"/>
  <c r="H54" i="10" s="1"/>
  <c r="J54" i="10"/>
  <c r="G21" i="10"/>
  <c r="H21" i="10" s="1"/>
  <c r="J21" i="10"/>
  <c r="G277" i="10"/>
  <c r="H277" i="10" s="1"/>
  <c r="J277" i="10"/>
  <c r="G260" i="10"/>
  <c r="H260" i="10" s="1"/>
  <c r="J260" i="10"/>
  <c r="G252" i="10"/>
  <c r="H252" i="10" s="1"/>
  <c r="J252" i="10"/>
  <c r="G244" i="10"/>
  <c r="H244" i="10" s="1"/>
  <c r="J244" i="10"/>
  <c r="G216" i="10"/>
  <c r="H216" i="10" s="1"/>
  <c r="J216" i="10"/>
  <c r="G208" i="10"/>
  <c r="H208" i="10" s="1"/>
  <c r="J208" i="10"/>
  <c r="G200" i="10"/>
  <c r="H200" i="10" s="1"/>
  <c r="J200" i="10"/>
  <c r="G6" i="10"/>
  <c r="H6" i="10" s="1"/>
  <c r="J6" i="10"/>
  <c r="G275" i="10"/>
  <c r="H275" i="10" s="1"/>
  <c r="G171" i="10"/>
  <c r="H171" i="10" s="1"/>
  <c r="J171" i="10"/>
  <c r="J129" i="10"/>
  <c r="G121" i="10"/>
  <c r="H121" i="10" s="1"/>
  <c r="J121" i="10"/>
  <c r="J97" i="10"/>
  <c r="J70" i="10"/>
  <c r="G62" i="10"/>
  <c r="H62" i="10" s="1"/>
  <c r="J62" i="10"/>
  <c r="G165" i="10"/>
  <c r="H165" i="10" s="1"/>
  <c r="J165" i="10"/>
  <c r="G157" i="10"/>
  <c r="H157" i="10" s="1"/>
  <c r="J157" i="10"/>
  <c r="G95" i="10"/>
  <c r="H95" i="10" s="1"/>
  <c r="J95" i="10"/>
  <c r="G20" i="10"/>
  <c r="H20" i="10" s="1"/>
  <c r="J20" i="10"/>
  <c r="G276" i="10"/>
  <c r="H276" i="10" s="1"/>
  <c r="J276" i="10"/>
  <c r="G259" i="10"/>
  <c r="H259" i="10" s="1"/>
  <c r="J259" i="10"/>
  <c r="G251" i="10"/>
  <c r="H251" i="10" s="1"/>
  <c r="J251" i="10"/>
  <c r="G243" i="10"/>
  <c r="H243" i="10" s="1"/>
  <c r="J243" i="10"/>
  <c r="G215" i="10"/>
  <c r="H215" i="10" s="1"/>
  <c r="J215" i="10"/>
  <c r="G207" i="10"/>
  <c r="H207" i="10" s="1"/>
  <c r="J207" i="10"/>
  <c r="G199" i="10"/>
  <c r="H199" i="10" s="1"/>
  <c r="J199" i="10"/>
  <c r="G5" i="10"/>
  <c r="H5" i="10" s="1"/>
  <c r="J5" i="10"/>
  <c r="G274" i="10"/>
  <c r="H274" i="10" s="1"/>
  <c r="J274" i="10"/>
  <c r="G242" i="10"/>
  <c r="H242" i="10" s="1"/>
  <c r="J242" i="10"/>
  <c r="G224" i="10"/>
  <c r="H224" i="10" s="1"/>
  <c r="J224" i="10"/>
  <c r="G186" i="10"/>
  <c r="H186" i="10" s="1"/>
  <c r="J186" i="10"/>
  <c r="G178" i="10"/>
  <c r="H178" i="10" s="1"/>
  <c r="J178" i="10"/>
  <c r="G170" i="10"/>
  <c r="H170" i="10" s="1"/>
  <c r="J170" i="10"/>
  <c r="G145" i="10"/>
  <c r="H145" i="10" s="1"/>
  <c r="J145" i="10"/>
  <c r="G128" i="10"/>
  <c r="H128" i="10" s="1"/>
  <c r="J128" i="10"/>
  <c r="G120" i="10"/>
  <c r="H120" i="10" s="1"/>
  <c r="J120" i="10"/>
  <c r="G112" i="10"/>
  <c r="H112" i="10" s="1"/>
  <c r="J112" i="10"/>
  <c r="G104" i="10"/>
  <c r="H104" i="10" s="1"/>
  <c r="J104" i="10"/>
  <c r="G85" i="10"/>
  <c r="H85" i="10" s="1"/>
  <c r="J85" i="10"/>
  <c r="G77" i="10"/>
  <c r="H77" i="10" s="1"/>
  <c r="J77" i="10"/>
  <c r="G69" i="10"/>
  <c r="H69" i="10" s="1"/>
  <c r="J69" i="10"/>
  <c r="G61" i="10"/>
  <c r="H61" i="10" s="1"/>
  <c r="J61" i="10"/>
  <c r="G44" i="10"/>
  <c r="H44" i="10" s="1"/>
  <c r="J44" i="10"/>
  <c r="G36" i="10"/>
  <c r="H36" i="10" s="1"/>
  <c r="J36" i="10"/>
  <c r="G28" i="10"/>
  <c r="H28" i="10" s="1"/>
  <c r="J28" i="10"/>
  <c r="G8" i="10"/>
  <c r="H8" i="10" s="1"/>
  <c r="J8" i="10"/>
  <c r="G231" i="10"/>
  <c r="H231" i="10" s="1"/>
  <c r="J231" i="10"/>
  <c r="G164" i="10"/>
  <c r="H164" i="10" s="1"/>
  <c r="J164" i="10"/>
  <c r="G156" i="10"/>
  <c r="H156" i="10" s="1"/>
  <c r="J156" i="10"/>
  <c r="G138" i="10"/>
  <c r="H138" i="10" s="1"/>
  <c r="J138" i="10"/>
  <c r="G94" i="10"/>
  <c r="H94" i="10" s="1"/>
  <c r="J94" i="10"/>
  <c r="G86" i="10"/>
  <c r="H86" i="10" s="1"/>
  <c r="J86" i="10"/>
  <c r="G19" i="10"/>
  <c r="H19" i="10" s="1"/>
  <c r="J19" i="10"/>
  <c r="G266" i="10"/>
  <c r="H266" i="10" s="1"/>
  <c r="J266" i="10"/>
  <c r="G258" i="10"/>
  <c r="H258" i="10" s="1"/>
  <c r="J258" i="10"/>
  <c r="G250" i="10"/>
  <c r="H250" i="10" s="1"/>
  <c r="J250" i="10"/>
  <c r="G222" i="10"/>
  <c r="H222" i="10" s="1"/>
  <c r="J222" i="10"/>
  <c r="G214" i="10"/>
  <c r="H214" i="10" s="1"/>
  <c r="J214" i="10"/>
  <c r="G206" i="10"/>
  <c r="H206" i="10" s="1"/>
  <c r="J206" i="10"/>
  <c r="G198" i="10"/>
  <c r="H198" i="10" s="1"/>
  <c r="J198" i="10"/>
  <c r="G4" i="10"/>
  <c r="H4" i="10" s="1"/>
  <c r="J4" i="10"/>
  <c r="G273" i="10"/>
  <c r="H273" i="10" s="1"/>
  <c r="J273" i="10"/>
  <c r="G241" i="10"/>
  <c r="H241" i="10" s="1"/>
  <c r="J241" i="10"/>
  <c r="G223" i="10"/>
  <c r="H223" i="10" s="1"/>
  <c r="J223" i="10"/>
  <c r="G185" i="10"/>
  <c r="H185" i="10" s="1"/>
  <c r="J185" i="10"/>
  <c r="G177" i="10"/>
  <c r="H177" i="10" s="1"/>
  <c r="J177" i="10"/>
  <c r="G169" i="10"/>
  <c r="H169" i="10" s="1"/>
  <c r="J169" i="10"/>
  <c r="G144" i="10"/>
  <c r="H144" i="10" s="1"/>
  <c r="J144" i="10"/>
  <c r="G127" i="10"/>
  <c r="H127" i="10" s="1"/>
  <c r="J127" i="10"/>
  <c r="G119" i="10"/>
  <c r="H119" i="10" s="1"/>
  <c r="J119" i="10"/>
  <c r="G111" i="10"/>
  <c r="H111" i="10" s="1"/>
  <c r="J111" i="10"/>
  <c r="G103" i="10"/>
  <c r="H103" i="10" s="1"/>
  <c r="J103" i="10"/>
  <c r="G84" i="10"/>
  <c r="H84" i="10" s="1"/>
  <c r="J84" i="10"/>
  <c r="G76" i="10"/>
  <c r="H76" i="10" s="1"/>
  <c r="J76" i="10"/>
  <c r="G68" i="10"/>
  <c r="H68" i="10" s="1"/>
  <c r="J68" i="10"/>
  <c r="G60" i="10"/>
  <c r="H60" i="10" s="1"/>
  <c r="J60" i="10"/>
  <c r="G43" i="10"/>
  <c r="H43" i="10" s="1"/>
  <c r="J43" i="10"/>
  <c r="G35" i="10"/>
  <c r="H35" i="10" s="1"/>
  <c r="J35" i="10"/>
  <c r="G27" i="10"/>
  <c r="H27" i="10" s="1"/>
  <c r="J27" i="10"/>
  <c r="G7" i="10"/>
  <c r="H7" i="10" s="1"/>
  <c r="J7" i="10"/>
  <c r="G230" i="10"/>
  <c r="H230" i="10" s="1"/>
  <c r="J230" i="10"/>
  <c r="G163" i="10"/>
  <c r="H163" i="10" s="1"/>
  <c r="J163" i="10"/>
  <c r="G155" i="10"/>
  <c r="H155" i="10" s="1"/>
  <c r="J155" i="10"/>
  <c r="G137" i="10"/>
  <c r="H137" i="10" s="1"/>
  <c r="J137" i="10"/>
  <c r="G93" i="10"/>
  <c r="H93" i="10" s="1"/>
  <c r="J93" i="10"/>
  <c r="G59" i="10"/>
  <c r="H59" i="10" s="1"/>
  <c r="J59" i="10"/>
  <c r="G51" i="10"/>
  <c r="H51" i="10" s="1"/>
  <c r="J51" i="10"/>
  <c r="G18" i="10"/>
  <c r="H18" i="10" s="1"/>
  <c r="J18" i="10"/>
  <c r="G265" i="10"/>
  <c r="H265" i="10" s="1"/>
  <c r="J265" i="10"/>
  <c r="G257" i="10"/>
  <c r="H257" i="10" s="1"/>
  <c r="J257" i="10"/>
  <c r="G249" i="10"/>
  <c r="H249" i="10" s="1"/>
  <c r="J249" i="10"/>
  <c r="G221" i="10"/>
  <c r="H221" i="10" s="1"/>
  <c r="J221" i="10"/>
  <c r="G213" i="10"/>
  <c r="H213" i="10" s="1"/>
  <c r="J213" i="10"/>
  <c r="G205" i="10"/>
  <c r="H205" i="10" s="1"/>
  <c r="J205" i="10"/>
  <c r="G197" i="10"/>
  <c r="H197" i="10" s="1"/>
  <c r="J197" i="10"/>
  <c r="J204" i="10" l="1"/>
  <c r="J79" i="10"/>
  <c r="G53" i="10"/>
  <c r="H53" i="10" s="1"/>
  <c r="J71" i="10"/>
  <c r="J100" i="10"/>
  <c r="J29" i="10"/>
  <c r="J90" i="10"/>
  <c r="J45" i="10"/>
  <c r="J248" i="10"/>
  <c r="J67" i="10"/>
  <c r="U281" i="8"/>
  <c r="J139" i="10"/>
  <c r="J37" i="10"/>
  <c r="J113" i="10"/>
  <c r="J212" i="10"/>
  <c r="J9" i="10"/>
  <c r="G9" i="10"/>
  <c r="H9" i="10" s="1"/>
  <c r="J98" i="10"/>
  <c r="G105" i="10"/>
  <c r="H105" i="10" s="1"/>
  <c r="J233" i="10"/>
  <c r="J187" i="10"/>
  <c r="J78" i="10"/>
  <c r="J87" i="10"/>
  <c r="J52" i="10"/>
  <c r="J225" i="10"/>
  <c r="J232" i="10"/>
  <c r="J146" i="10"/>
  <c r="J267" i="10"/>
  <c r="J179" i="10"/>
  <c r="M221" i="10"/>
  <c r="M18" i="10"/>
  <c r="M137" i="10"/>
  <c r="M7" i="10"/>
  <c r="M60" i="10"/>
  <c r="M103" i="10"/>
  <c r="M144" i="10"/>
  <c r="M223" i="10"/>
  <c r="M198" i="10"/>
  <c r="M250" i="10"/>
  <c r="M52" i="10"/>
  <c r="M156" i="10"/>
  <c r="M28" i="10"/>
  <c r="M69" i="10"/>
  <c r="M112" i="10"/>
  <c r="M170" i="10"/>
  <c r="M242" i="10"/>
  <c r="M207" i="10"/>
  <c r="M259" i="10"/>
  <c r="M87" i="10"/>
  <c r="M165" i="10"/>
  <c r="M37" i="10"/>
  <c r="M78" i="10"/>
  <c r="M121" i="10"/>
  <c r="M179" i="10"/>
  <c r="M275" i="10"/>
  <c r="M216" i="10"/>
  <c r="M277" i="10"/>
  <c r="M96" i="10"/>
  <c r="M233" i="10"/>
  <c r="M46" i="10"/>
  <c r="M98" i="10"/>
  <c r="M130" i="10"/>
  <c r="M188" i="10"/>
  <c r="M201" i="10"/>
  <c r="M253" i="10"/>
  <c r="M55" i="10"/>
  <c r="M159" i="10"/>
  <c r="M31" i="10"/>
  <c r="M72" i="10"/>
  <c r="M115" i="10"/>
  <c r="M173" i="10"/>
  <c r="M269" i="10"/>
  <c r="M210" i="10"/>
  <c r="M262" i="10"/>
  <c r="M90" i="10"/>
  <c r="M168" i="10"/>
  <c r="M40" i="10"/>
  <c r="M81" i="10"/>
  <c r="M124" i="10"/>
  <c r="M182" i="10"/>
  <c r="M195" i="10"/>
  <c r="M247" i="10"/>
  <c r="M24" i="10"/>
  <c r="M153" i="10"/>
  <c r="M13" i="10"/>
  <c r="M66" i="10"/>
  <c r="M109" i="10"/>
  <c r="M150" i="10"/>
  <c r="M239" i="10"/>
  <c r="M212" i="10"/>
  <c r="M264" i="10"/>
  <c r="M92" i="10"/>
  <c r="M229" i="10"/>
  <c r="M42" i="10"/>
  <c r="M83" i="10"/>
  <c r="M126" i="10"/>
  <c r="M184" i="10"/>
  <c r="M197" i="10"/>
  <c r="M249" i="10"/>
  <c r="M51" i="10"/>
  <c r="M155" i="10"/>
  <c r="M27" i="10"/>
  <c r="M68" i="10"/>
  <c r="M111" i="10"/>
  <c r="M169" i="10"/>
  <c r="M241" i="10"/>
  <c r="M206" i="10"/>
  <c r="M258" i="10"/>
  <c r="M86" i="10"/>
  <c r="M164" i="10"/>
  <c r="M36" i="10"/>
  <c r="M77" i="10"/>
  <c r="M120" i="10"/>
  <c r="M178" i="10"/>
  <c r="M274" i="10"/>
  <c r="M215" i="10"/>
  <c r="M276" i="10"/>
  <c r="M95" i="10"/>
  <c r="M232" i="10"/>
  <c r="M45" i="10"/>
  <c r="M97" i="10"/>
  <c r="M129" i="10"/>
  <c r="M187" i="10"/>
  <c r="M6" i="10"/>
  <c r="M244" i="10"/>
  <c r="M21" i="10"/>
  <c r="M140" i="10"/>
  <c r="M10" i="10"/>
  <c r="M63" i="10"/>
  <c r="M106" i="10"/>
  <c r="M147" i="10"/>
  <c r="M226" i="10"/>
  <c r="M209" i="10"/>
  <c r="M261" i="10"/>
  <c r="M89" i="10"/>
  <c r="M167" i="10"/>
  <c r="M39" i="10"/>
  <c r="M80" i="10"/>
  <c r="M123" i="10"/>
  <c r="M181" i="10"/>
  <c r="M3" i="10"/>
  <c r="M218" i="10"/>
  <c r="M15" i="10"/>
  <c r="M134" i="10"/>
  <c r="M235" i="10"/>
  <c r="M48" i="10"/>
  <c r="M100" i="10"/>
  <c r="M132" i="10"/>
  <c r="M190" i="10"/>
  <c r="M203" i="10"/>
  <c r="M255" i="10"/>
  <c r="M57" i="10"/>
  <c r="M161" i="10"/>
  <c r="M33" i="10"/>
  <c r="M74" i="10"/>
  <c r="M117" i="10"/>
  <c r="M175" i="10"/>
  <c r="M271" i="10"/>
  <c r="M220" i="10"/>
  <c r="M17" i="10"/>
  <c r="M136" i="10"/>
  <c r="M237" i="10"/>
  <c r="M50" i="10"/>
  <c r="M102" i="10"/>
  <c r="M143" i="10"/>
  <c r="M192" i="10"/>
  <c r="M205" i="10"/>
  <c r="M257" i="10"/>
  <c r="M59" i="10"/>
  <c r="M163" i="10"/>
  <c r="M35" i="10"/>
  <c r="M76" i="10"/>
  <c r="M119" i="10"/>
  <c r="M177" i="10"/>
  <c r="M273" i="10"/>
  <c r="M214" i="10"/>
  <c r="M266" i="10"/>
  <c r="M94" i="10"/>
  <c r="M231" i="10"/>
  <c r="M44" i="10"/>
  <c r="M85" i="10"/>
  <c r="M128" i="10"/>
  <c r="M186" i="10"/>
  <c r="M5" i="10"/>
  <c r="M243" i="10"/>
  <c r="M20" i="10"/>
  <c r="M139" i="10"/>
  <c r="M9" i="10"/>
  <c r="M62" i="10"/>
  <c r="M105" i="10"/>
  <c r="M146" i="10"/>
  <c r="M225" i="10"/>
  <c r="M200" i="10"/>
  <c r="M252" i="10"/>
  <c r="M54" i="10"/>
  <c r="M158" i="10"/>
  <c r="M30" i="10"/>
  <c r="M71" i="10"/>
  <c r="M114" i="10"/>
  <c r="M172" i="10"/>
  <c r="M268" i="10"/>
  <c r="M217" i="10"/>
  <c r="M14" i="10"/>
  <c r="M133" i="10"/>
  <c r="M234" i="10"/>
  <c r="M47" i="10"/>
  <c r="M99" i="10"/>
  <c r="M131" i="10"/>
  <c r="M189" i="10"/>
  <c r="M194" i="10"/>
  <c r="M246" i="10"/>
  <c r="M23" i="10"/>
  <c r="M152" i="10"/>
  <c r="M12" i="10"/>
  <c r="M65" i="10"/>
  <c r="M108" i="10"/>
  <c r="M149" i="10"/>
  <c r="M238" i="10"/>
  <c r="M211" i="10"/>
  <c r="M263" i="10"/>
  <c r="M91" i="10"/>
  <c r="M228" i="10"/>
  <c r="M41" i="10"/>
  <c r="M82" i="10"/>
  <c r="M125" i="10"/>
  <c r="M183" i="10"/>
  <c r="M196" i="10"/>
  <c r="M248" i="10"/>
  <c r="M25" i="10"/>
  <c r="M154" i="10"/>
  <c r="M26" i="10"/>
  <c r="M67" i="10"/>
  <c r="M110" i="10"/>
  <c r="M151" i="10"/>
  <c r="M240" i="10"/>
  <c r="M213" i="10"/>
  <c r="M265" i="10"/>
  <c r="M93" i="10"/>
  <c r="M230" i="10"/>
  <c r="M43" i="10"/>
  <c r="M84" i="10"/>
  <c r="M127" i="10"/>
  <c r="M185" i="10"/>
  <c r="M4" i="10"/>
  <c r="M222" i="10"/>
  <c r="M19" i="10"/>
  <c r="M138" i="10"/>
  <c r="M8" i="10"/>
  <c r="M61" i="10"/>
  <c r="M104" i="10"/>
  <c r="M145" i="10"/>
  <c r="M224" i="10"/>
  <c r="M199" i="10"/>
  <c r="M251" i="10"/>
  <c r="M53" i="10"/>
  <c r="M157" i="10"/>
  <c r="M29" i="10"/>
  <c r="M70" i="10"/>
  <c r="M113" i="10"/>
  <c r="M171" i="10"/>
  <c r="M267" i="10"/>
  <c r="M208" i="10"/>
  <c r="M260" i="10"/>
  <c r="M88" i="10"/>
  <c r="M166" i="10"/>
  <c r="M38" i="10"/>
  <c r="M79" i="10"/>
  <c r="M122" i="10"/>
  <c r="M180" i="10"/>
  <c r="M193" i="10"/>
  <c r="M245" i="10"/>
  <c r="M22" i="10"/>
  <c r="M141" i="10"/>
  <c r="M11" i="10"/>
  <c r="M64" i="10"/>
  <c r="M107" i="10"/>
  <c r="M148" i="10"/>
  <c r="M227" i="10"/>
  <c r="M202" i="10"/>
  <c r="M254" i="10"/>
  <c r="M56" i="10"/>
  <c r="M160" i="10"/>
  <c r="M32" i="10"/>
  <c r="M73" i="10"/>
  <c r="M116" i="10"/>
  <c r="M174" i="10"/>
  <c r="M270" i="10"/>
  <c r="M219" i="10"/>
  <c r="M16" i="10"/>
  <c r="M135" i="10"/>
  <c r="M236" i="10"/>
  <c r="M49" i="10"/>
  <c r="M101" i="10"/>
  <c r="M142" i="10"/>
  <c r="M191" i="10"/>
  <c r="M204" i="10"/>
  <c r="M256" i="10"/>
  <c r="M58" i="10"/>
  <c r="M162" i="10"/>
  <c r="M34" i="10"/>
  <c r="M75" i="10"/>
  <c r="M118" i="10"/>
  <c r="M176" i="10"/>
  <c r="M272" i="10"/>
  <c r="I270" i="10" l="1"/>
  <c r="K270" i="10"/>
  <c r="L270" i="10" s="1"/>
  <c r="K113" i="10"/>
  <c r="L113" i="10" s="1"/>
  <c r="I113" i="10"/>
  <c r="I53" i="10"/>
  <c r="K53" i="10"/>
  <c r="L53" i="10" s="1"/>
  <c r="K196" i="10"/>
  <c r="L196" i="10" s="1"/>
  <c r="I196" i="10"/>
  <c r="K99" i="10"/>
  <c r="L99" i="10" s="1"/>
  <c r="I99" i="10"/>
  <c r="K186" i="10"/>
  <c r="L186" i="10" s="1"/>
  <c r="I186" i="10"/>
  <c r="I174" i="10"/>
  <c r="K174" i="10"/>
  <c r="L174" i="10" s="1"/>
  <c r="I183" i="10"/>
  <c r="K183" i="10"/>
  <c r="L183" i="10" s="1"/>
  <c r="K252" i="10"/>
  <c r="L252" i="10" s="1"/>
  <c r="I252" i="10"/>
  <c r="K118" i="10"/>
  <c r="L118" i="10" s="1"/>
  <c r="I118" i="10"/>
  <c r="I142" i="10"/>
  <c r="K142" i="10"/>
  <c r="L142" i="10" s="1"/>
  <c r="K160" i="10"/>
  <c r="L160" i="10" s="1"/>
  <c r="I160" i="10"/>
  <c r="I227" i="10"/>
  <c r="K227" i="10"/>
  <c r="L227" i="10" s="1"/>
  <c r="K193" i="10"/>
  <c r="L193" i="10" s="1"/>
  <c r="I193" i="10"/>
  <c r="I38" i="10"/>
  <c r="K38" i="10"/>
  <c r="L38" i="10" s="1"/>
  <c r="I70" i="10"/>
  <c r="K70" i="10"/>
  <c r="L70" i="10" s="1"/>
  <c r="I256" i="10"/>
  <c r="K256" i="10"/>
  <c r="L256" i="10" s="1"/>
  <c r="K56" i="10"/>
  <c r="L56" i="10" s="1"/>
  <c r="I56" i="10"/>
  <c r="K148" i="10"/>
  <c r="L148" i="10" s="1"/>
  <c r="I148" i="10"/>
  <c r="K141" i="10"/>
  <c r="L141" i="10" s="1"/>
  <c r="I141" i="10"/>
  <c r="I180" i="10"/>
  <c r="K180" i="10"/>
  <c r="L180" i="10" s="1"/>
  <c r="I29" i="10"/>
  <c r="K29" i="10"/>
  <c r="L29" i="10" s="1"/>
  <c r="K199" i="10"/>
  <c r="L199" i="10" s="1"/>
  <c r="I199" i="10"/>
  <c r="K265" i="10"/>
  <c r="L265" i="10" s="1"/>
  <c r="I265" i="10"/>
  <c r="K110" i="10"/>
  <c r="L110" i="10" s="1"/>
  <c r="I110" i="10"/>
  <c r="K152" i="10"/>
  <c r="L152" i="10" s="1"/>
  <c r="I152" i="10"/>
  <c r="K234" i="10"/>
  <c r="L234" i="10" s="1"/>
  <c r="I234" i="10"/>
  <c r="I30" i="10"/>
  <c r="K30" i="10"/>
  <c r="L30" i="10" s="1"/>
  <c r="I200" i="10"/>
  <c r="K200" i="10"/>
  <c r="L200" i="10" s="1"/>
  <c r="K243" i="10"/>
  <c r="L243" i="10" s="1"/>
  <c r="I243" i="10"/>
  <c r="I119" i="10"/>
  <c r="K119" i="10"/>
  <c r="L119" i="10" s="1"/>
  <c r="I143" i="10"/>
  <c r="K143" i="10"/>
  <c r="L143" i="10" s="1"/>
  <c r="I136" i="10"/>
  <c r="K136" i="10"/>
  <c r="L136" i="10" s="1"/>
  <c r="I175" i="10"/>
  <c r="K175" i="10"/>
  <c r="L175" i="10" s="1"/>
  <c r="K161" i="10"/>
  <c r="L161" i="10" s="1"/>
  <c r="I39" i="10"/>
  <c r="K39" i="10"/>
  <c r="L39" i="10" s="1"/>
  <c r="K209" i="10"/>
  <c r="L209" i="10" s="1"/>
  <c r="I209" i="10"/>
  <c r="K63" i="10"/>
  <c r="L63" i="10" s="1"/>
  <c r="I63" i="10"/>
  <c r="I97" i="10"/>
  <c r="K97" i="10"/>
  <c r="L97" i="10" s="1"/>
  <c r="I120" i="10"/>
  <c r="K120" i="10"/>
  <c r="L120" i="10" s="1"/>
  <c r="K169" i="10"/>
  <c r="L169" i="10" s="1"/>
  <c r="I169" i="10"/>
  <c r="K184" i="10"/>
  <c r="L184" i="10" s="1"/>
  <c r="I184" i="10"/>
  <c r="K13" i="10"/>
  <c r="L13" i="10" s="1"/>
  <c r="I13" i="10"/>
  <c r="K210" i="10"/>
  <c r="L210" i="10" s="1"/>
  <c r="I210" i="10"/>
  <c r="I72" i="10"/>
  <c r="K72" i="10"/>
  <c r="L72" i="10" s="1"/>
  <c r="K98" i="10"/>
  <c r="L98" i="10" s="1"/>
  <c r="I98" i="10"/>
  <c r="K277" i="10"/>
  <c r="L277" i="10" s="1"/>
  <c r="I277" i="10"/>
  <c r="K121" i="10"/>
  <c r="L121" i="10" s="1"/>
  <c r="I121" i="10"/>
  <c r="K87" i="10"/>
  <c r="L87" i="10" s="1"/>
  <c r="I87" i="10"/>
  <c r="K170" i="10"/>
  <c r="L170" i="10" s="1"/>
  <c r="I170" i="10"/>
  <c r="I223" i="10"/>
  <c r="K223" i="10"/>
  <c r="L223" i="10" s="1"/>
  <c r="I7" i="10"/>
  <c r="K7" i="10"/>
  <c r="L7" i="10" s="1"/>
  <c r="K16" i="10"/>
  <c r="L16" i="10" s="1"/>
  <c r="I16" i="10"/>
  <c r="K166" i="10"/>
  <c r="L166" i="10" s="1"/>
  <c r="I166" i="10"/>
  <c r="I222" i="10"/>
  <c r="K222" i="10"/>
  <c r="L222" i="10" s="1"/>
  <c r="K125" i="10"/>
  <c r="L125" i="10" s="1"/>
  <c r="I125" i="10"/>
  <c r="I85" i="10"/>
  <c r="K85" i="10"/>
  <c r="L85" i="10" s="1"/>
  <c r="K266" i="10"/>
  <c r="L266" i="10" s="1"/>
  <c r="I266" i="10"/>
  <c r="K59" i="10"/>
  <c r="L59" i="10" s="1"/>
  <c r="I59" i="10"/>
  <c r="I190" i="10"/>
  <c r="K190" i="10"/>
  <c r="L190" i="10" s="1"/>
  <c r="K235" i="10"/>
  <c r="L235" i="10" s="1"/>
  <c r="I235" i="10"/>
  <c r="K3" i="10"/>
  <c r="L3" i="10" s="1"/>
  <c r="I3" i="10"/>
  <c r="H279" i="10"/>
  <c r="K244" i="10"/>
  <c r="L244" i="10" s="1"/>
  <c r="I244" i="10"/>
  <c r="K276" i="10"/>
  <c r="L276" i="10" s="1"/>
  <c r="I276" i="10"/>
  <c r="I86" i="10"/>
  <c r="K86" i="10"/>
  <c r="L86" i="10" s="1"/>
  <c r="I155" i="10"/>
  <c r="K155" i="10"/>
  <c r="L155" i="10" s="1"/>
  <c r="K229" i="10"/>
  <c r="L229" i="10" s="1"/>
  <c r="I229" i="10"/>
  <c r="K239" i="10"/>
  <c r="L239" i="10" s="1"/>
  <c r="I239" i="10"/>
  <c r="K195" i="10"/>
  <c r="L195" i="10" s="1"/>
  <c r="I195" i="10"/>
  <c r="K40" i="10"/>
  <c r="L40" i="10" s="1"/>
  <c r="I40" i="10"/>
  <c r="I253" i="10"/>
  <c r="K253" i="10"/>
  <c r="L253" i="10" s="1"/>
  <c r="I156" i="10"/>
  <c r="K156" i="10"/>
  <c r="L156" i="10" s="1"/>
  <c r="K267" i="10"/>
  <c r="L267" i="10" s="1"/>
  <c r="I267" i="10"/>
  <c r="K61" i="10"/>
  <c r="L61" i="10" s="1"/>
  <c r="I61" i="10"/>
  <c r="K91" i="10"/>
  <c r="L91" i="10" s="1"/>
  <c r="I91" i="10"/>
  <c r="K189" i="10"/>
  <c r="L189" i="10" s="1"/>
  <c r="I189" i="10"/>
  <c r="I88" i="10"/>
  <c r="K88" i="10"/>
  <c r="L88" i="10" s="1"/>
  <c r="K224" i="10"/>
  <c r="L224" i="10" s="1"/>
  <c r="I224" i="10"/>
  <c r="I23" i="10"/>
  <c r="K23" i="10"/>
  <c r="L23" i="10" s="1"/>
  <c r="K133" i="10"/>
  <c r="L133" i="10" s="1"/>
  <c r="I133" i="10"/>
  <c r="I225" i="10"/>
  <c r="K225" i="10"/>
  <c r="L225" i="10" s="1"/>
  <c r="I5" i="10"/>
  <c r="K5" i="10"/>
  <c r="L5" i="10" s="1"/>
  <c r="K76" i="10"/>
  <c r="L76" i="10" s="1"/>
  <c r="I76" i="10"/>
  <c r="I257" i="10"/>
  <c r="K257" i="10"/>
  <c r="L257" i="10" s="1"/>
  <c r="I57" i="10"/>
  <c r="K57" i="10"/>
  <c r="L57" i="10" s="1"/>
  <c r="K181" i="10"/>
  <c r="L181" i="10" s="1"/>
  <c r="I181" i="10"/>
  <c r="I167" i="10"/>
  <c r="K167" i="10"/>
  <c r="L167" i="10" s="1"/>
  <c r="I226" i="10"/>
  <c r="K226" i="10"/>
  <c r="L226" i="10" s="1"/>
  <c r="I6" i="10"/>
  <c r="K6" i="10"/>
  <c r="L6" i="10" s="1"/>
  <c r="I215" i="10"/>
  <c r="K215" i="10"/>
  <c r="L215" i="10" s="1"/>
  <c r="I258" i="10"/>
  <c r="K258" i="10"/>
  <c r="L258" i="10" s="1"/>
  <c r="I111" i="10"/>
  <c r="K111" i="10"/>
  <c r="L111" i="10" s="1"/>
  <c r="K126" i="10"/>
  <c r="L126" i="10" s="1"/>
  <c r="I126" i="10"/>
  <c r="I153" i="10"/>
  <c r="K153" i="10"/>
  <c r="L153" i="10" s="1"/>
  <c r="I168" i="10"/>
  <c r="K168" i="10"/>
  <c r="L168" i="10" s="1"/>
  <c r="I31" i="10"/>
  <c r="K31" i="10"/>
  <c r="L31" i="10" s="1"/>
  <c r="I201" i="10"/>
  <c r="K201" i="10"/>
  <c r="L201" i="10" s="1"/>
  <c r="K216" i="10"/>
  <c r="L216" i="10" s="1"/>
  <c r="I216" i="10"/>
  <c r="K112" i="10"/>
  <c r="L112" i="10" s="1"/>
  <c r="I112" i="10"/>
  <c r="K137" i="10"/>
  <c r="L137" i="10" s="1"/>
  <c r="I137" i="10"/>
  <c r="I75" i="10"/>
  <c r="K75" i="10"/>
  <c r="L75" i="10" s="1"/>
  <c r="K116" i="10"/>
  <c r="L116" i="10" s="1"/>
  <c r="I116" i="10"/>
  <c r="K84" i="10"/>
  <c r="L84" i="10" s="1"/>
  <c r="I84" i="10"/>
  <c r="I25" i="10"/>
  <c r="K25" i="10"/>
  <c r="L25" i="10" s="1"/>
  <c r="I149" i="10"/>
  <c r="K149" i="10"/>
  <c r="L149" i="10" s="1"/>
  <c r="K268" i="10"/>
  <c r="L268" i="10" s="1"/>
  <c r="I268" i="10"/>
  <c r="K62" i="10"/>
  <c r="L62" i="10" s="1"/>
  <c r="I62" i="10"/>
  <c r="K272" i="10"/>
  <c r="L272" i="10" s="1"/>
  <c r="I272" i="10"/>
  <c r="I73" i="10"/>
  <c r="K73" i="10"/>
  <c r="L73" i="10" s="1"/>
  <c r="K22" i="10"/>
  <c r="L22" i="10" s="1"/>
  <c r="I22" i="10"/>
  <c r="K43" i="10"/>
  <c r="L43" i="10" s="1"/>
  <c r="I43" i="10"/>
  <c r="I248" i="10"/>
  <c r="K248" i="10"/>
  <c r="L248" i="10" s="1"/>
  <c r="I204" i="10"/>
  <c r="K204" i="10"/>
  <c r="L204" i="10" s="1"/>
  <c r="K219" i="10"/>
  <c r="L219" i="10" s="1"/>
  <c r="I219" i="10"/>
  <c r="I254" i="10"/>
  <c r="K254" i="10"/>
  <c r="L254" i="10" s="1"/>
  <c r="K171" i="10"/>
  <c r="L171" i="10" s="1"/>
  <c r="I171" i="10"/>
  <c r="K8" i="10"/>
  <c r="L8" i="10" s="1"/>
  <c r="I8" i="10"/>
  <c r="K213" i="10"/>
  <c r="L213" i="10" s="1"/>
  <c r="I213" i="10"/>
  <c r="I67" i="10"/>
  <c r="K67" i="10"/>
  <c r="L67" i="10" s="1"/>
  <c r="I82" i="10"/>
  <c r="K82" i="10"/>
  <c r="L82" i="10" s="1"/>
  <c r="K263" i="10"/>
  <c r="L263" i="10" s="1"/>
  <c r="I263" i="10"/>
  <c r="K108" i="10"/>
  <c r="L108" i="10" s="1"/>
  <c r="I108" i="10"/>
  <c r="I131" i="10"/>
  <c r="K131" i="10"/>
  <c r="L131" i="10" s="1"/>
  <c r="I158" i="10"/>
  <c r="K158" i="10"/>
  <c r="L158" i="10" s="1"/>
  <c r="K9" i="10"/>
  <c r="L9" i="10" s="1"/>
  <c r="I9" i="10"/>
  <c r="I44" i="10"/>
  <c r="K44" i="10"/>
  <c r="L44" i="10" s="1"/>
  <c r="K214" i="10"/>
  <c r="L214" i="10" s="1"/>
  <c r="I214" i="10"/>
  <c r="I102" i="10"/>
  <c r="K102" i="10"/>
  <c r="L102" i="10" s="1"/>
  <c r="I17" i="10"/>
  <c r="K17" i="10"/>
  <c r="L17" i="10" s="1"/>
  <c r="I117" i="10"/>
  <c r="K117" i="10"/>
  <c r="L117" i="10" s="1"/>
  <c r="K132" i="10"/>
  <c r="L132" i="10" s="1"/>
  <c r="I132" i="10"/>
  <c r="K134" i="10"/>
  <c r="L134" i="10" s="1"/>
  <c r="I134" i="10"/>
  <c r="I10" i="10"/>
  <c r="K10" i="10"/>
  <c r="L10" i="10" s="1"/>
  <c r="K45" i="10"/>
  <c r="L45" i="10" s="1"/>
  <c r="I45" i="10"/>
  <c r="K77" i="10"/>
  <c r="L77" i="10" s="1"/>
  <c r="I77" i="10"/>
  <c r="I51" i="10"/>
  <c r="K51" i="10"/>
  <c r="L51" i="10" s="1"/>
  <c r="I92" i="10"/>
  <c r="K92" i="10"/>
  <c r="L92" i="10" s="1"/>
  <c r="I150" i="10"/>
  <c r="K150" i="10"/>
  <c r="L150" i="10" s="1"/>
  <c r="K182" i="10"/>
  <c r="L182" i="10" s="1"/>
  <c r="I182" i="10"/>
  <c r="K269" i="10"/>
  <c r="L269" i="10" s="1"/>
  <c r="I269" i="10"/>
  <c r="K46" i="10"/>
  <c r="L46" i="10" s="1"/>
  <c r="I46" i="10"/>
  <c r="I78" i="10"/>
  <c r="K78" i="10"/>
  <c r="L78" i="10" s="1"/>
  <c r="K259" i="10"/>
  <c r="L259" i="10" s="1"/>
  <c r="I259" i="10"/>
  <c r="I52" i="10"/>
  <c r="K52" i="10"/>
  <c r="L52" i="10" s="1"/>
  <c r="K144" i="10"/>
  <c r="L144" i="10" s="1"/>
  <c r="I144" i="10"/>
  <c r="I101" i="10"/>
  <c r="K101" i="10"/>
  <c r="L101" i="10" s="1"/>
  <c r="I49" i="10"/>
  <c r="K49" i="10"/>
  <c r="L49" i="10" s="1"/>
  <c r="I122" i="10"/>
  <c r="K122" i="10"/>
  <c r="L122" i="10" s="1"/>
  <c r="I4" i="10"/>
  <c r="K4" i="10"/>
  <c r="L4" i="10" s="1"/>
  <c r="K172" i="10"/>
  <c r="L172" i="10" s="1"/>
  <c r="I172" i="10"/>
  <c r="I34" i="10"/>
  <c r="K34" i="10"/>
  <c r="L34" i="10" s="1"/>
  <c r="I107" i="10"/>
  <c r="K107" i="10"/>
  <c r="L107" i="10" s="1"/>
  <c r="K157" i="10"/>
  <c r="L157" i="10" s="1"/>
  <c r="I157" i="10"/>
  <c r="K176" i="10"/>
  <c r="L176" i="10" s="1"/>
  <c r="I176" i="10"/>
  <c r="K162" i="10"/>
  <c r="L162" i="10" s="1"/>
  <c r="I162" i="10"/>
  <c r="I191" i="10"/>
  <c r="K191" i="10"/>
  <c r="L191" i="10" s="1"/>
  <c r="I32" i="10"/>
  <c r="K32" i="10"/>
  <c r="L32" i="10" s="1"/>
  <c r="I202" i="10"/>
  <c r="K202" i="10"/>
  <c r="L202" i="10" s="1"/>
  <c r="K64" i="10"/>
  <c r="L64" i="10" s="1"/>
  <c r="I64" i="10"/>
  <c r="K79" i="10"/>
  <c r="L79" i="10" s="1"/>
  <c r="I79" i="10"/>
  <c r="I145" i="10"/>
  <c r="K145" i="10"/>
  <c r="L145" i="10" s="1"/>
  <c r="K138" i="10"/>
  <c r="L138" i="10" s="1"/>
  <c r="I138" i="10"/>
  <c r="I185" i="10"/>
  <c r="K185" i="10"/>
  <c r="L185" i="10" s="1"/>
  <c r="K240" i="10"/>
  <c r="L240" i="10" s="1"/>
  <c r="I240" i="10"/>
  <c r="I26" i="10"/>
  <c r="K26" i="10"/>
  <c r="L26" i="10" s="1"/>
  <c r="K41" i="10"/>
  <c r="L41" i="10" s="1"/>
  <c r="I41" i="10"/>
  <c r="K65" i="10"/>
  <c r="L65" i="10" s="1"/>
  <c r="I65" i="10"/>
  <c r="K14" i="10"/>
  <c r="L14" i="10" s="1"/>
  <c r="I14" i="10"/>
  <c r="K114" i="10"/>
  <c r="L114" i="10" s="1"/>
  <c r="I114" i="10"/>
  <c r="I146" i="10"/>
  <c r="K146" i="10"/>
  <c r="L146" i="10" s="1"/>
  <c r="I231" i="10"/>
  <c r="K231" i="10"/>
  <c r="L231" i="10" s="1"/>
  <c r="I273" i="10"/>
  <c r="K273" i="10"/>
  <c r="L273" i="10" s="1"/>
  <c r="K50" i="10"/>
  <c r="L50" i="10" s="1"/>
  <c r="I50" i="10"/>
  <c r="I74" i="10"/>
  <c r="K74" i="10"/>
  <c r="L74" i="10" s="1"/>
  <c r="K255" i="10"/>
  <c r="L255" i="10" s="1"/>
  <c r="I255" i="10"/>
  <c r="K100" i="10"/>
  <c r="L100" i="10" s="1"/>
  <c r="I100" i="10"/>
  <c r="K15" i="10"/>
  <c r="L15" i="10" s="1"/>
  <c r="I15" i="10"/>
  <c r="I123" i="10"/>
  <c r="K123" i="10"/>
  <c r="L123" i="10" s="1"/>
  <c r="K89" i="10"/>
  <c r="L89" i="10" s="1"/>
  <c r="I89" i="10"/>
  <c r="I274" i="10"/>
  <c r="K274" i="10"/>
  <c r="L274" i="10" s="1"/>
  <c r="K206" i="10"/>
  <c r="L206" i="10" s="1"/>
  <c r="I206" i="10"/>
  <c r="K264" i="10"/>
  <c r="L264" i="10" s="1"/>
  <c r="I264" i="10"/>
  <c r="I24" i="10"/>
  <c r="K24" i="10"/>
  <c r="L24" i="10" s="1"/>
  <c r="K90" i="10"/>
  <c r="L90" i="10" s="1"/>
  <c r="I90" i="10"/>
  <c r="I159" i="10"/>
  <c r="K159" i="10"/>
  <c r="L159" i="10" s="1"/>
  <c r="I207" i="10"/>
  <c r="K207" i="10"/>
  <c r="L207" i="10" s="1"/>
  <c r="K69" i="10"/>
  <c r="L69" i="10" s="1"/>
  <c r="I69" i="10"/>
  <c r="I250" i="10"/>
  <c r="K250" i="10"/>
  <c r="L250" i="10" s="1"/>
  <c r="I103" i="10"/>
  <c r="K103" i="10"/>
  <c r="L103" i="10" s="1"/>
  <c r="I236" i="10"/>
  <c r="K236" i="10"/>
  <c r="L236" i="10" s="1"/>
  <c r="K245" i="10"/>
  <c r="L245" i="10" s="1"/>
  <c r="I245" i="10"/>
  <c r="I35" i="10"/>
  <c r="K35" i="10"/>
  <c r="L35" i="10" s="1"/>
  <c r="I205" i="10"/>
  <c r="K205" i="10"/>
  <c r="L205" i="10" s="1"/>
  <c r="K220" i="10"/>
  <c r="L220" i="10" s="1"/>
  <c r="I220" i="10"/>
  <c r="I147" i="10"/>
  <c r="K147" i="10"/>
  <c r="L147" i="10" s="1"/>
  <c r="K140" i="10"/>
  <c r="L140" i="10" s="1"/>
  <c r="I140" i="10"/>
  <c r="K187" i="10"/>
  <c r="L187" i="10" s="1"/>
  <c r="I187" i="10"/>
  <c r="K232" i="10"/>
  <c r="L232" i="10" s="1"/>
  <c r="I232" i="10"/>
  <c r="K36" i="10"/>
  <c r="L36" i="10" s="1"/>
  <c r="I36" i="10"/>
  <c r="I68" i="10"/>
  <c r="K68" i="10"/>
  <c r="L68" i="10" s="1"/>
  <c r="K249" i="10"/>
  <c r="L249" i="10" s="1"/>
  <c r="I249" i="10"/>
  <c r="K83" i="10"/>
  <c r="L83" i="10" s="1"/>
  <c r="I83" i="10"/>
  <c r="I109" i="10"/>
  <c r="K109" i="10"/>
  <c r="L109" i="10" s="1"/>
  <c r="I124" i="10"/>
  <c r="K124" i="10"/>
  <c r="L124" i="10" s="1"/>
  <c r="K173" i="10"/>
  <c r="L173" i="10" s="1"/>
  <c r="I173" i="10"/>
  <c r="K188" i="10"/>
  <c r="L188" i="10" s="1"/>
  <c r="I188" i="10"/>
  <c r="K233" i="10"/>
  <c r="L233" i="10" s="1"/>
  <c r="I233" i="10"/>
  <c r="K275" i="10"/>
  <c r="L275" i="10" s="1"/>
  <c r="I275" i="10"/>
  <c r="K37" i="10"/>
  <c r="L37" i="10" s="1"/>
  <c r="I37" i="10"/>
  <c r="K18" i="10"/>
  <c r="L18" i="10" s="1"/>
  <c r="I18" i="10"/>
  <c r="I260" i="10"/>
  <c r="K260" i="10"/>
  <c r="L260" i="10" s="1"/>
  <c r="K211" i="10"/>
  <c r="L211" i="10" s="1"/>
  <c r="I211" i="10"/>
  <c r="K246" i="10"/>
  <c r="L246" i="10" s="1"/>
  <c r="I246" i="10"/>
  <c r="I54" i="10"/>
  <c r="K54" i="10"/>
  <c r="L54" i="10" s="1"/>
  <c r="K135" i="10"/>
  <c r="L135" i="10" s="1"/>
  <c r="I135" i="10"/>
  <c r="I104" i="10"/>
  <c r="K104" i="10"/>
  <c r="L104" i="10" s="1"/>
  <c r="K151" i="10"/>
  <c r="L151" i="10" s="1"/>
  <c r="I151" i="10"/>
  <c r="K194" i="10"/>
  <c r="L194" i="10" s="1"/>
  <c r="I194" i="10"/>
  <c r="I47" i="10"/>
  <c r="K47" i="10"/>
  <c r="L47" i="10" s="1"/>
  <c r="I105" i="10"/>
  <c r="K105" i="10"/>
  <c r="L105" i="10" s="1"/>
  <c r="I20" i="10"/>
  <c r="K20" i="10"/>
  <c r="L20" i="10" s="1"/>
  <c r="I128" i="10"/>
  <c r="K128" i="10"/>
  <c r="L128" i="10" s="1"/>
  <c r="I177" i="10"/>
  <c r="K177" i="10"/>
  <c r="L177" i="10" s="1"/>
  <c r="K163" i="10"/>
  <c r="L163" i="10" s="1"/>
  <c r="I163" i="10"/>
  <c r="I192" i="10"/>
  <c r="K192" i="10"/>
  <c r="L192" i="10" s="1"/>
  <c r="I33" i="10"/>
  <c r="K33" i="10"/>
  <c r="L33" i="10" s="1"/>
  <c r="I48" i="10"/>
  <c r="K48" i="10"/>
  <c r="L48" i="10" s="1"/>
  <c r="K218" i="10"/>
  <c r="L218" i="10" s="1"/>
  <c r="I218" i="10"/>
  <c r="I80" i="10"/>
  <c r="K80" i="10"/>
  <c r="L80" i="10" s="1"/>
  <c r="I106" i="10"/>
  <c r="K106" i="10"/>
  <c r="L106" i="10" s="1"/>
  <c r="I129" i="10"/>
  <c r="K129" i="10"/>
  <c r="L129" i="10" s="1"/>
  <c r="K95" i="10"/>
  <c r="L95" i="10" s="1"/>
  <c r="I95" i="10"/>
  <c r="I178" i="10"/>
  <c r="K178" i="10"/>
  <c r="L178" i="10" s="1"/>
  <c r="K241" i="10"/>
  <c r="L241" i="10" s="1"/>
  <c r="I241" i="10"/>
  <c r="K197" i="10"/>
  <c r="L197" i="10" s="1"/>
  <c r="I197" i="10"/>
  <c r="I42" i="10"/>
  <c r="K42" i="10"/>
  <c r="L42" i="10" s="1"/>
  <c r="I66" i="10"/>
  <c r="K66" i="10"/>
  <c r="L66" i="10" s="1"/>
  <c r="I247" i="10"/>
  <c r="K247" i="10"/>
  <c r="L247" i="10" s="1"/>
  <c r="K81" i="10"/>
  <c r="L81" i="10" s="1"/>
  <c r="I81" i="10"/>
  <c r="K262" i="10"/>
  <c r="L262" i="10" s="1"/>
  <c r="I262" i="10"/>
  <c r="I130" i="10"/>
  <c r="K130" i="10"/>
  <c r="L130" i="10" s="1"/>
  <c r="I242" i="10"/>
  <c r="K242" i="10"/>
  <c r="L242" i="10" s="1"/>
  <c r="I28" i="10"/>
  <c r="K28" i="10"/>
  <c r="L28" i="10" s="1"/>
  <c r="K221" i="10"/>
  <c r="L221" i="10" s="1"/>
  <c r="I221" i="10"/>
  <c r="K230" i="10"/>
  <c r="L230" i="10" s="1"/>
  <c r="I230" i="10"/>
  <c r="K139" i="10"/>
  <c r="L139" i="10" s="1"/>
  <c r="I139" i="10"/>
  <c r="I58" i="10"/>
  <c r="K58" i="10"/>
  <c r="L58" i="10" s="1"/>
  <c r="I208" i="10"/>
  <c r="K208" i="10"/>
  <c r="L208" i="10" s="1"/>
  <c r="K127" i="10"/>
  <c r="L127" i="10" s="1"/>
  <c r="I127" i="10"/>
  <c r="K12" i="10"/>
  <c r="L12" i="10" s="1"/>
  <c r="I12" i="10"/>
  <c r="K217" i="10"/>
  <c r="L217" i="10" s="1"/>
  <c r="I217" i="10"/>
  <c r="I11" i="10"/>
  <c r="K11" i="10"/>
  <c r="L11" i="10" s="1"/>
  <c r="K251" i="10"/>
  <c r="L251" i="10" s="1"/>
  <c r="I251" i="10"/>
  <c r="K19" i="10"/>
  <c r="L19" i="10" s="1"/>
  <c r="I19" i="10"/>
  <c r="K93" i="10"/>
  <c r="L93" i="10" s="1"/>
  <c r="I93" i="10"/>
  <c r="I154" i="10"/>
  <c r="K154" i="10"/>
  <c r="L154" i="10" s="1"/>
  <c r="I228" i="10"/>
  <c r="K228" i="10"/>
  <c r="L228" i="10" s="1"/>
  <c r="K238" i="10"/>
  <c r="L238" i="10" s="1"/>
  <c r="I238" i="10"/>
  <c r="K71" i="10"/>
  <c r="L71" i="10" s="1"/>
  <c r="I71" i="10"/>
  <c r="K94" i="10"/>
  <c r="L94" i="10" s="1"/>
  <c r="I94" i="10"/>
  <c r="K237" i="10"/>
  <c r="L237" i="10" s="1"/>
  <c r="I237" i="10"/>
  <c r="K271" i="10"/>
  <c r="L271" i="10" s="1"/>
  <c r="I271" i="10"/>
  <c r="K203" i="10"/>
  <c r="L203" i="10" s="1"/>
  <c r="I203" i="10"/>
  <c r="K261" i="10"/>
  <c r="L261" i="10" s="1"/>
  <c r="I261" i="10"/>
  <c r="K21" i="10"/>
  <c r="L21" i="10" s="1"/>
  <c r="I21" i="10"/>
  <c r="K164" i="10"/>
  <c r="L164" i="10" s="1"/>
  <c r="I164" i="10"/>
  <c r="I27" i="10"/>
  <c r="K27" i="10"/>
  <c r="L27" i="10" s="1"/>
  <c r="I212" i="10"/>
  <c r="K212" i="10"/>
  <c r="L212" i="10" s="1"/>
  <c r="K115" i="10"/>
  <c r="L115" i="10" s="1"/>
  <c r="I115" i="10"/>
  <c r="K55" i="10"/>
  <c r="L55" i="10" s="1"/>
  <c r="I55" i="10"/>
  <c r="K96" i="10"/>
  <c r="L96" i="10" s="1"/>
  <c r="I96" i="10"/>
  <c r="K179" i="10"/>
  <c r="L179" i="10" s="1"/>
  <c r="I179" i="10"/>
  <c r="I165" i="10"/>
  <c r="K165" i="10"/>
  <c r="L165" i="10" s="1"/>
  <c r="K198" i="10"/>
  <c r="L198" i="10" s="1"/>
  <c r="I198" i="10"/>
  <c r="I60" i="10"/>
  <c r="K60" i="10"/>
  <c r="L60" i="10" s="1"/>
  <c r="O60" i="10" l="1"/>
  <c r="Q60" i="10"/>
  <c r="O198" i="10"/>
  <c r="P198" i="10" s="1"/>
  <c r="Q198" i="10"/>
  <c r="R198" i="10" s="1"/>
  <c r="O165" i="10"/>
  <c r="P165" i="10" s="1"/>
  <c r="Q165" i="10"/>
  <c r="R165" i="10" s="1"/>
  <c r="O179" i="10"/>
  <c r="P179" i="10" s="1"/>
  <c r="Q179" i="10"/>
  <c r="R179" i="10" s="1"/>
  <c r="O96" i="10"/>
  <c r="Q96" i="10"/>
  <c r="O55" i="10"/>
  <c r="P55" i="10" s="1"/>
  <c r="Q55" i="10"/>
  <c r="O115" i="10"/>
  <c r="P115" i="10" s="1"/>
  <c r="Q115" i="10"/>
  <c r="R115" i="10" s="1"/>
  <c r="O212" i="10"/>
  <c r="P212" i="10" s="1"/>
  <c r="Q212" i="10"/>
  <c r="R212" i="10" s="1"/>
  <c r="O27" i="10"/>
  <c r="Q27" i="10"/>
  <c r="O164" i="10"/>
  <c r="P164" i="10" s="1"/>
  <c r="Q164" i="10"/>
  <c r="R164" i="10" s="1"/>
  <c r="O21" i="10"/>
  <c r="Q21" i="10"/>
  <c r="R21" i="10" s="1"/>
  <c r="O261" i="10"/>
  <c r="P261" i="10" s="1"/>
  <c r="Q261" i="10"/>
  <c r="R261" i="10" s="1"/>
  <c r="O203" i="10"/>
  <c r="Q203" i="10"/>
  <c r="R203" i="10" s="1"/>
  <c r="O271" i="10"/>
  <c r="Q271" i="10"/>
  <c r="R271" i="10" s="1"/>
  <c r="O237" i="10"/>
  <c r="P237" i="10" s="1"/>
  <c r="Q237" i="10"/>
  <c r="R237" i="10" s="1"/>
  <c r="O94" i="10"/>
  <c r="Q94" i="10"/>
  <c r="R94" i="10" s="1"/>
  <c r="O71" i="10"/>
  <c r="Q71" i="10"/>
  <c r="O238" i="10"/>
  <c r="P238" i="10" s="1"/>
  <c r="Q238" i="10"/>
  <c r="R238" i="10" s="1"/>
  <c r="O228" i="10"/>
  <c r="P228" i="10" s="1"/>
  <c r="Q228" i="10"/>
  <c r="R228" i="10" s="1"/>
  <c r="O154" i="10"/>
  <c r="P154" i="10" s="1"/>
  <c r="Q154" i="10"/>
  <c r="R154" i="10" s="1"/>
  <c r="O93" i="10"/>
  <c r="Q93" i="10"/>
  <c r="O19" i="10"/>
  <c r="Q19" i="10"/>
  <c r="O251" i="10"/>
  <c r="P251" i="10" s="1"/>
  <c r="Q251" i="10"/>
  <c r="R251" i="10" s="1"/>
  <c r="O11" i="10"/>
  <c r="P11" i="10" s="1"/>
  <c r="Q11" i="10"/>
  <c r="R11" i="10" s="1"/>
  <c r="O217" i="10"/>
  <c r="P217" i="10" s="1"/>
  <c r="Q217" i="10"/>
  <c r="R217" i="10" s="1"/>
  <c r="O12" i="10"/>
  <c r="P12" i="10" s="1"/>
  <c r="Q12" i="10"/>
  <c r="O127" i="10"/>
  <c r="P127" i="10" s="1"/>
  <c r="Q127" i="10"/>
  <c r="R127" i="10" s="1"/>
  <c r="O208" i="10"/>
  <c r="Q208" i="10"/>
  <c r="R208" i="10" s="1"/>
  <c r="O58" i="10"/>
  <c r="Q58" i="10"/>
  <c r="O139" i="10"/>
  <c r="Q139" i="10"/>
  <c r="O230" i="10"/>
  <c r="P230" i="10" s="1"/>
  <c r="Q230" i="10"/>
  <c r="R230" i="10" s="1"/>
  <c r="O221" i="10"/>
  <c r="P221" i="10" s="1"/>
  <c r="Q221" i="10"/>
  <c r="R221" i="10" s="1"/>
  <c r="O28" i="10"/>
  <c r="P28" i="10" s="1"/>
  <c r="Q28" i="10"/>
  <c r="O242" i="10"/>
  <c r="P242" i="10" s="1"/>
  <c r="Q242" i="10"/>
  <c r="R242" i="10" s="1"/>
  <c r="O130" i="10"/>
  <c r="P130" i="10" s="1"/>
  <c r="Q130" i="10"/>
  <c r="R130" i="10" s="1"/>
  <c r="O262" i="10"/>
  <c r="P262" i="10" s="1"/>
  <c r="Q262" i="10"/>
  <c r="R262" i="10" s="1"/>
  <c r="O81" i="10"/>
  <c r="P81" i="10" s="1"/>
  <c r="Q81" i="10"/>
  <c r="O247" i="10"/>
  <c r="P247" i="10" s="1"/>
  <c r="Q247" i="10"/>
  <c r="R247" i="10" s="1"/>
  <c r="O66" i="10"/>
  <c r="P66" i="10" s="1"/>
  <c r="Q66" i="10"/>
  <c r="R66" i="10" s="1"/>
  <c r="O42" i="10"/>
  <c r="Q42" i="10"/>
  <c r="R42" i="10" s="1"/>
  <c r="O197" i="10"/>
  <c r="P197" i="10" s="1"/>
  <c r="Q197" i="10"/>
  <c r="R197" i="10" s="1"/>
  <c r="O241" i="10"/>
  <c r="P241" i="10" s="1"/>
  <c r="Q241" i="10"/>
  <c r="R241" i="10" s="1"/>
  <c r="O178" i="10"/>
  <c r="P178" i="10" s="1"/>
  <c r="Q178" i="10"/>
  <c r="R178" i="10" s="1"/>
  <c r="O95" i="10"/>
  <c r="P95" i="10" s="1"/>
  <c r="Q95" i="10"/>
  <c r="R95" i="10" s="1"/>
  <c r="O129" i="10"/>
  <c r="P129" i="10" s="1"/>
  <c r="Q129" i="10"/>
  <c r="O106" i="10"/>
  <c r="P106" i="10" s="1"/>
  <c r="Q106" i="10"/>
  <c r="O80" i="10"/>
  <c r="P80" i="10" s="1"/>
  <c r="Q80" i="10"/>
  <c r="O218" i="10"/>
  <c r="Q218" i="10"/>
  <c r="R218" i="10" s="1"/>
  <c r="O48" i="10"/>
  <c r="P48" i="10" s="1"/>
  <c r="Q48" i="10"/>
  <c r="O33" i="10"/>
  <c r="P33" i="10" s="1"/>
  <c r="Q33" i="10"/>
  <c r="O192" i="10"/>
  <c r="P192" i="10" s="1"/>
  <c r="Q192" i="10"/>
  <c r="R192" i="10" s="1"/>
  <c r="O163" i="10"/>
  <c r="P163" i="10" s="1"/>
  <c r="Q163" i="10"/>
  <c r="R163" i="10" s="1"/>
  <c r="O177" i="10"/>
  <c r="P177" i="10" s="1"/>
  <c r="Q177" i="10"/>
  <c r="R177" i="10" s="1"/>
  <c r="O128" i="10"/>
  <c r="P128" i="10" s="1"/>
  <c r="Q128" i="10"/>
  <c r="O20" i="10"/>
  <c r="P20" i="10" s="1"/>
  <c r="Q20" i="10"/>
  <c r="R20" i="10" s="1"/>
  <c r="O105" i="10"/>
  <c r="Q105" i="10"/>
  <c r="R105" i="10" s="1"/>
  <c r="O47" i="10"/>
  <c r="P47" i="10" s="1"/>
  <c r="Q47" i="10"/>
  <c r="O194" i="10"/>
  <c r="P194" i="10" s="1"/>
  <c r="Q194" i="10"/>
  <c r="R194" i="10" s="1"/>
  <c r="O151" i="10"/>
  <c r="P151" i="10" s="1"/>
  <c r="Q151" i="10"/>
  <c r="O104" i="10"/>
  <c r="P104" i="10" s="1"/>
  <c r="Q104" i="10"/>
  <c r="R104" i="10" s="1"/>
  <c r="O135" i="10"/>
  <c r="P135" i="10" s="1"/>
  <c r="Q135" i="10"/>
  <c r="O54" i="10"/>
  <c r="Q54" i="10"/>
  <c r="O246" i="10"/>
  <c r="P246" i="10" s="1"/>
  <c r="Q246" i="10"/>
  <c r="R246" i="10" s="1"/>
  <c r="O211" i="10"/>
  <c r="P211" i="10" s="1"/>
  <c r="Q211" i="10"/>
  <c r="R211" i="10" s="1"/>
  <c r="O260" i="10"/>
  <c r="P260" i="10" s="1"/>
  <c r="Q260" i="10"/>
  <c r="R260" i="10" s="1"/>
  <c r="O18" i="10"/>
  <c r="Q18" i="10"/>
  <c r="O37" i="10"/>
  <c r="P37" i="10" s="1"/>
  <c r="Q37" i="10"/>
  <c r="R37" i="10" s="1"/>
  <c r="O275" i="10"/>
  <c r="P275" i="10" s="1"/>
  <c r="Q275" i="10"/>
  <c r="R275" i="10" s="1"/>
  <c r="O233" i="10"/>
  <c r="P233" i="10" s="1"/>
  <c r="Q233" i="10"/>
  <c r="R233" i="10" s="1"/>
  <c r="O188" i="10"/>
  <c r="Q188" i="10"/>
  <c r="R188" i="10" s="1"/>
  <c r="O173" i="10"/>
  <c r="Q173" i="10"/>
  <c r="R173" i="10" s="1"/>
  <c r="O124" i="10"/>
  <c r="P124" i="10" s="1"/>
  <c r="Q124" i="10"/>
  <c r="R124" i="10" s="1"/>
  <c r="O109" i="10"/>
  <c r="P109" i="10" s="1"/>
  <c r="Q109" i="10"/>
  <c r="O83" i="10"/>
  <c r="Q83" i="10"/>
  <c r="O249" i="10"/>
  <c r="P249" i="10" s="1"/>
  <c r="Q249" i="10"/>
  <c r="R249" i="10" s="1"/>
  <c r="O68" i="10"/>
  <c r="P68" i="10" s="1"/>
  <c r="Q68" i="10"/>
  <c r="R68" i="10" s="1"/>
  <c r="O36" i="10"/>
  <c r="Q36" i="10"/>
  <c r="O232" i="10"/>
  <c r="P232" i="10" s="1"/>
  <c r="Q232" i="10"/>
  <c r="R232" i="10" s="1"/>
  <c r="O187" i="10"/>
  <c r="P187" i="10" s="1"/>
  <c r="Q187" i="10"/>
  <c r="R187" i="10" s="1"/>
  <c r="O140" i="10"/>
  <c r="Q140" i="10"/>
  <c r="R140" i="10" s="1"/>
  <c r="O147" i="10"/>
  <c r="Q147" i="10"/>
  <c r="O220" i="10"/>
  <c r="Q220" i="10"/>
  <c r="R220" i="10" s="1"/>
  <c r="O205" i="10"/>
  <c r="P205" i="10" s="1"/>
  <c r="Q205" i="10"/>
  <c r="R205" i="10" s="1"/>
  <c r="O35" i="10"/>
  <c r="P35" i="10" s="1"/>
  <c r="Q35" i="10"/>
  <c r="R35" i="10" s="1"/>
  <c r="O245" i="10"/>
  <c r="P245" i="10" s="1"/>
  <c r="Q245" i="10"/>
  <c r="R245" i="10" s="1"/>
  <c r="O236" i="10"/>
  <c r="Q236" i="10"/>
  <c r="R236" i="10" s="1"/>
  <c r="O103" i="10"/>
  <c r="P103" i="10" s="1"/>
  <c r="Q103" i="10"/>
  <c r="O250" i="10"/>
  <c r="P250" i="10" s="1"/>
  <c r="Q250" i="10"/>
  <c r="R250" i="10" s="1"/>
  <c r="O69" i="10"/>
  <c r="P69" i="10" s="1"/>
  <c r="Q69" i="10"/>
  <c r="O207" i="10"/>
  <c r="Q207" i="10"/>
  <c r="R207" i="10" s="1"/>
  <c r="O159" i="10"/>
  <c r="P159" i="10" s="1"/>
  <c r="Q159" i="10"/>
  <c r="R159" i="10" s="1"/>
  <c r="O90" i="10"/>
  <c r="P90" i="10" s="1"/>
  <c r="Q90" i="10"/>
  <c r="R90" i="10" s="1"/>
  <c r="O24" i="10"/>
  <c r="P24" i="10" s="1"/>
  <c r="Q24" i="10"/>
  <c r="O264" i="10"/>
  <c r="P264" i="10" s="1"/>
  <c r="Q264" i="10"/>
  <c r="R264" i="10" s="1"/>
  <c r="O206" i="10"/>
  <c r="P206" i="10" s="1"/>
  <c r="Q206" i="10"/>
  <c r="R206" i="10" s="1"/>
  <c r="O274" i="10"/>
  <c r="P274" i="10" s="1"/>
  <c r="Q274" i="10"/>
  <c r="R274" i="10" s="1"/>
  <c r="O89" i="10"/>
  <c r="P89" i="10" s="1"/>
  <c r="Q89" i="10"/>
  <c r="O123" i="10"/>
  <c r="P123" i="10" s="1"/>
  <c r="Q123" i="10"/>
  <c r="O15" i="10"/>
  <c r="P15" i="10" s="1"/>
  <c r="Q15" i="10"/>
  <c r="R15" i="10" s="1"/>
  <c r="O100" i="10"/>
  <c r="Q100" i="10"/>
  <c r="R100" i="10" s="1"/>
  <c r="O255" i="10"/>
  <c r="P255" i="10" s="1"/>
  <c r="Q255" i="10"/>
  <c r="R255" i="10" s="1"/>
  <c r="O74" i="10"/>
  <c r="P74" i="10" s="1"/>
  <c r="Q74" i="10"/>
  <c r="O50" i="10"/>
  <c r="P50" i="10" s="1"/>
  <c r="Q50" i="10"/>
  <c r="R50" i="10" s="1"/>
  <c r="O273" i="10"/>
  <c r="P273" i="10" s="1"/>
  <c r="Q273" i="10"/>
  <c r="R273" i="10" s="1"/>
  <c r="O231" i="10"/>
  <c r="P231" i="10" s="1"/>
  <c r="Q231" i="10"/>
  <c r="R231" i="10" s="1"/>
  <c r="O146" i="10"/>
  <c r="P146" i="10" s="1"/>
  <c r="Q146" i="10"/>
  <c r="O114" i="10"/>
  <c r="Q114" i="10"/>
  <c r="R114" i="10" s="1"/>
  <c r="O14" i="10"/>
  <c r="P14" i="10" s="1"/>
  <c r="Q14" i="10"/>
  <c r="R14" i="10" s="1"/>
  <c r="O65" i="10"/>
  <c r="P65" i="10" s="1"/>
  <c r="Q65" i="10"/>
  <c r="O41" i="10"/>
  <c r="P41" i="10" s="1"/>
  <c r="Q41" i="10"/>
  <c r="O26" i="10"/>
  <c r="P26" i="10" s="1"/>
  <c r="Q26" i="10"/>
  <c r="R26" i="10" s="1"/>
  <c r="O240" i="10"/>
  <c r="Q240" i="10"/>
  <c r="R240" i="10" s="1"/>
  <c r="O185" i="10"/>
  <c r="P185" i="10" s="1"/>
  <c r="Q185" i="10"/>
  <c r="R185" i="10" s="1"/>
  <c r="O138" i="10"/>
  <c r="P138" i="10" s="1"/>
  <c r="Q138" i="10"/>
  <c r="O145" i="10"/>
  <c r="P145" i="10" s="1"/>
  <c r="Q145" i="10"/>
  <c r="R145" i="10" s="1"/>
  <c r="O79" i="10"/>
  <c r="P79" i="10" s="1"/>
  <c r="Q79" i="10"/>
  <c r="R79" i="10" s="1"/>
  <c r="O64" i="10"/>
  <c r="P64" i="10" s="1"/>
  <c r="Q64" i="10"/>
  <c r="O202" i="10"/>
  <c r="P202" i="10" s="1"/>
  <c r="Q202" i="10"/>
  <c r="R202" i="10" s="1"/>
  <c r="O32" i="10"/>
  <c r="Q32" i="10"/>
  <c r="R32" i="10" s="1"/>
  <c r="O191" i="10"/>
  <c r="P191" i="10" s="1"/>
  <c r="Q191" i="10"/>
  <c r="R191" i="10" s="1"/>
  <c r="O162" i="10"/>
  <c r="Q162" i="10"/>
  <c r="R162" i="10" s="1"/>
  <c r="O176" i="10"/>
  <c r="P176" i="10" s="1"/>
  <c r="Q176" i="10"/>
  <c r="R176" i="10" s="1"/>
  <c r="O157" i="10"/>
  <c r="Q157" i="10"/>
  <c r="R157" i="10" s="1"/>
  <c r="O107" i="10"/>
  <c r="Q107" i="10"/>
  <c r="R107" i="10" s="1"/>
  <c r="O34" i="10"/>
  <c r="P34" i="10" s="1"/>
  <c r="Q34" i="10"/>
  <c r="O172" i="10"/>
  <c r="P172" i="10" s="1"/>
  <c r="Q172" i="10"/>
  <c r="R172" i="10" s="1"/>
  <c r="O4" i="10"/>
  <c r="P4" i="10" s="1"/>
  <c r="Q4" i="10"/>
  <c r="R4" i="10" s="1"/>
  <c r="O122" i="10"/>
  <c r="P122" i="10" s="1"/>
  <c r="Q122" i="10"/>
  <c r="R122" i="10" s="1"/>
  <c r="O49" i="10"/>
  <c r="Q49" i="10"/>
  <c r="O101" i="10"/>
  <c r="Q101" i="10"/>
  <c r="O144" i="10"/>
  <c r="P144" i="10" s="1"/>
  <c r="Q144" i="10"/>
  <c r="R144" i="10" s="1"/>
  <c r="O52" i="10"/>
  <c r="P52" i="10" s="1"/>
  <c r="Q52" i="10"/>
  <c r="R52" i="10" s="1"/>
  <c r="O259" i="10"/>
  <c r="Q259" i="10"/>
  <c r="R259" i="10" s="1"/>
  <c r="O78" i="10"/>
  <c r="Q78" i="10"/>
  <c r="O46" i="10"/>
  <c r="P46" i="10" s="1"/>
  <c r="Q46" i="10"/>
  <c r="O269" i="10"/>
  <c r="Q269" i="10"/>
  <c r="R269" i="10" s="1"/>
  <c r="O182" i="10"/>
  <c r="P182" i="10" s="1"/>
  <c r="Q182" i="10"/>
  <c r="R182" i="10" s="1"/>
  <c r="O150" i="10"/>
  <c r="P150" i="10" s="1"/>
  <c r="Q150" i="10"/>
  <c r="O92" i="10"/>
  <c r="Q92" i="10"/>
  <c r="R92" i="10" s="1"/>
  <c r="O51" i="10"/>
  <c r="P51" i="10" s="1"/>
  <c r="Q51" i="10"/>
  <c r="R51" i="10" s="1"/>
  <c r="O77" i="10"/>
  <c r="Q77" i="10"/>
  <c r="O45" i="10"/>
  <c r="P45" i="10" s="1"/>
  <c r="Q45" i="10"/>
  <c r="O10" i="10"/>
  <c r="P10" i="10" s="1"/>
  <c r="Q10" i="10"/>
  <c r="R10" i="10" s="1"/>
  <c r="O134" i="10"/>
  <c r="P134" i="10" s="1"/>
  <c r="Q134" i="10"/>
  <c r="R134" i="10" s="1"/>
  <c r="O132" i="10"/>
  <c r="P132" i="10" s="1"/>
  <c r="Q132" i="10"/>
  <c r="O117" i="10"/>
  <c r="Q117" i="10"/>
  <c r="O17" i="10"/>
  <c r="Q17" i="10"/>
  <c r="R17" i="10" s="1"/>
  <c r="O102" i="10"/>
  <c r="P102" i="10" s="1"/>
  <c r="Q102" i="10"/>
  <c r="R102" i="10" s="1"/>
  <c r="O214" i="10"/>
  <c r="Q214" i="10"/>
  <c r="R214" i="10" s="1"/>
  <c r="O44" i="10"/>
  <c r="Q44" i="10"/>
  <c r="O9" i="10"/>
  <c r="P9" i="10" s="1"/>
  <c r="Q9" i="10"/>
  <c r="O158" i="10"/>
  <c r="Q158" i="10"/>
  <c r="R158" i="10" s="1"/>
  <c r="O131" i="10"/>
  <c r="Q131" i="10"/>
  <c r="O108" i="10"/>
  <c r="P108" i="10" s="1"/>
  <c r="Q108" i="10"/>
  <c r="O263" i="10"/>
  <c r="P263" i="10" s="1"/>
  <c r="Q263" i="10"/>
  <c r="R263" i="10" s="1"/>
  <c r="O82" i="10"/>
  <c r="P82" i="10" s="1"/>
  <c r="Q82" i="10"/>
  <c r="R82" i="10" s="1"/>
  <c r="O67" i="10"/>
  <c r="P67" i="10" s="1"/>
  <c r="Q67" i="10"/>
  <c r="O213" i="10"/>
  <c r="Q213" i="10"/>
  <c r="R213" i="10" s="1"/>
  <c r="O8" i="10"/>
  <c r="Q8" i="10"/>
  <c r="R8" i="10" s="1"/>
  <c r="O171" i="10"/>
  <c r="P171" i="10" s="1"/>
  <c r="Q171" i="10"/>
  <c r="R171" i="10" s="1"/>
  <c r="O254" i="10"/>
  <c r="P254" i="10" s="1"/>
  <c r="Q254" i="10"/>
  <c r="R254" i="10" s="1"/>
  <c r="O219" i="10"/>
  <c r="P219" i="10" s="1"/>
  <c r="Q219" i="10"/>
  <c r="R219" i="10" s="1"/>
  <c r="O204" i="10"/>
  <c r="P204" i="10" s="1"/>
  <c r="Q204" i="10"/>
  <c r="R204" i="10" s="1"/>
  <c r="O248" i="10"/>
  <c r="P248" i="10" s="1"/>
  <c r="Q248" i="10"/>
  <c r="R248" i="10" s="1"/>
  <c r="O43" i="10"/>
  <c r="P43" i="10" s="1"/>
  <c r="Q43" i="10"/>
  <c r="O22" i="10"/>
  <c r="Q22" i="10"/>
  <c r="O73" i="10"/>
  <c r="P73" i="10" s="1"/>
  <c r="Q73" i="10"/>
  <c r="R73" i="10" s="1"/>
  <c r="O272" i="10"/>
  <c r="P272" i="10" s="1"/>
  <c r="Q272" i="10"/>
  <c r="R272" i="10" s="1"/>
  <c r="O62" i="10"/>
  <c r="P62" i="10" s="1"/>
  <c r="Q62" i="10"/>
  <c r="O268" i="10"/>
  <c r="Q268" i="10"/>
  <c r="R268" i="10" s="1"/>
  <c r="O149" i="10"/>
  <c r="P149" i="10" s="1"/>
  <c r="Q149" i="10"/>
  <c r="O25" i="10"/>
  <c r="P25" i="10" s="1"/>
  <c r="Q25" i="10"/>
  <c r="R25" i="10" s="1"/>
  <c r="O84" i="10"/>
  <c r="P84" i="10" s="1"/>
  <c r="Q84" i="10"/>
  <c r="O116" i="10"/>
  <c r="P116" i="10" s="1"/>
  <c r="Q116" i="10"/>
  <c r="O75" i="10"/>
  <c r="Q75" i="10"/>
  <c r="R75" i="10" s="1"/>
  <c r="O137" i="10"/>
  <c r="P137" i="10" s="1"/>
  <c r="Q137" i="10"/>
  <c r="R137" i="10" s="1"/>
  <c r="O112" i="10"/>
  <c r="P112" i="10" s="1"/>
  <c r="Q112" i="10"/>
  <c r="O216" i="10"/>
  <c r="P216" i="10" s="1"/>
  <c r="Q216" i="10"/>
  <c r="R216" i="10" s="1"/>
  <c r="O201" i="10"/>
  <c r="P201" i="10" s="1"/>
  <c r="Q201" i="10"/>
  <c r="R201" i="10" s="1"/>
  <c r="O31" i="10"/>
  <c r="P31" i="10" s="1"/>
  <c r="Q31" i="10"/>
  <c r="R31" i="10" s="1"/>
  <c r="O168" i="10"/>
  <c r="P168" i="10" s="1"/>
  <c r="Q168" i="10"/>
  <c r="R168" i="10" s="1"/>
  <c r="O153" i="10"/>
  <c r="P153" i="10" s="1"/>
  <c r="Q153" i="10"/>
  <c r="O126" i="10"/>
  <c r="P126" i="10" s="1"/>
  <c r="Q126" i="10"/>
  <c r="R126" i="10" s="1"/>
  <c r="O111" i="10"/>
  <c r="Q111" i="10"/>
  <c r="R111" i="10" s="1"/>
  <c r="O258" i="10"/>
  <c r="P258" i="10" s="1"/>
  <c r="Q258" i="10"/>
  <c r="R258" i="10" s="1"/>
  <c r="O215" i="10"/>
  <c r="P215" i="10" s="1"/>
  <c r="Q215" i="10"/>
  <c r="R215" i="10" s="1"/>
  <c r="O6" i="10"/>
  <c r="P6" i="10" s="1"/>
  <c r="Q6" i="10"/>
  <c r="O226" i="10"/>
  <c r="P226" i="10" s="1"/>
  <c r="Q226" i="10"/>
  <c r="R226" i="10" s="1"/>
  <c r="O167" i="10"/>
  <c r="P167" i="10" s="1"/>
  <c r="Q167" i="10"/>
  <c r="R167" i="10" s="1"/>
  <c r="O181" i="10"/>
  <c r="Q181" i="10"/>
  <c r="R181" i="10" s="1"/>
  <c r="O57" i="10"/>
  <c r="P57" i="10" s="1"/>
  <c r="Q57" i="10"/>
  <c r="R57" i="10" s="1"/>
  <c r="O257" i="10"/>
  <c r="P257" i="10" s="1"/>
  <c r="Q257" i="10"/>
  <c r="R257" i="10" s="1"/>
  <c r="O76" i="10"/>
  <c r="P76" i="10" s="1"/>
  <c r="Q76" i="10"/>
  <c r="O5" i="10"/>
  <c r="P5" i="10" s="1"/>
  <c r="Q5" i="10"/>
  <c r="O225" i="10"/>
  <c r="P225" i="10" s="1"/>
  <c r="Q225" i="10"/>
  <c r="R225" i="10" s="1"/>
  <c r="O133" i="10"/>
  <c r="P133" i="10" s="1"/>
  <c r="Q133" i="10"/>
  <c r="R133" i="10" s="1"/>
  <c r="O23" i="10"/>
  <c r="P23" i="10" s="1"/>
  <c r="Q23" i="10"/>
  <c r="O224" i="10"/>
  <c r="Q224" i="10"/>
  <c r="R224" i="10" s="1"/>
  <c r="O88" i="10"/>
  <c r="P88" i="10" s="1"/>
  <c r="Q88" i="10"/>
  <c r="O189" i="10"/>
  <c r="P189" i="10" s="1"/>
  <c r="Q189" i="10"/>
  <c r="R189" i="10" s="1"/>
  <c r="O91" i="10"/>
  <c r="P91" i="10" s="1"/>
  <c r="Q91" i="10"/>
  <c r="O61" i="10"/>
  <c r="P61" i="10" s="1"/>
  <c r="Q61" i="10"/>
  <c r="O267" i="10"/>
  <c r="Q267" i="10"/>
  <c r="R267" i="10" s="1"/>
  <c r="O156" i="10"/>
  <c r="P156" i="10" s="1"/>
  <c r="Q156" i="10"/>
  <c r="R156" i="10" s="1"/>
  <c r="O253" i="10"/>
  <c r="P253" i="10" s="1"/>
  <c r="Q253" i="10"/>
  <c r="R253" i="10" s="1"/>
  <c r="O40" i="10"/>
  <c r="P40" i="10" s="1"/>
  <c r="Q40" i="10"/>
  <c r="O195" i="10"/>
  <c r="P195" i="10" s="1"/>
  <c r="Q195" i="10"/>
  <c r="R195" i="10" s="1"/>
  <c r="O239" i="10"/>
  <c r="P239" i="10" s="1"/>
  <c r="Q239" i="10"/>
  <c r="R239" i="10" s="1"/>
  <c r="O229" i="10"/>
  <c r="P229" i="10" s="1"/>
  <c r="Q229" i="10"/>
  <c r="R229" i="10" s="1"/>
  <c r="O155" i="10"/>
  <c r="P155" i="10" s="1"/>
  <c r="Q155" i="10"/>
  <c r="O86" i="10"/>
  <c r="Q86" i="10"/>
  <c r="R86" i="10" s="1"/>
  <c r="O276" i="10"/>
  <c r="P276" i="10" s="1"/>
  <c r="Q276" i="10"/>
  <c r="R276" i="10" s="1"/>
  <c r="O244" i="10"/>
  <c r="P244" i="10" s="1"/>
  <c r="Q244" i="10"/>
  <c r="R244" i="10" s="1"/>
  <c r="O3" i="10"/>
  <c r="P3" i="10" s="1"/>
  <c r="Q3" i="10"/>
  <c r="O235" i="10"/>
  <c r="P235" i="10" s="1"/>
  <c r="Q235" i="10"/>
  <c r="R235" i="10" s="1"/>
  <c r="O190" i="10"/>
  <c r="P190" i="10" s="1"/>
  <c r="Q190" i="10"/>
  <c r="R190" i="10" s="1"/>
  <c r="O59" i="10"/>
  <c r="P59" i="10" s="1"/>
  <c r="Q59" i="10"/>
  <c r="O266" i="10"/>
  <c r="P266" i="10" s="1"/>
  <c r="Q266" i="10"/>
  <c r="R266" i="10" s="1"/>
  <c r="O85" i="10"/>
  <c r="P85" i="10" s="1"/>
  <c r="Q85" i="10"/>
  <c r="R85" i="10" s="1"/>
  <c r="O125" i="10"/>
  <c r="P125" i="10" s="1"/>
  <c r="Q125" i="10"/>
  <c r="R125" i="10" s="1"/>
  <c r="O222" i="10"/>
  <c r="P222" i="10" s="1"/>
  <c r="Q222" i="10"/>
  <c r="R222" i="10" s="1"/>
  <c r="O166" i="10"/>
  <c r="P166" i="10" s="1"/>
  <c r="Q166" i="10"/>
  <c r="R166" i="10" s="1"/>
  <c r="O16" i="10"/>
  <c r="P16" i="10" s="1"/>
  <c r="Q16" i="10"/>
  <c r="R16" i="10" s="1"/>
  <c r="O7" i="10"/>
  <c r="P7" i="10" s="1"/>
  <c r="Q7" i="10"/>
  <c r="R7" i="10" s="1"/>
  <c r="O223" i="10"/>
  <c r="P223" i="10" s="1"/>
  <c r="Q223" i="10"/>
  <c r="R223" i="10" s="1"/>
  <c r="O170" i="10"/>
  <c r="P170" i="10" s="1"/>
  <c r="Q170" i="10"/>
  <c r="R170" i="10" s="1"/>
  <c r="O87" i="10"/>
  <c r="P87" i="10" s="1"/>
  <c r="Q87" i="10"/>
  <c r="R87" i="10" s="1"/>
  <c r="O121" i="10"/>
  <c r="P121" i="10" s="1"/>
  <c r="Q121" i="10"/>
  <c r="R121" i="10" s="1"/>
  <c r="O277" i="10"/>
  <c r="P277" i="10" s="1"/>
  <c r="Q277" i="10"/>
  <c r="R277" i="10" s="1"/>
  <c r="O98" i="10"/>
  <c r="Q98" i="10"/>
  <c r="O72" i="10"/>
  <c r="P72" i="10" s="1"/>
  <c r="Q72" i="10"/>
  <c r="R72" i="10" s="1"/>
  <c r="O210" i="10"/>
  <c r="P210" i="10" s="1"/>
  <c r="Q210" i="10"/>
  <c r="R210" i="10" s="1"/>
  <c r="O13" i="10"/>
  <c r="P13" i="10" s="1"/>
  <c r="Q13" i="10"/>
  <c r="O184" i="10"/>
  <c r="P184" i="10" s="1"/>
  <c r="Q184" i="10"/>
  <c r="R184" i="10" s="1"/>
  <c r="O169" i="10"/>
  <c r="Q169" i="10"/>
  <c r="R169" i="10" s="1"/>
  <c r="O120" i="10"/>
  <c r="P120" i="10" s="1"/>
  <c r="Q120" i="10"/>
  <c r="R120" i="10" s="1"/>
  <c r="O97" i="10"/>
  <c r="P97" i="10" s="1"/>
  <c r="Q97" i="10"/>
  <c r="O63" i="10"/>
  <c r="P63" i="10" s="1"/>
  <c r="Q63" i="10"/>
  <c r="O209" i="10"/>
  <c r="P209" i="10" s="1"/>
  <c r="Q209" i="10"/>
  <c r="R209" i="10" s="1"/>
  <c r="O39" i="10"/>
  <c r="Q39" i="10"/>
  <c r="R39" i="10" s="1"/>
  <c r="O175" i="10"/>
  <c r="P175" i="10" s="1"/>
  <c r="Q175" i="10"/>
  <c r="R175" i="10" s="1"/>
  <c r="O136" i="10"/>
  <c r="P136" i="10" s="1"/>
  <c r="Q136" i="10"/>
  <c r="O143" i="10"/>
  <c r="P143" i="10" s="1"/>
  <c r="Q143" i="10"/>
  <c r="R143" i="10" s="1"/>
  <c r="O119" i="10"/>
  <c r="P119" i="10" s="1"/>
  <c r="Q119" i="10"/>
  <c r="R119" i="10" s="1"/>
  <c r="O243" i="10"/>
  <c r="P243" i="10" s="1"/>
  <c r="Q243" i="10"/>
  <c r="R243" i="10" s="1"/>
  <c r="O200" i="10"/>
  <c r="P200" i="10" s="1"/>
  <c r="Q200" i="10"/>
  <c r="R200" i="10" s="1"/>
  <c r="O30" i="10"/>
  <c r="P30" i="10" s="1"/>
  <c r="Q30" i="10"/>
  <c r="O234" i="10"/>
  <c r="P234" i="10" s="1"/>
  <c r="Q234" i="10"/>
  <c r="R234" i="10" s="1"/>
  <c r="O152" i="10"/>
  <c r="P152" i="10" s="1"/>
  <c r="Q152" i="10"/>
  <c r="O110" i="10"/>
  <c r="P110" i="10" s="1"/>
  <c r="Q110" i="10"/>
  <c r="O265" i="10"/>
  <c r="P265" i="10" s="1"/>
  <c r="Q265" i="10"/>
  <c r="R265" i="10" s="1"/>
  <c r="O199" i="10"/>
  <c r="P199" i="10" s="1"/>
  <c r="Q199" i="10"/>
  <c r="R199" i="10" s="1"/>
  <c r="O29" i="10"/>
  <c r="P29" i="10" s="1"/>
  <c r="Q29" i="10"/>
  <c r="O180" i="10"/>
  <c r="P180" i="10" s="1"/>
  <c r="Q180" i="10"/>
  <c r="R180" i="10" s="1"/>
  <c r="O141" i="10"/>
  <c r="P141" i="10" s="1"/>
  <c r="Q141" i="10"/>
  <c r="R141" i="10" s="1"/>
  <c r="O148" i="10"/>
  <c r="P148" i="10" s="1"/>
  <c r="Q148" i="10"/>
  <c r="R148" i="10" s="1"/>
  <c r="O56" i="10"/>
  <c r="P56" i="10" s="1"/>
  <c r="Q56" i="10"/>
  <c r="O256" i="10"/>
  <c r="P256" i="10" s="1"/>
  <c r="Q256" i="10"/>
  <c r="R256" i="10" s="1"/>
  <c r="O70" i="10"/>
  <c r="P70" i="10" s="1"/>
  <c r="Q70" i="10"/>
  <c r="O38" i="10"/>
  <c r="P38" i="10" s="1"/>
  <c r="Q38" i="10"/>
  <c r="R38" i="10" s="1"/>
  <c r="O193" i="10"/>
  <c r="P193" i="10" s="1"/>
  <c r="Q193" i="10"/>
  <c r="R193" i="10" s="1"/>
  <c r="O227" i="10"/>
  <c r="P227" i="10" s="1"/>
  <c r="Q227" i="10"/>
  <c r="R227" i="10" s="1"/>
  <c r="O160" i="10"/>
  <c r="P160" i="10" s="1"/>
  <c r="Q160" i="10"/>
  <c r="R160" i="10" s="1"/>
  <c r="O142" i="10"/>
  <c r="P142" i="10" s="1"/>
  <c r="Q142" i="10"/>
  <c r="R142" i="10" s="1"/>
  <c r="O118" i="10"/>
  <c r="P118" i="10" s="1"/>
  <c r="Q118" i="10"/>
  <c r="O252" i="10"/>
  <c r="P252" i="10" s="1"/>
  <c r="Q252" i="10"/>
  <c r="R252" i="10" s="1"/>
  <c r="O183" i="10"/>
  <c r="P183" i="10" s="1"/>
  <c r="Q183" i="10"/>
  <c r="R183" i="10" s="1"/>
  <c r="O174" i="10"/>
  <c r="P174" i="10" s="1"/>
  <c r="Q174" i="10"/>
  <c r="R174" i="10" s="1"/>
  <c r="O186" i="10"/>
  <c r="P186" i="10" s="1"/>
  <c r="Q186" i="10"/>
  <c r="R186" i="10" s="1"/>
  <c r="O99" i="10"/>
  <c r="P99" i="10" s="1"/>
  <c r="Q99" i="10"/>
  <c r="O196" i="10"/>
  <c r="P196" i="10" s="1"/>
  <c r="Q196" i="10"/>
  <c r="R196" i="10" s="1"/>
  <c r="O53" i="10"/>
  <c r="P53" i="10" s="1"/>
  <c r="Q53" i="10"/>
  <c r="R53" i="10" s="1"/>
  <c r="O113" i="10"/>
  <c r="P113" i="10" s="1"/>
  <c r="Q113" i="10"/>
  <c r="O270" i="10"/>
  <c r="P270" i="10" s="1"/>
  <c r="Q270" i="10"/>
  <c r="R270" i="10" s="1"/>
  <c r="O161" i="10"/>
  <c r="P161" i="10" s="1"/>
  <c r="Q161" i="10"/>
  <c r="N60" i="10"/>
  <c r="R60" i="10"/>
  <c r="N93" i="10"/>
  <c r="R93" i="10"/>
  <c r="N179" i="10"/>
  <c r="N27" i="10"/>
  <c r="R27" i="10"/>
  <c r="N228" i="10"/>
  <c r="N58" i="10"/>
  <c r="R58" i="10"/>
  <c r="N28" i="10"/>
  <c r="R28" i="10"/>
  <c r="P27" i="10"/>
  <c r="N129" i="10"/>
  <c r="R129" i="10"/>
  <c r="N128" i="10"/>
  <c r="R128" i="10"/>
  <c r="N246" i="10"/>
  <c r="N37" i="10"/>
  <c r="N140" i="10"/>
  <c r="N236" i="10"/>
  <c r="N69" i="10"/>
  <c r="R69" i="10"/>
  <c r="N274" i="10"/>
  <c r="N123" i="10"/>
  <c r="R123" i="10"/>
  <c r="N74" i="10"/>
  <c r="R74" i="10"/>
  <c r="N162" i="10"/>
  <c r="N49" i="10"/>
  <c r="R49" i="10"/>
  <c r="N101" i="10"/>
  <c r="R101" i="10"/>
  <c r="N117" i="10"/>
  <c r="R117" i="10"/>
  <c r="N158" i="10"/>
  <c r="N108" i="10"/>
  <c r="R108" i="10"/>
  <c r="N171" i="10"/>
  <c r="P158" i="10"/>
  <c r="N62" i="10"/>
  <c r="R62" i="10"/>
  <c r="N84" i="10"/>
  <c r="R84" i="10"/>
  <c r="N137" i="10"/>
  <c r="N216" i="10"/>
  <c r="N61" i="10"/>
  <c r="R61" i="10"/>
  <c r="N156" i="10"/>
  <c r="N86" i="10"/>
  <c r="N190" i="10"/>
  <c r="N125" i="10"/>
  <c r="N209" i="10"/>
  <c r="N175" i="10"/>
  <c r="N30" i="10"/>
  <c r="R30" i="10"/>
  <c r="N56" i="10"/>
  <c r="R56" i="10"/>
  <c r="N160" i="10"/>
  <c r="N183" i="10"/>
  <c r="N53" i="10"/>
  <c r="N21" i="10"/>
  <c r="N71" i="10"/>
  <c r="R71" i="10"/>
  <c r="N66" i="10"/>
  <c r="N192" i="10"/>
  <c r="N147" i="10"/>
  <c r="R147" i="10"/>
  <c r="N264" i="10"/>
  <c r="N231" i="10"/>
  <c r="N32" i="10"/>
  <c r="N259" i="10"/>
  <c r="N92" i="10"/>
  <c r="N214" i="10"/>
  <c r="N213" i="10"/>
  <c r="N22" i="10"/>
  <c r="R22" i="10"/>
  <c r="N111" i="10"/>
  <c r="N6" i="10"/>
  <c r="R6" i="10"/>
  <c r="N181" i="10"/>
  <c r="N257" i="10"/>
  <c r="N239" i="10"/>
  <c r="N222" i="10"/>
  <c r="N223" i="10"/>
  <c r="N121" i="10"/>
  <c r="N39" i="10"/>
  <c r="N180" i="10"/>
  <c r="N38" i="10"/>
  <c r="N203" i="10"/>
  <c r="N218" i="10"/>
  <c r="N173" i="10"/>
  <c r="N36" i="10"/>
  <c r="R36" i="10"/>
  <c r="N207" i="10"/>
  <c r="P173" i="10"/>
  <c r="N114" i="10"/>
  <c r="N185" i="10"/>
  <c r="N77" i="10"/>
  <c r="R77" i="10"/>
  <c r="N198" i="10"/>
  <c r="N96" i="10"/>
  <c r="R96" i="10"/>
  <c r="N19" i="10"/>
  <c r="R19" i="10"/>
  <c r="P58" i="10"/>
  <c r="N127" i="10"/>
  <c r="P32" i="10"/>
  <c r="N242" i="10"/>
  <c r="N241" i="10"/>
  <c r="P21" i="10"/>
  <c r="N48" i="10"/>
  <c r="R48" i="10"/>
  <c r="N20" i="10"/>
  <c r="N194" i="10"/>
  <c r="N211" i="10"/>
  <c r="N18" i="10"/>
  <c r="R18" i="10"/>
  <c r="N275" i="10"/>
  <c r="N83" i="10"/>
  <c r="R83" i="10"/>
  <c r="N220" i="10"/>
  <c r="P18" i="10"/>
  <c r="P83" i="10"/>
  <c r="P220" i="10"/>
  <c r="N41" i="10"/>
  <c r="R41" i="10"/>
  <c r="N176" i="10"/>
  <c r="P49" i="10"/>
  <c r="N4" i="10"/>
  <c r="N78" i="10"/>
  <c r="R78" i="10"/>
  <c r="N269" i="10"/>
  <c r="P181" i="10"/>
  <c r="N17" i="10"/>
  <c r="N44" i="10"/>
  <c r="R44" i="10"/>
  <c r="N263" i="10"/>
  <c r="N254" i="10"/>
  <c r="N248" i="10"/>
  <c r="N73" i="10"/>
  <c r="N268" i="10"/>
  <c r="N201" i="10"/>
  <c r="N153" i="10"/>
  <c r="R153" i="10"/>
  <c r="N225" i="10"/>
  <c r="P213" i="10"/>
  <c r="N267" i="10"/>
  <c r="P39" i="10"/>
  <c r="N266" i="10"/>
  <c r="N210" i="10"/>
  <c r="N184" i="10"/>
  <c r="N97" i="10"/>
  <c r="R97" i="10"/>
  <c r="N136" i="10"/>
  <c r="R136" i="10"/>
  <c r="P268" i="10"/>
  <c r="N142" i="10"/>
  <c r="P93" i="10"/>
  <c r="N186" i="10"/>
  <c r="N94" i="10"/>
  <c r="N154" i="10"/>
  <c r="N106" i="10"/>
  <c r="R106" i="10"/>
  <c r="N135" i="10"/>
  <c r="R135" i="10"/>
  <c r="N124" i="10"/>
  <c r="P114" i="10"/>
  <c r="N103" i="10"/>
  <c r="R103" i="10"/>
  <c r="N90" i="10"/>
  <c r="N15" i="10"/>
  <c r="N14" i="10"/>
  <c r="N79" i="10"/>
  <c r="N34" i="10"/>
  <c r="R34" i="10"/>
  <c r="N82" i="10"/>
  <c r="N149" i="10"/>
  <c r="R149" i="10"/>
  <c r="N258" i="10"/>
  <c r="N189" i="10"/>
  <c r="N229" i="10"/>
  <c r="N85" i="10"/>
  <c r="N277" i="10"/>
  <c r="P101" i="10"/>
  <c r="P19" i="10"/>
  <c r="N113" i="10"/>
  <c r="R113" i="10"/>
  <c r="N139" i="10"/>
  <c r="R139" i="10"/>
  <c r="N212" i="10"/>
  <c r="N164" i="10"/>
  <c r="N261" i="10"/>
  <c r="N271" i="10"/>
  <c r="N217" i="10"/>
  <c r="N208" i="10"/>
  <c r="N262" i="10"/>
  <c r="N42" i="10"/>
  <c r="N178" i="10"/>
  <c r="P203" i="10"/>
  <c r="N163" i="10"/>
  <c r="N105" i="10"/>
  <c r="N233" i="10"/>
  <c r="N249" i="10"/>
  <c r="N232" i="10"/>
  <c r="N205" i="10"/>
  <c r="P140" i="10"/>
  <c r="N50" i="10"/>
  <c r="P139" i="10"/>
  <c r="N26" i="10"/>
  <c r="N138" i="10"/>
  <c r="R138" i="10"/>
  <c r="P236" i="10"/>
  <c r="N157" i="10"/>
  <c r="P157" i="10"/>
  <c r="N144" i="10"/>
  <c r="N51" i="10"/>
  <c r="N45" i="10"/>
  <c r="R45" i="10"/>
  <c r="N134" i="10"/>
  <c r="N102" i="10"/>
  <c r="N131" i="10"/>
  <c r="R131" i="10"/>
  <c r="N116" i="10"/>
  <c r="R116" i="10"/>
  <c r="N112" i="10"/>
  <c r="R112" i="10"/>
  <c r="N31" i="10"/>
  <c r="N226" i="10"/>
  <c r="N57" i="10"/>
  <c r="N76" i="10"/>
  <c r="R76" i="10"/>
  <c r="N224" i="10"/>
  <c r="N40" i="10"/>
  <c r="R40" i="10"/>
  <c r="N276" i="10"/>
  <c r="I279" i="10"/>
  <c r="N166" i="10"/>
  <c r="N143" i="10"/>
  <c r="N243" i="10"/>
  <c r="N234" i="10"/>
  <c r="N199" i="10"/>
  <c r="N141" i="10"/>
  <c r="N256" i="10"/>
  <c r="N193" i="10"/>
  <c r="N99" i="10"/>
  <c r="R99" i="10"/>
  <c r="N55" i="10"/>
  <c r="R55" i="10"/>
  <c r="N251" i="10"/>
  <c r="N221" i="10"/>
  <c r="N33" i="10"/>
  <c r="R33" i="10"/>
  <c r="N54" i="10"/>
  <c r="R54" i="10"/>
  <c r="N191" i="10"/>
  <c r="N122" i="10"/>
  <c r="N52" i="10"/>
  <c r="N182" i="10"/>
  <c r="N8" i="10"/>
  <c r="N219" i="10"/>
  <c r="N43" i="10"/>
  <c r="R43" i="10"/>
  <c r="N25" i="10"/>
  <c r="N75" i="10"/>
  <c r="P259" i="10"/>
  <c r="P92" i="10"/>
  <c r="P77" i="10"/>
  <c r="P214" i="10"/>
  <c r="N133" i="10"/>
  <c r="N88" i="10"/>
  <c r="R88" i="10"/>
  <c r="N91" i="10"/>
  <c r="R91" i="10"/>
  <c r="N155" i="10"/>
  <c r="R155" i="10"/>
  <c r="N3" i="10"/>
  <c r="N170" i="10"/>
  <c r="N98" i="10"/>
  <c r="R98" i="10"/>
  <c r="N169" i="10"/>
  <c r="N110" i="10"/>
  <c r="R110" i="10"/>
  <c r="N29" i="10"/>
  <c r="R29" i="10"/>
  <c r="N227" i="10"/>
  <c r="N118" i="10"/>
  <c r="R118" i="10"/>
  <c r="N270" i="10"/>
  <c r="N165" i="10"/>
  <c r="N177" i="10"/>
  <c r="N151" i="10"/>
  <c r="R151" i="10"/>
  <c r="N260" i="10"/>
  <c r="N68" i="10"/>
  <c r="N250" i="10"/>
  <c r="N24" i="10"/>
  <c r="R24" i="10"/>
  <c r="P147" i="10"/>
  <c r="N100" i="10"/>
  <c r="N146" i="10"/>
  <c r="R146" i="10"/>
  <c r="N145" i="10"/>
  <c r="P42" i="10"/>
  <c r="P218" i="10"/>
  <c r="N237" i="10"/>
  <c r="P105" i="10"/>
  <c r="P208" i="10"/>
  <c r="N12" i="10"/>
  <c r="R12" i="10"/>
  <c r="P60" i="10"/>
  <c r="P96" i="10"/>
  <c r="N81" i="10"/>
  <c r="R81" i="10"/>
  <c r="N80" i="10"/>
  <c r="R80" i="10"/>
  <c r="P71" i="10"/>
  <c r="N104" i="10"/>
  <c r="P207" i="10"/>
  <c r="N188" i="10"/>
  <c r="N109" i="10"/>
  <c r="R109" i="10"/>
  <c r="N187" i="10"/>
  <c r="P100" i="10"/>
  <c r="N35" i="10"/>
  <c r="P188" i="10"/>
  <c r="N206" i="10"/>
  <c r="N64" i="10"/>
  <c r="R64" i="10"/>
  <c r="P22" i="10"/>
  <c r="N46" i="10"/>
  <c r="R46" i="10"/>
  <c r="P111" i="10"/>
  <c r="N10" i="10"/>
  <c r="N132" i="10"/>
  <c r="R132" i="10"/>
  <c r="N9" i="10"/>
  <c r="R9" i="10"/>
  <c r="N67" i="10"/>
  <c r="R67" i="10"/>
  <c r="P224" i="10"/>
  <c r="N204" i="10"/>
  <c r="P8" i="10"/>
  <c r="N272" i="10"/>
  <c r="P78" i="10"/>
  <c r="P269" i="10"/>
  <c r="N215" i="10"/>
  <c r="N167" i="10"/>
  <c r="P117" i="10"/>
  <c r="P44" i="10"/>
  <c r="P131" i="10"/>
  <c r="P98" i="10"/>
  <c r="N195" i="10"/>
  <c r="N16" i="10"/>
  <c r="N13" i="10"/>
  <c r="R13" i="10"/>
  <c r="P86" i="10"/>
  <c r="N63" i="10"/>
  <c r="R63" i="10"/>
  <c r="N200" i="10"/>
  <c r="N148" i="10"/>
  <c r="P75" i="10"/>
  <c r="N174" i="10"/>
  <c r="N196" i="10"/>
  <c r="N115" i="10"/>
  <c r="N238" i="10"/>
  <c r="N11" i="10"/>
  <c r="N230" i="10"/>
  <c r="N130" i="10"/>
  <c r="N247" i="10"/>
  <c r="N197" i="10"/>
  <c r="N95" i="10"/>
  <c r="P271" i="10"/>
  <c r="P94" i="10"/>
  <c r="N47" i="10"/>
  <c r="R47" i="10"/>
  <c r="N245" i="10"/>
  <c r="N159" i="10"/>
  <c r="P36" i="10"/>
  <c r="N89" i="10"/>
  <c r="R89" i="10"/>
  <c r="N255" i="10"/>
  <c r="N273" i="10"/>
  <c r="P54" i="10"/>
  <c r="N65" i="10"/>
  <c r="R65" i="10"/>
  <c r="N240" i="10"/>
  <c r="N202" i="10"/>
  <c r="N107" i="10"/>
  <c r="N172" i="10"/>
  <c r="N150" i="10"/>
  <c r="R150" i="10"/>
  <c r="N168" i="10"/>
  <c r="N126" i="10"/>
  <c r="P17" i="10"/>
  <c r="N5" i="10"/>
  <c r="R5" i="10"/>
  <c r="N23" i="10"/>
  <c r="R23" i="10"/>
  <c r="P107" i="10"/>
  <c r="N253" i="10"/>
  <c r="P169" i="10"/>
  <c r="N244" i="10"/>
  <c r="N235" i="10"/>
  <c r="N59" i="10"/>
  <c r="R59" i="10"/>
  <c r="N7" i="10"/>
  <c r="N87" i="10"/>
  <c r="N72" i="10"/>
  <c r="N120" i="10"/>
  <c r="N161" i="10"/>
  <c r="N119" i="10"/>
  <c r="N152" i="10"/>
  <c r="R152" i="10"/>
  <c r="N265" i="10"/>
  <c r="P267" i="10"/>
  <c r="N70" i="10"/>
  <c r="R70" i="10"/>
  <c r="N252" i="10"/>
  <c r="P240" i="10"/>
  <c r="P162" i="10"/>
  <c r="R161" i="10" l="1"/>
  <c r="Q279" i="10"/>
  <c r="P279" i="10"/>
  <c r="S3" i="10"/>
  <c r="S4" i="10" s="1"/>
  <c r="R3" i="10"/>
  <c r="R279" i="10" s="1"/>
  <c r="T3" i="10" l="1"/>
  <c r="S5" i="10"/>
  <c r="T4" i="10"/>
  <c r="S6" i="10" l="1"/>
  <c r="T5" i="10"/>
  <c r="S7" i="10" l="1"/>
  <c r="T6" i="10"/>
  <c r="S8" i="10" l="1"/>
  <c r="T7" i="10"/>
  <c r="T8" i="10" l="1"/>
  <c r="S9" i="10"/>
  <c r="T9" i="10" l="1"/>
  <c r="S10" i="10"/>
  <c r="T10" i="10" l="1"/>
  <c r="S11" i="10"/>
  <c r="T11" i="10" l="1"/>
  <c r="S12" i="10"/>
  <c r="T12" i="10" l="1"/>
  <c r="S13" i="10"/>
  <c r="T13" i="10" l="1"/>
  <c r="S14" i="10"/>
  <c r="T14" i="10" l="1"/>
  <c r="S15" i="10"/>
  <c r="T15" i="10" l="1"/>
  <c r="S16" i="10"/>
  <c r="T16" i="10" l="1"/>
  <c r="S17" i="10"/>
  <c r="S18" i="10" l="1"/>
  <c r="T17" i="10"/>
  <c r="T18" i="10" l="1"/>
  <c r="S19" i="10"/>
  <c r="T19" i="10" l="1"/>
  <c r="S20" i="10"/>
  <c r="T20" i="10" l="1"/>
  <c r="S21" i="10"/>
  <c r="S22" i="10" l="1"/>
  <c r="T21" i="10"/>
  <c r="T22" i="10" l="1"/>
  <c r="S23" i="10"/>
  <c r="T23" i="10" l="1"/>
  <c r="S24" i="10"/>
  <c r="T24" i="10" l="1"/>
  <c r="S25" i="10"/>
  <c r="T25" i="10" l="1"/>
  <c r="S26" i="10"/>
  <c r="T26" i="10" l="1"/>
  <c r="S27" i="10"/>
  <c r="T27" i="10" l="1"/>
  <c r="S28" i="10"/>
  <c r="S29" i="10" l="1"/>
  <c r="T28" i="10"/>
  <c r="T29" i="10" l="1"/>
  <c r="S30" i="10"/>
  <c r="T30" i="10" l="1"/>
  <c r="S31" i="10"/>
  <c r="T31" i="10" l="1"/>
  <c r="S32" i="10"/>
  <c r="T32" i="10" l="1"/>
  <c r="S33" i="10"/>
  <c r="T33" i="10" l="1"/>
  <c r="S34" i="10"/>
  <c r="T34" i="10" l="1"/>
  <c r="S35" i="10"/>
  <c r="S36" i="10" l="1"/>
  <c r="T35" i="10"/>
  <c r="T36" i="10" l="1"/>
  <c r="S37" i="10"/>
  <c r="T37" i="10" l="1"/>
  <c r="S38" i="10"/>
  <c r="T38" i="10" l="1"/>
  <c r="S39" i="10"/>
  <c r="T39" i="10" l="1"/>
  <c r="S40" i="10"/>
  <c r="T40" i="10" l="1"/>
  <c r="S41" i="10"/>
  <c r="T41" i="10" l="1"/>
  <c r="S42" i="10"/>
  <c r="S43" i="10" l="1"/>
  <c r="T42" i="10"/>
  <c r="T43" i="10" l="1"/>
  <c r="S44" i="10"/>
  <c r="T44" i="10" l="1"/>
  <c r="S45" i="10"/>
  <c r="T45" i="10" l="1"/>
  <c r="S46" i="10"/>
  <c r="T46" i="10" l="1"/>
  <c r="S47" i="10"/>
  <c r="T47" i="10" l="1"/>
  <c r="S48" i="10"/>
  <c r="T48" i="10" l="1"/>
  <c r="S49" i="10"/>
  <c r="S50" i="10" l="1"/>
  <c r="T49" i="10"/>
  <c r="T50" i="10" l="1"/>
  <c r="S51" i="10"/>
  <c r="T51" i="10" l="1"/>
  <c r="S52" i="10"/>
  <c r="T52" i="10" l="1"/>
  <c r="S53" i="10"/>
  <c r="T53" i="10" l="1"/>
  <c r="S54" i="10"/>
  <c r="T54" i="10" l="1"/>
  <c r="S55" i="10"/>
  <c r="T55" i="10" l="1"/>
  <c r="S56" i="10"/>
  <c r="S57" i="10" l="1"/>
  <c r="T56" i="10"/>
  <c r="T57" i="10" l="1"/>
  <c r="S58" i="10"/>
  <c r="T58" i="10" l="1"/>
  <c r="S59" i="10"/>
  <c r="T59" i="10" l="1"/>
  <c r="S60" i="10"/>
  <c r="T60" i="10" l="1"/>
  <c r="S61" i="10"/>
  <c r="T61" i="10" l="1"/>
  <c r="S62" i="10"/>
  <c r="T62" i="10" l="1"/>
  <c r="S63" i="10"/>
  <c r="S64" i="10" l="1"/>
  <c r="T63" i="10"/>
  <c r="T64" i="10" l="1"/>
  <c r="S65" i="10"/>
  <c r="T65" i="10" l="1"/>
  <c r="S66" i="10"/>
  <c r="T66" i="10" l="1"/>
  <c r="S67" i="10"/>
  <c r="T67" i="10" l="1"/>
  <c r="S68" i="10"/>
  <c r="T68" i="10" l="1"/>
  <c r="S69" i="10"/>
  <c r="T69" i="10" l="1"/>
  <c r="S70" i="10"/>
  <c r="S71" i="10" l="1"/>
  <c r="T70" i="10"/>
  <c r="T71" i="10" l="1"/>
  <c r="S72" i="10"/>
  <c r="S73" i="10" l="1"/>
  <c r="T72" i="10"/>
  <c r="S74" i="10" l="1"/>
  <c r="T73" i="10"/>
  <c r="T74" i="10" l="1"/>
  <c r="S75" i="10"/>
  <c r="T75" i="10" l="1"/>
  <c r="S76" i="10"/>
  <c r="T76" i="10" l="1"/>
  <c r="S77" i="10"/>
  <c r="S78" i="10" l="1"/>
  <c r="T77" i="10"/>
  <c r="S79" i="10" l="1"/>
  <c r="T78" i="10"/>
  <c r="T79" i="10" l="1"/>
  <c r="S80" i="10"/>
  <c r="S81" i="10" l="1"/>
  <c r="T80" i="10"/>
  <c r="S82" i="10" l="1"/>
  <c r="T81" i="10"/>
  <c r="T82" i="10" l="1"/>
  <c r="S83" i="10"/>
  <c r="S84" i="10" l="1"/>
  <c r="T83" i="10"/>
  <c r="S85" i="10" l="1"/>
  <c r="T84" i="10"/>
  <c r="S86" i="10" l="1"/>
  <c r="T85" i="10"/>
  <c r="T86" i="10" l="1"/>
  <c r="S87" i="10"/>
  <c r="S88" i="10" l="1"/>
  <c r="T87" i="10"/>
  <c r="S89" i="10" l="1"/>
  <c r="T88" i="10"/>
  <c r="T89" i="10" l="1"/>
  <c r="S90" i="10"/>
  <c r="S91" i="10" l="1"/>
  <c r="T90" i="10"/>
  <c r="S92" i="10" l="1"/>
  <c r="T91" i="10"/>
  <c r="S93" i="10" l="1"/>
  <c r="T92" i="10"/>
  <c r="T93" i="10" l="1"/>
  <c r="S94" i="10"/>
  <c r="S95" i="10" l="1"/>
  <c r="T94" i="10"/>
  <c r="S96" i="10" l="1"/>
  <c r="T95" i="10"/>
  <c r="T96" i="10" l="1"/>
  <c r="S97" i="10"/>
  <c r="S98" i="10" l="1"/>
  <c r="T97" i="10"/>
  <c r="S99" i="10" l="1"/>
  <c r="T98" i="10"/>
  <c r="S100" i="10" l="1"/>
  <c r="T99" i="10"/>
  <c r="T100" i="10" l="1"/>
  <c r="S101" i="10"/>
  <c r="S102" i="10" l="1"/>
  <c r="T101" i="10"/>
  <c r="S103" i="10" l="1"/>
  <c r="T102" i="10"/>
  <c r="T103" i="10" l="1"/>
  <c r="S104" i="10"/>
  <c r="S105" i="10" l="1"/>
  <c r="T104" i="10"/>
  <c r="S106" i="10" l="1"/>
  <c r="T105" i="10"/>
  <c r="T106" i="10" l="1"/>
  <c r="S107" i="10"/>
  <c r="T107" i="10" l="1"/>
  <c r="S108" i="10"/>
  <c r="S109" i="10" l="1"/>
  <c r="T108" i="10"/>
  <c r="S110" i="10" l="1"/>
  <c r="T109" i="10"/>
  <c r="T110" i="10" l="1"/>
  <c r="S111" i="10"/>
  <c r="S112" i="10" l="1"/>
  <c r="T111" i="10"/>
  <c r="S113" i="10" l="1"/>
  <c r="T112" i="10"/>
  <c r="T113" i="10" l="1"/>
  <c r="S114" i="10"/>
  <c r="T114" i="10" l="1"/>
  <c r="S115" i="10"/>
  <c r="S116" i="10" l="1"/>
  <c r="T115" i="10"/>
  <c r="S117" i="10" l="1"/>
  <c r="T116" i="10"/>
  <c r="S118" i="10" l="1"/>
  <c r="T117" i="10"/>
  <c r="S119" i="10" l="1"/>
  <c r="T118" i="10"/>
  <c r="S120" i="10" l="1"/>
  <c r="T119" i="10"/>
  <c r="S121" i="10" l="1"/>
  <c r="T120" i="10"/>
  <c r="S122" i="10" l="1"/>
  <c r="T121" i="10"/>
  <c r="S123" i="10" l="1"/>
  <c r="T122" i="10"/>
  <c r="S124" i="10" l="1"/>
  <c r="T123" i="10"/>
  <c r="S125" i="10" l="1"/>
  <c r="T124" i="10"/>
  <c r="S126" i="10" l="1"/>
  <c r="T125" i="10"/>
  <c r="S127" i="10" l="1"/>
  <c r="T126" i="10"/>
  <c r="S128" i="10" l="1"/>
  <c r="T127" i="10"/>
  <c r="S129" i="10" l="1"/>
  <c r="T128" i="10"/>
  <c r="S130" i="10" l="1"/>
  <c r="T129" i="10"/>
  <c r="S131" i="10" l="1"/>
  <c r="T130" i="10"/>
  <c r="T131" i="10" l="1"/>
  <c r="S132" i="10"/>
  <c r="T132" i="10" l="1"/>
  <c r="S133" i="10"/>
  <c r="T133" i="10" l="1"/>
  <c r="S134" i="10"/>
  <c r="S135" i="10" l="1"/>
  <c r="T134" i="10"/>
  <c r="T135" i="10" l="1"/>
  <c r="S136" i="10"/>
  <c r="T136" i="10" l="1"/>
  <c r="S137" i="10"/>
  <c r="S138" i="10" l="1"/>
  <c r="T137" i="10"/>
  <c r="T138" i="10" l="1"/>
  <c r="S139" i="10"/>
  <c r="T139" i="10" l="1"/>
  <c r="S140" i="10"/>
  <c r="T140" i="10" l="1"/>
  <c r="S141" i="10"/>
  <c r="T141" i="10" l="1"/>
  <c r="S142" i="10"/>
  <c r="T142" i="10" l="1"/>
  <c r="S143" i="10"/>
  <c r="T143" i="10" l="1"/>
  <c r="S144" i="10"/>
  <c r="S145" i="10" l="1"/>
  <c r="T144" i="10"/>
  <c r="S146" i="10" l="1"/>
  <c r="T145" i="10"/>
  <c r="S147" i="10" l="1"/>
  <c r="T146" i="10"/>
  <c r="S148" i="10" l="1"/>
  <c r="T147" i="10"/>
  <c r="S149" i="10" l="1"/>
  <c r="T148" i="10"/>
  <c r="S150" i="10" l="1"/>
  <c r="T149" i="10"/>
  <c r="S151" i="10" l="1"/>
  <c r="T150" i="10"/>
  <c r="S152" i="10" l="1"/>
  <c r="T151" i="10"/>
  <c r="S153" i="10" l="1"/>
  <c r="T152" i="10"/>
  <c r="S154" i="10" l="1"/>
  <c r="T153" i="10"/>
  <c r="S155" i="10" l="1"/>
  <c r="T154" i="10"/>
  <c r="T155" i="10" l="1"/>
  <c r="S156" i="10"/>
  <c r="S157" i="10" l="1"/>
  <c r="T156" i="10"/>
  <c r="T157" i="10" l="1"/>
  <c r="S158" i="10"/>
  <c r="S159" i="10" l="1"/>
  <c r="T158" i="10"/>
  <c r="T159" i="10" l="1"/>
  <c r="S160" i="10"/>
  <c r="S161" i="10" l="1"/>
  <c r="T160" i="10"/>
  <c r="S162" i="10" l="1"/>
  <c r="T161" i="10"/>
  <c r="S163" i="10" l="1"/>
  <c r="T162" i="10"/>
  <c r="T163" i="10" l="1"/>
  <c r="S164" i="10"/>
  <c r="S165" i="10" l="1"/>
  <c r="T164" i="10"/>
  <c r="S166" i="10" l="1"/>
  <c r="T165" i="10"/>
  <c r="S167" i="10" l="1"/>
  <c r="T166" i="10"/>
  <c r="S168" i="10" l="1"/>
  <c r="T167" i="10"/>
  <c r="S169" i="10" l="1"/>
  <c r="T168" i="10"/>
  <c r="S170" i="10" l="1"/>
  <c r="T169" i="10"/>
  <c r="T170" i="10" l="1"/>
  <c r="S171" i="10"/>
  <c r="T171" i="10" l="1"/>
  <c r="S172" i="10"/>
  <c r="S173" i="10" l="1"/>
  <c r="T172" i="10"/>
  <c r="S174" i="10" l="1"/>
  <c r="T173" i="10"/>
  <c r="T174" i="10" l="1"/>
  <c r="S175" i="10"/>
  <c r="S176" i="10" l="1"/>
  <c r="T175" i="10"/>
  <c r="S177" i="10" l="1"/>
  <c r="T176" i="10"/>
  <c r="S178" i="10" l="1"/>
  <c r="T177" i="10"/>
  <c r="T178" i="10" l="1"/>
  <c r="S179" i="10"/>
  <c r="S180" i="10" l="1"/>
  <c r="T179" i="10"/>
  <c r="S181" i="10" l="1"/>
  <c r="T180" i="10"/>
  <c r="S182" i="10" l="1"/>
  <c r="T181" i="10"/>
  <c r="S183" i="10" l="1"/>
  <c r="T182" i="10"/>
  <c r="T183" i="10" l="1"/>
  <c r="S184" i="10"/>
  <c r="S185" i="10" l="1"/>
  <c r="T184" i="10"/>
  <c r="S186" i="10" l="1"/>
  <c r="T185" i="10"/>
  <c r="S187" i="10" l="1"/>
  <c r="T186" i="10"/>
  <c r="T187" i="10" l="1"/>
  <c r="S188" i="10"/>
  <c r="S189" i="10" l="1"/>
  <c r="T188" i="10"/>
  <c r="T189" i="10" l="1"/>
  <c r="S190" i="10"/>
  <c r="T190" i="10" l="1"/>
  <c r="S191" i="10"/>
  <c r="T191" i="10" l="1"/>
  <c r="S192" i="10"/>
  <c r="T192" i="10" l="1"/>
  <c r="S193" i="10"/>
  <c r="S194" i="10" l="1"/>
  <c r="T193" i="10"/>
  <c r="S195" i="10" l="1"/>
  <c r="T194" i="10"/>
  <c r="S196" i="10" l="1"/>
  <c r="T195" i="10"/>
  <c r="S197" i="10" l="1"/>
  <c r="T196" i="10"/>
  <c r="T197" i="10" l="1"/>
  <c r="S198" i="10"/>
  <c r="S199" i="10" l="1"/>
  <c r="T198" i="10"/>
  <c r="S200" i="10" l="1"/>
  <c r="T199" i="10"/>
  <c r="S201" i="10" l="1"/>
  <c r="T200" i="10"/>
  <c r="S202" i="10" l="1"/>
  <c r="T201" i="10"/>
  <c r="S203" i="10" l="1"/>
  <c r="T202" i="10"/>
  <c r="S204" i="10" l="1"/>
  <c r="T203" i="10"/>
  <c r="T204" i="10" l="1"/>
  <c r="S205" i="10"/>
  <c r="T205" i="10" l="1"/>
  <c r="S206" i="10"/>
  <c r="T206" i="10" l="1"/>
  <c r="S207" i="10"/>
  <c r="S208" i="10" l="1"/>
  <c r="T207" i="10"/>
  <c r="T208" i="10" l="1"/>
  <c r="S209" i="10"/>
  <c r="S210" i="10" l="1"/>
  <c r="T209" i="10"/>
  <c r="S211" i="10" l="1"/>
  <c r="T210" i="10"/>
  <c r="S212" i="10" l="1"/>
  <c r="T211" i="10"/>
  <c r="S213" i="10" l="1"/>
  <c r="T212" i="10"/>
  <c r="S214" i="10" l="1"/>
  <c r="T213" i="10"/>
  <c r="S215" i="10" l="1"/>
  <c r="T214" i="10"/>
  <c r="S216" i="10" l="1"/>
  <c r="T215" i="10"/>
  <c r="S217" i="10" l="1"/>
  <c r="T216" i="10"/>
  <c r="T217" i="10" l="1"/>
  <c r="S218" i="10"/>
  <c r="S219" i="10" l="1"/>
  <c r="T218" i="10"/>
  <c r="S220" i="10" l="1"/>
  <c r="T219" i="10"/>
  <c r="S221" i="10" l="1"/>
  <c r="T220" i="10"/>
  <c r="S222" i="10" l="1"/>
  <c r="T221" i="10"/>
  <c r="S223" i="10" l="1"/>
  <c r="T222" i="10"/>
  <c r="S224" i="10" l="1"/>
  <c r="T223" i="10"/>
  <c r="S225" i="10" l="1"/>
  <c r="T224" i="10"/>
  <c r="S226" i="10" l="1"/>
  <c r="T225" i="10"/>
  <c r="S227" i="10" l="1"/>
  <c r="T226" i="10"/>
  <c r="S228" i="10" l="1"/>
  <c r="T227" i="10"/>
  <c r="S229" i="10" l="1"/>
  <c r="T228" i="10"/>
  <c r="S230" i="10" l="1"/>
  <c r="T229" i="10"/>
  <c r="S231" i="10" l="1"/>
  <c r="T230" i="10"/>
  <c r="T231" i="10" l="1"/>
  <c r="S232" i="10"/>
  <c r="S233" i="10" l="1"/>
  <c r="T232" i="10"/>
  <c r="S234" i="10" l="1"/>
  <c r="T233" i="10"/>
  <c r="S235" i="10" l="1"/>
  <c r="T234" i="10"/>
  <c r="S236" i="10" l="1"/>
  <c r="T235" i="10"/>
  <c r="S237" i="10" l="1"/>
  <c r="T236" i="10"/>
  <c r="S238" i="10" l="1"/>
  <c r="T237" i="10"/>
  <c r="S239" i="10" l="1"/>
  <c r="T238" i="10"/>
  <c r="S240" i="10" l="1"/>
  <c r="T239" i="10"/>
  <c r="S241" i="10" l="1"/>
  <c r="T240" i="10"/>
  <c r="S242" i="10" l="1"/>
  <c r="T241" i="10"/>
  <c r="S243" i="10" l="1"/>
  <c r="T242" i="10"/>
  <c r="S244" i="10" l="1"/>
  <c r="T243" i="10"/>
  <c r="S245" i="10" l="1"/>
  <c r="T244" i="10"/>
  <c r="S246" i="10" l="1"/>
  <c r="T245" i="10"/>
  <c r="S247" i="10" l="1"/>
  <c r="T246" i="10"/>
  <c r="T247" i="10" l="1"/>
  <c r="S248" i="10"/>
  <c r="S249" i="10" l="1"/>
  <c r="T248" i="10"/>
  <c r="S250" i="10" l="1"/>
  <c r="T249" i="10"/>
  <c r="T250" i="10" l="1"/>
  <c r="S251" i="10"/>
  <c r="S252" i="10" l="1"/>
  <c r="T251" i="10"/>
  <c r="S253" i="10" l="1"/>
  <c r="T252" i="10"/>
  <c r="S254" i="10" l="1"/>
  <c r="T253" i="10"/>
  <c r="S255" i="10" l="1"/>
  <c r="T254" i="10"/>
  <c r="S256" i="10" l="1"/>
  <c r="T255" i="10"/>
  <c r="S257" i="10" l="1"/>
  <c r="T256" i="10"/>
  <c r="S258" i="10" l="1"/>
  <c r="T257" i="10"/>
  <c r="T258" i="10" l="1"/>
  <c r="S259" i="10"/>
  <c r="S260" i="10" l="1"/>
  <c r="T259" i="10"/>
  <c r="S261" i="10" l="1"/>
  <c r="T260" i="10"/>
  <c r="S262" i="10" l="1"/>
  <c r="T261" i="10"/>
  <c r="S263" i="10" l="1"/>
  <c r="T262" i="10"/>
  <c r="S264" i="10" l="1"/>
  <c r="T263" i="10"/>
  <c r="S265" i="10" l="1"/>
  <c r="T264" i="10"/>
  <c r="S266" i="10" l="1"/>
  <c r="T265" i="10"/>
  <c r="S267" i="10" l="1"/>
  <c r="T266" i="10"/>
  <c r="S268" i="10" l="1"/>
  <c r="T267" i="10"/>
  <c r="S269" i="10" l="1"/>
  <c r="T268" i="10"/>
  <c r="S270" i="10" l="1"/>
  <c r="T269" i="10"/>
  <c r="S271" i="10" l="1"/>
  <c r="T270" i="10"/>
  <c r="S272" i="10" l="1"/>
  <c r="T271" i="10"/>
  <c r="S273" i="10" l="1"/>
  <c r="T272" i="10"/>
  <c r="S274" i="10" l="1"/>
  <c r="T273" i="10"/>
  <c r="S275" i="10" l="1"/>
  <c r="T274" i="10"/>
  <c r="S276" i="10" l="1"/>
  <c r="T275" i="10"/>
  <c r="S277" i="10" l="1"/>
  <c r="T277" i="10" s="1"/>
  <c r="T276" i="10"/>
</calcChain>
</file>

<file path=xl/sharedStrings.xml><?xml version="1.0" encoding="utf-8"?>
<sst xmlns="http://schemas.openxmlformats.org/spreadsheetml/2006/main" count="213" uniqueCount="194">
  <si>
    <t xml:space="preserve">ACEA7007-Hybrid Powertrain and Control </t>
  </si>
  <si>
    <t>Series Hybrid Vehicle(CW1)</t>
  </si>
  <si>
    <t>Technical Data</t>
  </si>
  <si>
    <t>Maximum Engine Speed (RPM)</t>
  </si>
  <si>
    <t xml:space="preserve">Gear </t>
  </si>
  <si>
    <t>Input</t>
  </si>
  <si>
    <t>Output</t>
  </si>
  <si>
    <t>Gear Ratio</t>
  </si>
  <si>
    <t>Overall Ratio</t>
  </si>
  <si>
    <t>Maximum Engine Torque (Nm)</t>
  </si>
  <si>
    <r>
      <t>1</t>
    </r>
    <r>
      <rPr>
        <vertAlign val="superscript"/>
        <sz val="11"/>
        <color theme="1"/>
        <rFont val="Times New Roman"/>
        <family val="1"/>
      </rPr>
      <t>st</t>
    </r>
  </si>
  <si>
    <t>Maximum Power Develop by Engine (W)</t>
  </si>
  <si>
    <r>
      <t>2</t>
    </r>
    <r>
      <rPr>
        <vertAlign val="superscript"/>
        <sz val="11"/>
        <color theme="1"/>
        <rFont val="Times New Roman"/>
        <family val="1"/>
      </rPr>
      <t>nd</t>
    </r>
  </si>
  <si>
    <t>Maximum Power Developed by Engine (HP)</t>
  </si>
  <si>
    <r>
      <t>3</t>
    </r>
    <r>
      <rPr>
        <vertAlign val="superscript"/>
        <sz val="11"/>
        <color theme="1"/>
        <rFont val="Times New Roman"/>
        <family val="1"/>
      </rPr>
      <t>rd</t>
    </r>
  </si>
  <si>
    <r>
      <t>Effective Frontal Area (m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)</t>
    </r>
  </si>
  <si>
    <t>Final Drive</t>
  </si>
  <si>
    <t>Front Wheel Radius (mm)</t>
  </si>
  <si>
    <t>Primary Drive</t>
  </si>
  <si>
    <t>Rear Wheel Radius (mm)</t>
  </si>
  <si>
    <t>Front tyre Radius (24*8-12) (m)</t>
  </si>
  <si>
    <r>
      <t>Inertia (kgm</t>
    </r>
    <r>
      <rPr>
        <b/>
        <vertAlign val="superscript"/>
        <sz val="11"/>
        <color theme="1"/>
        <rFont val="Times New Roman"/>
        <family val="1"/>
      </rPr>
      <t>2</t>
    </r>
    <r>
      <rPr>
        <b/>
        <sz val="11"/>
        <color theme="1"/>
        <rFont val="Times New Roman"/>
        <family val="1"/>
      </rPr>
      <t>)</t>
    </r>
  </si>
  <si>
    <t>Transmission Ratio</t>
  </si>
  <si>
    <t>Velocity Ratio</t>
  </si>
  <si>
    <t>Crankshaft Velocity Ratio</t>
  </si>
  <si>
    <t>Gearbox Velocity Ratio</t>
  </si>
  <si>
    <t>Sinθ1 (slop 1 uphill)</t>
  </si>
  <si>
    <t>Rear tyre Radius (23*10.5-12) (m)</t>
  </si>
  <si>
    <t>Front Wheel</t>
  </si>
  <si>
    <t>Sinθ2 (slop 1 downhill)</t>
  </si>
  <si>
    <t>Driver + Passenger Weight (kg)</t>
  </si>
  <si>
    <t>Rear Wheel</t>
  </si>
  <si>
    <t>Sinθ3 (slop 2 uphill)</t>
  </si>
  <si>
    <t>Fuel + Oil Weight (kg)</t>
  </si>
  <si>
    <t>Crankshaft</t>
  </si>
  <si>
    <t>Sinθ4 (slop 2 downhill)</t>
  </si>
  <si>
    <t>Kerb Weight (kg)</t>
  </si>
  <si>
    <t>GearBox Output Shaft</t>
  </si>
  <si>
    <t>Total Weight (kg)</t>
  </si>
  <si>
    <t>Gearbox Input Shaft(Gear1)</t>
  </si>
  <si>
    <t>Gearbox Input Shaft(Gear2)</t>
  </si>
  <si>
    <t>Drag Coefficient</t>
  </si>
  <si>
    <t>Gearbox Input Shaft(Gear3)</t>
  </si>
  <si>
    <t>Wind Speed (m/s)</t>
  </si>
  <si>
    <r>
      <t>Air Density (kg/m</t>
    </r>
    <r>
      <rPr>
        <vertAlign val="superscript"/>
        <sz val="11"/>
        <color theme="1"/>
        <rFont val="Times New Roman"/>
        <family val="1"/>
      </rPr>
      <t>3</t>
    </r>
    <r>
      <rPr>
        <sz val="11"/>
        <color theme="1"/>
        <rFont val="Times New Roman"/>
        <family val="1"/>
      </rPr>
      <t>)</t>
    </r>
  </si>
  <si>
    <r>
      <t>Rolling Coefficient (μ</t>
    </r>
    <r>
      <rPr>
        <vertAlign val="subscript"/>
        <sz val="11"/>
        <color theme="1"/>
        <rFont val="Times New Roman"/>
        <family val="1"/>
      </rPr>
      <t>R</t>
    </r>
    <r>
      <rPr>
        <sz val="11"/>
        <color theme="1"/>
        <rFont val="Times New Roman"/>
        <family val="1"/>
      </rPr>
      <t>) Asphalt</t>
    </r>
  </si>
  <si>
    <r>
      <t>Rolling Coefficient (μ</t>
    </r>
    <r>
      <rPr>
        <vertAlign val="subscript"/>
        <sz val="11"/>
        <color theme="1"/>
        <rFont val="Times New Roman"/>
        <family val="1"/>
      </rPr>
      <t>R</t>
    </r>
    <r>
      <rPr>
        <sz val="11"/>
        <color theme="1"/>
        <rFont val="Times New Roman"/>
        <family val="1"/>
      </rPr>
      <t>) Gravel</t>
    </r>
  </si>
  <si>
    <t>Rolling Coefficient (μR) Standing water</t>
  </si>
  <si>
    <t>Rolling Coefficient (μR) Field</t>
  </si>
  <si>
    <t>Traction Coefficient ( Asphalt)</t>
  </si>
  <si>
    <t>Traction Coefficient ( Geavel)</t>
  </si>
  <si>
    <t>Traction Coefficient ( Field)</t>
  </si>
  <si>
    <t>Traction Coefficient ( Water splash)</t>
  </si>
  <si>
    <t>Wheelbase (mm)</t>
  </si>
  <si>
    <t>Height of COG from Ground (mm)</t>
  </si>
  <si>
    <t>Distance of COG from Front Wheel Center (mm)</t>
  </si>
  <si>
    <t>Distance of COG from Rear Wheel Center (mm)</t>
  </si>
  <si>
    <t>Angle of Buggy Lifted (Degree)</t>
  </si>
  <si>
    <t>Angle of Buggy Lifted (Radians)</t>
  </si>
  <si>
    <t>tan(18°)</t>
  </si>
  <si>
    <t>Load on Rear Wheel (kg)</t>
  </si>
  <si>
    <t>Load on Rear Wheel while Lifted (kg)</t>
  </si>
  <si>
    <t>YCOG</t>
  </si>
  <si>
    <t>XCOG</t>
  </si>
  <si>
    <t>Tires Mass (kg)</t>
  </si>
  <si>
    <t>Wheels Mass (kg)</t>
  </si>
  <si>
    <t>Total Assembly Mass (kg)</t>
  </si>
  <si>
    <r>
      <t>Radius of Gyration Front Wheel (K</t>
    </r>
    <r>
      <rPr>
        <vertAlign val="subscript"/>
        <sz val="11"/>
        <color theme="1"/>
        <rFont val="Times New Roman"/>
        <family val="1"/>
      </rPr>
      <t>front)</t>
    </r>
  </si>
  <si>
    <r>
      <t>Radius of Gyration Rear Wheel at 6500rpm 1</t>
    </r>
    <r>
      <rPr>
        <vertAlign val="superscript"/>
        <sz val="11"/>
        <color theme="1"/>
        <rFont val="Times New Roman"/>
        <family val="1"/>
      </rPr>
      <t>st</t>
    </r>
    <r>
      <rPr>
        <sz val="11"/>
        <color theme="1"/>
        <rFont val="Times New Roman"/>
        <family val="1"/>
      </rPr>
      <t xml:space="preserve"> Gear</t>
    </r>
  </si>
  <si>
    <t>Inertia of Front Wheel</t>
  </si>
  <si>
    <t>Inertia of Rear Wheel</t>
  </si>
  <si>
    <t>Inertia of Engine</t>
  </si>
  <si>
    <t>Equivealant Mass in Gear 1</t>
  </si>
  <si>
    <t>Equivealant Mass in Gear 2</t>
  </si>
  <si>
    <t>Equivealant Mass in Gear 3</t>
  </si>
  <si>
    <t>Time (s)</t>
  </si>
  <si>
    <t>Velocity (mph)</t>
  </si>
  <si>
    <t>Velocity (km/h)</t>
  </si>
  <si>
    <t>Velocity (m/s)</t>
  </si>
  <si>
    <t>Distance (m)</t>
  </si>
  <si>
    <t>Displacement (m)</t>
  </si>
  <si>
    <t>Acceleration (m/s</t>
  </si>
  <si>
    <t>Gear</t>
  </si>
  <si>
    <t>Gradient Resistance Force (N)</t>
  </si>
  <si>
    <t>Aero Drag Force (N)</t>
  </si>
  <si>
    <t>Inertia Resistance  Force (N)</t>
  </si>
  <si>
    <t>Rolling Resistance Force (N)</t>
  </si>
  <si>
    <t>Total Resistance Force (N)</t>
  </si>
  <si>
    <t>Traction Force (N)</t>
  </si>
  <si>
    <t>Equivelent Mass (kg)</t>
  </si>
  <si>
    <t>Kinetic Energy (kJ)</t>
  </si>
  <si>
    <t>Potential Energy (kJ)</t>
  </si>
  <si>
    <t>Height (m)</t>
  </si>
  <si>
    <t>Torque @ Wheel (Nm)</t>
  </si>
  <si>
    <t>ASPHALT START</t>
  </si>
  <si>
    <t>T1 start</t>
  </si>
  <si>
    <t>T1 finish</t>
  </si>
  <si>
    <t>Water splash start</t>
  </si>
  <si>
    <t>Water splash finish</t>
  </si>
  <si>
    <t>T2 start</t>
  </si>
  <si>
    <t>T2 finish</t>
  </si>
  <si>
    <t>slop 1 up</t>
  </si>
  <si>
    <t>T3 start</t>
  </si>
  <si>
    <t>T3 finish</t>
  </si>
  <si>
    <t>T4 start</t>
  </si>
  <si>
    <t>T4 finish</t>
  </si>
  <si>
    <t>T5 start</t>
  </si>
  <si>
    <t>ASPHALT FINISH</t>
  </si>
  <si>
    <t>T5 finish</t>
  </si>
  <si>
    <t>GRASS FIELD START</t>
  </si>
  <si>
    <t>T6 start</t>
  </si>
  <si>
    <t>T6 finish</t>
  </si>
  <si>
    <t>T7 start</t>
  </si>
  <si>
    <t>T7 finish</t>
  </si>
  <si>
    <t>slop 1 down</t>
  </si>
  <si>
    <t>T8 start</t>
  </si>
  <si>
    <t>GRASS FIELD finish</t>
  </si>
  <si>
    <t>T8 finish</t>
  </si>
  <si>
    <t>GRAVEL START</t>
  </si>
  <si>
    <t>T9 start</t>
  </si>
  <si>
    <t>T9 finish</t>
  </si>
  <si>
    <t>T10 start</t>
  </si>
  <si>
    <t>T10 finish</t>
  </si>
  <si>
    <t>slop 2 up</t>
  </si>
  <si>
    <t>T11 start</t>
  </si>
  <si>
    <t>T11 finish</t>
  </si>
  <si>
    <t>T12 start</t>
  </si>
  <si>
    <t>T12 finish</t>
  </si>
  <si>
    <t>slop 2 down</t>
  </si>
  <si>
    <t>Efficiencies</t>
  </si>
  <si>
    <t>η (%)</t>
  </si>
  <si>
    <r>
      <t>Transmission Efficiency (η</t>
    </r>
    <r>
      <rPr>
        <vertAlign val="subscript"/>
        <sz val="11"/>
        <color theme="1"/>
        <rFont val="Bookman Old Style"/>
        <family val="1"/>
      </rPr>
      <t>T</t>
    </r>
    <r>
      <rPr>
        <sz val="11"/>
        <color theme="1"/>
        <rFont val="Bookman Old Style"/>
        <family val="1"/>
      </rPr>
      <t>)</t>
    </r>
  </si>
  <si>
    <r>
      <t>Motor efficiency (η</t>
    </r>
    <r>
      <rPr>
        <vertAlign val="subscript"/>
        <sz val="11"/>
        <color theme="1"/>
        <rFont val="Bookman Old Style"/>
        <family val="1"/>
      </rPr>
      <t>Mo</t>
    </r>
    <r>
      <rPr>
        <sz val="11"/>
        <color theme="1"/>
        <rFont val="Bookman Old Style"/>
        <family val="1"/>
      </rPr>
      <t>)</t>
    </r>
  </si>
  <si>
    <r>
      <t>Controller efficiency (η</t>
    </r>
    <r>
      <rPr>
        <vertAlign val="subscript"/>
        <sz val="11"/>
        <color theme="1"/>
        <rFont val="Bookman Old Style"/>
        <family val="1"/>
      </rPr>
      <t>Cnt</t>
    </r>
    <r>
      <rPr>
        <sz val="11"/>
        <color theme="1"/>
        <rFont val="Bookman Old Style"/>
        <family val="1"/>
      </rPr>
      <t>)</t>
    </r>
  </si>
  <si>
    <r>
      <t>Battery efficiency (η</t>
    </r>
    <r>
      <rPr>
        <vertAlign val="subscript"/>
        <sz val="11"/>
        <color theme="1"/>
        <rFont val="Bookman Old Style"/>
        <family val="1"/>
      </rPr>
      <t>Bt</t>
    </r>
    <r>
      <rPr>
        <sz val="11"/>
        <color theme="1"/>
        <rFont val="Bookman Old Style"/>
        <family val="1"/>
      </rPr>
      <t>)</t>
    </r>
  </si>
  <si>
    <r>
      <t>Generator efficiency (η</t>
    </r>
    <r>
      <rPr>
        <vertAlign val="subscript"/>
        <sz val="11"/>
        <color theme="1"/>
        <rFont val="Bookman Old Style"/>
        <family val="1"/>
      </rPr>
      <t>Gen</t>
    </r>
    <r>
      <rPr>
        <sz val="11"/>
        <color theme="1"/>
        <rFont val="Bookman Old Style"/>
        <family val="1"/>
      </rPr>
      <t>)</t>
    </r>
  </si>
  <si>
    <r>
      <t>Regenerative braking efficiency (η</t>
    </r>
    <r>
      <rPr>
        <vertAlign val="subscript"/>
        <sz val="11"/>
        <color theme="1"/>
        <rFont val="Bookman Old Style"/>
        <family val="1"/>
      </rPr>
      <t>RB</t>
    </r>
    <r>
      <rPr>
        <sz val="11"/>
        <color theme="1"/>
        <rFont val="Bookman Old Style"/>
        <family val="1"/>
      </rPr>
      <t>)</t>
    </r>
  </si>
  <si>
    <t>Componenets Selection</t>
  </si>
  <si>
    <t>Motor</t>
  </si>
  <si>
    <t>Generator</t>
  </si>
  <si>
    <t>Controller</t>
  </si>
  <si>
    <t>Battery (*4)</t>
  </si>
  <si>
    <t>Rated Values</t>
  </si>
  <si>
    <t>48V, 8.5kW-14kW</t>
  </si>
  <si>
    <t xml:space="preserve">12V-48V, 2kW-3kW </t>
  </si>
  <si>
    <t>12.8V- 216Ah</t>
  </si>
  <si>
    <t>Weight (kg)</t>
  </si>
  <si>
    <t>Dimension (mm)</t>
  </si>
  <si>
    <t>250*150*70</t>
  </si>
  <si>
    <t>Engine RPM</t>
  </si>
  <si>
    <t>Engine Torque (Nm)</t>
  </si>
  <si>
    <t>Power generated by Generator (kW)</t>
  </si>
  <si>
    <t>Wheel RPM</t>
  </si>
  <si>
    <t>Motor RPM</t>
  </si>
  <si>
    <t>Power @ Wheel (kW)</t>
  </si>
  <si>
    <t>Power need from motor (kW)</t>
  </si>
  <si>
    <t>Current @ Motor (Amp)</t>
  </si>
  <si>
    <t>Motor Torque (Nm)</t>
  </si>
  <si>
    <t>Power needed from Controller (kW)</t>
  </si>
  <si>
    <t>Power needed from Generator (kW)</t>
  </si>
  <si>
    <t>Power generated by Regenerative Braking (kW)</t>
  </si>
  <si>
    <t>Power supply to the battery by generator (kW)</t>
  </si>
  <si>
    <t>Power goes in the Battery (kW)</t>
  </si>
  <si>
    <t>Charging Current (Amp)</t>
  </si>
  <si>
    <t>Power needed from the Battery (kW)</t>
  </si>
  <si>
    <t>Discharge Current (Amp)</t>
  </si>
  <si>
    <t>Energy goes and drawn in battery (kWh)</t>
  </si>
  <si>
    <t>SOC %</t>
  </si>
  <si>
    <t>Engine running power (kW)</t>
  </si>
  <si>
    <t>Total fuel consumption in 1 lap (g)</t>
  </si>
  <si>
    <t>Total fuel mass saving in one lap (g)</t>
  </si>
  <si>
    <t>Total engine power in one lap (kW)</t>
  </si>
  <si>
    <t>Energy of engine in 1 lap (kWh)</t>
  </si>
  <si>
    <t>Fuel saving in 1 lap (lit)</t>
  </si>
  <si>
    <t>Battery charged in 1 lap (%)</t>
  </si>
  <si>
    <t>Lap to fully charge (number of lap)</t>
  </si>
  <si>
    <t>Life of battery (cycle)</t>
  </si>
  <si>
    <t>Energy of full cahrge battery (kWh)</t>
  </si>
  <si>
    <t>Energy required for 1 lap (kWh)</t>
  </si>
  <si>
    <t>Number of lap travelled by full battery</t>
  </si>
  <si>
    <t>Distance travelled by full charged battery (km)</t>
  </si>
  <si>
    <t>Distance travelled for fully cahrged (km)</t>
  </si>
  <si>
    <t>Distance needed for 1 cycle of cahrging-discharging (km)</t>
  </si>
  <si>
    <t>Total distance can be travelled during life of battery (km)</t>
  </si>
  <si>
    <t>Fuel saving during life if battery (lit)</t>
  </si>
  <si>
    <t xml:space="preserve">Battery </t>
  </si>
  <si>
    <t>£</t>
  </si>
  <si>
    <t>Costing</t>
  </si>
  <si>
    <t>Tracton Motor</t>
  </si>
  <si>
    <t>DC/DC converter</t>
  </si>
  <si>
    <t>Regenrative Braking</t>
  </si>
  <si>
    <t>Total costing</t>
  </si>
  <si>
    <t>Total saving by fuel</t>
  </si>
  <si>
    <t>Gross saving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</si>
</sst>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vertAlign val="subscript"/>
      <sz val="11"/>
      <color theme="1"/>
      <name val="Times New Roman"/>
      <family val="1"/>
    </font>
    <font>
      <b/>
      <vertAlign val="superscript"/>
      <sz val="11"/>
      <color theme="1"/>
      <name val="Times New Roman"/>
      <family val="1"/>
    </font>
    <font>
      <b/>
      <sz val="14"/>
      <color rgb="FFE43012"/>
      <name val="Times New Roman"/>
      <family val="1"/>
    </font>
    <font>
      <b/>
      <sz val="11"/>
      <color rgb="FFE43012"/>
      <name val="Times New Roman"/>
      <family val="1"/>
    </font>
    <font>
      <sz val="11"/>
      <color theme="1"/>
      <name val="Times New Roman"/>
    </font>
    <font>
      <sz val="11"/>
      <color rgb="FFC00000"/>
      <name val="Times New Roman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sz val="11"/>
      <color theme="1"/>
      <name val="Calibri"/>
      <family val="2"/>
    </font>
    <font>
      <vertAlign val="subscript"/>
      <sz val="11"/>
      <color theme="1"/>
      <name val="Bookman Old Style"/>
      <family val="1"/>
    </font>
    <font>
      <sz val="12"/>
      <color theme="1"/>
      <name val="Bookman Old Style"/>
      <family val="1"/>
    </font>
    <font>
      <sz val="12"/>
      <color rgb="FF0070C0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1" xfId="0" applyFont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11" fillId="2" borderId="0" xfId="0" applyNumberFormat="1" applyFont="1" applyFill="1"/>
    <xf numFmtId="164" fontId="12" fillId="2" borderId="0" xfId="0" applyNumberFormat="1" applyFont="1" applyFill="1"/>
    <xf numFmtId="164" fontId="8" fillId="0" borderId="0" xfId="0" applyNumberFormat="1" applyFont="1"/>
    <xf numFmtId="164" fontId="10" fillId="0" borderId="0" xfId="0" applyNumberFormat="1" applyFont="1"/>
    <xf numFmtId="164" fontId="13" fillId="0" borderId="0" xfId="0" applyNumberFormat="1" applyFont="1"/>
    <xf numFmtId="0" fontId="11" fillId="2" borderId="0" xfId="0" applyFont="1" applyFill="1"/>
    <xf numFmtId="0" fontId="12" fillId="2" borderId="0" xfId="0" applyFont="1" applyFill="1"/>
    <xf numFmtId="0" fontId="9" fillId="0" borderId="0" xfId="0" applyFont="1"/>
    <xf numFmtId="0" fontId="13" fillId="0" borderId="0" xfId="0" applyFont="1"/>
    <xf numFmtId="0" fontId="14" fillId="0" borderId="0" xfId="0" applyFont="1"/>
    <xf numFmtId="164" fontId="14" fillId="0" borderId="0" xfId="0" applyNumberFormat="1" applyFont="1"/>
    <xf numFmtId="0" fontId="15" fillId="0" borderId="0" xfId="0" applyFont="1"/>
    <xf numFmtId="0" fontId="16" fillId="0" borderId="0" xfId="0" applyFont="1"/>
    <xf numFmtId="0" fontId="18" fillId="0" borderId="0" xfId="0" applyFont="1"/>
    <xf numFmtId="164" fontId="18" fillId="0" borderId="0" xfId="0" applyNumberFormat="1" applyFont="1"/>
    <xf numFmtId="0" fontId="19" fillId="0" borderId="0" xfId="0" applyFont="1"/>
  </cellXfs>
  <cellStyles count="1">
    <cellStyle name="Normal" xfId="0" builtinId="0"/>
  </cellStyles>
  <dxfs count="8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name val="Times New Roman"/>
        <scheme val="none"/>
      </font>
    </dxf>
  </dxfs>
  <tableStyles count="1" defaultTableStyle="TableStyleMedium2" defaultPivotStyle="PivotStyleLight16">
    <tableStyle name="Table Style 1" pivot="0" count="0" xr9:uid="{00000000-0011-0000-FFFF-FFFF00000000}"/>
  </tableStyles>
  <colors>
    <mruColors>
      <color rgb="FFD4D4B0"/>
      <color rgb="FFE4301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Bookman Old Style" panose="02050604050505020204" pitchFamily="18" charset="0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SOC %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SOC %</c:v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xVal>
            <c:numRef>
              <c:f>'2-Simulaation'!$A$2:$A$277</c:f>
              <c:numCache>
                <c:formatCode>General</c:formatCode>
                <c:ptCount val="27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</c:numCache>
            </c:numRef>
          </c:xVal>
          <c:yVal>
            <c:numRef>
              <c:f>'2-Simulaation'!$T$2:$T$277</c:f>
              <c:numCache>
                <c:formatCode>0.0000</c:formatCode>
                <c:ptCount val="276"/>
                <c:pt idx="0">
                  <c:v>50.057870370370374</c:v>
                </c:pt>
                <c:pt idx="1">
                  <c:v>49.97708655586851</c:v>
                </c:pt>
                <c:pt idx="2">
                  <c:v>49.994123604533591</c:v>
                </c:pt>
                <c:pt idx="3">
                  <c:v>50.007768429814476</c:v>
                </c:pt>
                <c:pt idx="4">
                  <c:v>49.973071074140378</c:v>
                </c:pt>
                <c:pt idx="5">
                  <c:v>50.016046318456908</c:v>
                </c:pt>
                <c:pt idx="6">
                  <c:v>50.021823891275531</c:v>
                </c:pt>
                <c:pt idx="7">
                  <c:v>50.017675633631768</c:v>
                </c:pt>
                <c:pt idx="8">
                  <c:v>49.945646911535945</c:v>
                </c:pt>
                <c:pt idx="9">
                  <c:v>49.853902630299082</c:v>
                </c:pt>
                <c:pt idx="10">
                  <c:v>49.741979371548574</c:v>
                </c:pt>
                <c:pt idx="11">
                  <c:v>49.609355789615208</c:v>
                </c:pt>
                <c:pt idx="12">
                  <c:v>49.621908955872748</c:v>
                </c:pt>
                <c:pt idx="13">
                  <c:v>49.48688709969035</c:v>
                </c:pt>
                <c:pt idx="14">
                  <c:v>49.415824782442357</c:v>
                </c:pt>
                <c:pt idx="15">
                  <c:v>49.284996549931421</c:v>
                </c:pt>
                <c:pt idx="16">
                  <c:v>49.140238512346144</c:v>
                </c:pt>
                <c:pt idx="17">
                  <c:v>48.919957844331215</c:v>
                </c:pt>
                <c:pt idx="18">
                  <c:v>48.804341617516897</c:v>
                </c:pt>
                <c:pt idx="19">
                  <c:v>48.680607025186603</c:v>
                </c:pt>
                <c:pt idx="20">
                  <c:v>48.785886331917091</c:v>
                </c:pt>
                <c:pt idx="21">
                  <c:v>48.888712576728096</c:v>
                </c:pt>
                <c:pt idx="22">
                  <c:v>48.988878361691235</c:v>
                </c:pt>
                <c:pt idx="23">
                  <c:v>49.086192242564955</c:v>
                </c:pt>
                <c:pt idx="24">
                  <c:v>49.18077699834091</c:v>
                </c:pt>
                <c:pt idx="25">
                  <c:v>49.226559099094061</c:v>
                </c:pt>
                <c:pt idx="26">
                  <c:v>49.313914082138588</c:v>
                </c:pt>
                <c:pt idx="27">
                  <c:v>49.384668514277521</c:v>
                </c:pt>
                <c:pt idx="28">
                  <c:v>49.454840550984841</c:v>
                </c:pt>
                <c:pt idx="29">
                  <c:v>49.524398284886956</c:v>
                </c:pt>
                <c:pt idx="30">
                  <c:v>49.593311802821106</c:v>
                </c:pt>
                <c:pt idx="31">
                  <c:v>49.634614005628499</c:v>
                </c:pt>
                <c:pt idx="32">
                  <c:v>49.675916208435893</c:v>
                </c:pt>
                <c:pt idx="33">
                  <c:v>49.717218411243287</c:v>
                </c:pt>
                <c:pt idx="34">
                  <c:v>49.758520614050681</c:v>
                </c:pt>
                <c:pt idx="35">
                  <c:v>49.799822816858075</c:v>
                </c:pt>
                <c:pt idx="36">
                  <c:v>49.841125019665469</c:v>
                </c:pt>
                <c:pt idx="37">
                  <c:v>49.882427222472863</c:v>
                </c:pt>
                <c:pt idx="38">
                  <c:v>49.923729425280257</c:v>
                </c:pt>
                <c:pt idx="39">
                  <c:v>49.965031628087651</c:v>
                </c:pt>
                <c:pt idx="40">
                  <c:v>50.006333830895045</c:v>
                </c:pt>
                <c:pt idx="41">
                  <c:v>50.047636033702439</c:v>
                </c:pt>
                <c:pt idx="42">
                  <c:v>50.088938236509833</c:v>
                </c:pt>
                <c:pt idx="43">
                  <c:v>50.130240439317227</c:v>
                </c:pt>
                <c:pt idx="44">
                  <c:v>50.171542642124621</c:v>
                </c:pt>
                <c:pt idx="45">
                  <c:v>50.150423442782696</c:v>
                </c:pt>
                <c:pt idx="46">
                  <c:v>50.087072272941008</c:v>
                </c:pt>
                <c:pt idx="47">
                  <c:v>50.011576811480822</c:v>
                </c:pt>
                <c:pt idx="48">
                  <c:v>49.878953229547449</c:v>
                </c:pt>
                <c:pt idx="49">
                  <c:v>49.891506395804996</c:v>
                </c:pt>
                <c:pt idx="50">
                  <c:v>49.804652714513672</c:v>
                </c:pt>
                <c:pt idx="51">
                  <c:v>49.737011022090293</c:v>
                </c:pt>
                <c:pt idx="52">
                  <c:v>49.610736149945907</c:v>
                </c:pt>
                <c:pt idx="53">
                  <c:v>49.41371216009405</c:v>
                </c:pt>
                <c:pt idx="54">
                  <c:v>49.370760062578888</c:v>
                </c:pt>
                <c:pt idx="55">
                  <c:v>49.237211717153585</c:v>
                </c:pt>
                <c:pt idx="56">
                  <c:v>49.225866163392169</c:v>
                </c:pt>
                <c:pt idx="57">
                  <c:v>49.151614751989094</c:v>
                </c:pt>
                <c:pt idx="58">
                  <c:v>49.088895883537333</c:v>
                </c:pt>
                <c:pt idx="59">
                  <c:v>48.923389611501783</c:v>
                </c:pt>
                <c:pt idx="60">
                  <c:v>48.813762268303023</c:v>
                </c:pt>
                <c:pt idx="61">
                  <c:v>48.728325454395637</c:v>
                </c:pt>
                <c:pt idx="62">
                  <c:v>48.689253525660142</c:v>
                </c:pt>
                <c:pt idx="63">
                  <c:v>48.750507752890556</c:v>
                </c:pt>
                <c:pt idx="64">
                  <c:v>48.811737374048036</c:v>
                </c:pt>
                <c:pt idx="65">
                  <c:v>48.872934661565552</c:v>
                </c:pt>
                <c:pt idx="66">
                  <c:v>48.912528457707495</c:v>
                </c:pt>
                <c:pt idx="67">
                  <c:v>48.952122253849438</c:v>
                </c:pt>
                <c:pt idx="68">
                  <c:v>48.991716049991389</c:v>
                </c:pt>
                <c:pt idx="69">
                  <c:v>49.031309846133333</c:v>
                </c:pt>
                <c:pt idx="70">
                  <c:v>49.070903642275276</c:v>
                </c:pt>
                <c:pt idx="71">
                  <c:v>49.110497438417219</c:v>
                </c:pt>
                <c:pt idx="72">
                  <c:v>49.150091234559163</c:v>
                </c:pt>
                <c:pt idx="73">
                  <c:v>49.189685030701106</c:v>
                </c:pt>
                <c:pt idx="74">
                  <c:v>49.22927882684305</c:v>
                </c:pt>
                <c:pt idx="75">
                  <c:v>49.268872622984993</c:v>
                </c:pt>
                <c:pt idx="76">
                  <c:v>49.308466419126937</c:v>
                </c:pt>
                <c:pt idx="77">
                  <c:v>49.34806021526888</c:v>
                </c:pt>
                <c:pt idx="78">
                  <c:v>49.387654011410824</c:v>
                </c:pt>
                <c:pt idx="79">
                  <c:v>49.427247807552767</c:v>
                </c:pt>
                <c:pt idx="80">
                  <c:v>49.466841603694711</c:v>
                </c:pt>
                <c:pt idx="81">
                  <c:v>49.365069381453637</c:v>
                </c:pt>
                <c:pt idx="82">
                  <c:v>49.285461861397323</c:v>
                </c:pt>
                <c:pt idx="83">
                  <c:v>49.193313609786536</c:v>
                </c:pt>
                <c:pt idx="84">
                  <c:v>49.205866776044076</c:v>
                </c:pt>
                <c:pt idx="85">
                  <c:v>49.16513212080811</c:v>
                </c:pt>
                <c:pt idx="86">
                  <c:v>49.100870323078937</c:v>
                </c:pt>
                <c:pt idx="87">
                  <c:v>49.029808005830944</c:v>
                </c:pt>
                <c:pt idx="88">
                  <c:v>48.787382832478215</c:v>
                </c:pt>
                <c:pt idx="89">
                  <c:v>48.544957659125487</c:v>
                </c:pt>
                <c:pt idx="90">
                  <c:v>48.302532485772758</c:v>
                </c:pt>
                <c:pt idx="91">
                  <c:v>48.06010731242003</c:v>
                </c:pt>
                <c:pt idx="92">
                  <c:v>47.817682139067294</c:v>
                </c:pt>
                <c:pt idx="93">
                  <c:v>47.890636092130073</c:v>
                </c:pt>
                <c:pt idx="94">
                  <c:v>47.963204556530613</c:v>
                </c:pt>
                <c:pt idx="95">
                  <c:v>48.035494788614308</c:v>
                </c:pt>
                <c:pt idx="96">
                  <c:v>48.081276889367459</c:v>
                </c:pt>
                <c:pt idx="97">
                  <c:v>48.148856453903896</c:v>
                </c:pt>
                <c:pt idx="98">
                  <c:v>48.220159379889999</c:v>
                </c:pt>
                <c:pt idx="99">
                  <c:v>48.29982321839605</c:v>
                </c:pt>
                <c:pt idx="100">
                  <c:v>48.377741398682765</c:v>
                </c:pt>
                <c:pt idx="101">
                  <c:v>48.438898874269618</c:v>
                </c:pt>
                <c:pt idx="102">
                  <c:v>48.479359997897426</c:v>
                </c:pt>
                <c:pt idx="103">
                  <c:v>48.519821121525226</c:v>
                </c:pt>
                <c:pt idx="104">
                  <c:v>48.560282245153026</c:v>
                </c:pt>
                <c:pt idx="105">
                  <c:v>48.600743368780833</c:v>
                </c:pt>
                <c:pt idx="106">
                  <c:v>48.64120449240864</c:v>
                </c:pt>
                <c:pt idx="107">
                  <c:v>48.68166561603644</c:v>
                </c:pt>
                <c:pt idx="108">
                  <c:v>48.72212673966424</c:v>
                </c:pt>
                <c:pt idx="109">
                  <c:v>48.762587863292048</c:v>
                </c:pt>
                <c:pt idx="110">
                  <c:v>48.803048986919848</c:v>
                </c:pt>
                <c:pt idx="111">
                  <c:v>48.779011540155665</c:v>
                </c:pt>
                <c:pt idx="112">
                  <c:v>48.711643348688789</c:v>
                </c:pt>
                <c:pt idx="113">
                  <c:v>48.71105918978494</c:v>
                </c:pt>
                <c:pt idx="114">
                  <c:v>48.745890944913349</c:v>
                </c:pt>
                <c:pt idx="115">
                  <c:v>48.780722700041757</c:v>
                </c:pt>
                <c:pt idx="116">
                  <c:v>48.815554455170165</c:v>
                </c:pt>
                <c:pt idx="117">
                  <c:v>48.850386210298574</c:v>
                </c:pt>
                <c:pt idx="118">
                  <c:v>48.929476056482791</c:v>
                </c:pt>
                <c:pt idx="119">
                  <c:v>48.999033790384907</c:v>
                </c:pt>
                <c:pt idx="120">
                  <c:v>49.03862758652685</c:v>
                </c:pt>
                <c:pt idx="121">
                  <c:v>49.078221382668794</c:v>
                </c:pt>
                <c:pt idx="122">
                  <c:v>49.117815178810737</c:v>
                </c:pt>
                <c:pt idx="123">
                  <c:v>49.157408974952681</c:v>
                </c:pt>
                <c:pt idx="124">
                  <c:v>49.197002771094624</c:v>
                </c:pt>
                <c:pt idx="125">
                  <c:v>49.236596567236568</c:v>
                </c:pt>
                <c:pt idx="126">
                  <c:v>49.276190363378511</c:v>
                </c:pt>
                <c:pt idx="127">
                  <c:v>49.144599477736364</c:v>
                </c:pt>
                <c:pt idx="128">
                  <c:v>48.958769439135189</c:v>
                </c:pt>
                <c:pt idx="129">
                  <c:v>48.768984010042288</c:v>
                </c:pt>
                <c:pt idx="130">
                  <c:v>48.57036204047327</c:v>
                </c:pt>
                <c:pt idx="131">
                  <c:v>48.486692814236157</c:v>
                </c:pt>
                <c:pt idx="132">
                  <c:v>48.533937790355516</c:v>
                </c:pt>
                <c:pt idx="133">
                  <c:v>48.593135721862332</c:v>
                </c:pt>
                <c:pt idx="134">
                  <c:v>48.526305364736309</c:v>
                </c:pt>
                <c:pt idx="135">
                  <c:v>48.459475007610287</c:v>
                </c:pt>
                <c:pt idx="136">
                  <c:v>48.392644650484264</c:v>
                </c:pt>
                <c:pt idx="137">
                  <c:v>48.325814293358242</c:v>
                </c:pt>
                <c:pt idx="138">
                  <c:v>48.258983936232219</c:v>
                </c:pt>
                <c:pt idx="139">
                  <c:v>48.192153579106197</c:v>
                </c:pt>
                <c:pt idx="140">
                  <c:v>48.048044339684509</c:v>
                </c:pt>
                <c:pt idx="141">
                  <c:v>47.891293650978042</c:v>
                </c:pt>
                <c:pt idx="142">
                  <c:v>47.884800534653131</c:v>
                </c:pt>
                <c:pt idx="143">
                  <c:v>47.916266832871322</c:v>
                </c:pt>
                <c:pt idx="144">
                  <c:v>47.853627988089507</c:v>
                </c:pt>
                <c:pt idx="145">
                  <c:v>47.790989143307698</c:v>
                </c:pt>
                <c:pt idx="146">
                  <c:v>47.728350298525882</c:v>
                </c:pt>
                <c:pt idx="147">
                  <c:v>47.665711453744073</c:v>
                </c:pt>
                <c:pt idx="148">
                  <c:v>47.566500832359992</c:v>
                </c:pt>
                <c:pt idx="149">
                  <c:v>47.462057851725348</c:v>
                </c:pt>
                <c:pt idx="150">
                  <c:v>47.294784686732449</c:v>
                </c:pt>
                <c:pt idx="151">
                  <c:v>47.111245787536959</c:v>
                </c:pt>
                <c:pt idx="152">
                  <c:v>46.92071888403246</c:v>
                </c:pt>
                <c:pt idx="153">
                  <c:v>46.80120554497671</c:v>
                </c:pt>
                <c:pt idx="154">
                  <c:v>46.891592883228554</c:v>
                </c:pt>
                <c:pt idx="155">
                  <c:v>46.953843725062782</c:v>
                </c:pt>
                <c:pt idx="156">
                  <c:v>47.015677793119195</c:v>
                </c:pt>
                <c:pt idx="157">
                  <c:v>47.076895666312836</c:v>
                </c:pt>
                <c:pt idx="158">
                  <c:v>47.137281969871928</c:v>
                </c:pt>
                <c:pt idx="159">
                  <c:v>46.884065613372258</c:v>
                </c:pt>
                <c:pt idx="160">
                  <c:v>46.624499514814204</c:v>
                </c:pt>
                <c:pt idx="161">
                  <c:v>46.489886665381015</c:v>
                </c:pt>
                <c:pt idx="162">
                  <c:v>46.480548385686298</c:v>
                </c:pt>
                <c:pt idx="163">
                  <c:v>46.531665422969802</c:v>
                </c:pt>
                <c:pt idx="164">
                  <c:v>46.586198312242743</c:v>
                </c:pt>
                <c:pt idx="165">
                  <c:v>46.643451925946188</c:v>
                </c:pt>
                <c:pt idx="166">
                  <c:v>46.617393716110598</c:v>
                </c:pt>
                <c:pt idx="167">
                  <c:v>46.596863199960943</c:v>
                </c:pt>
                <c:pt idx="168">
                  <c:v>46.51319397372383</c:v>
                </c:pt>
                <c:pt idx="169">
                  <c:v>46.578076400028749</c:v>
                </c:pt>
                <c:pt idx="170">
                  <c:v>46.498494103524351</c:v>
                </c:pt>
                <c:pt idx="171">
                  <c:v>46.418911807019953</c:v>
                </c:pt>
                <c:pt idx="172">
                  <c:v>46.339329510515547</c:v>
                </c:pt>
                <c:pt idx="173">
                  <c:v>46.259747214011149</c:v>
                </c:pt>
                <c:pt idx="174">
                  <c:v>46.180164917506758</c:v>
                </c:pt>
                <c:pt idx="175">
                  <c:v>46.100582621002353</c:v>
                </c:pt>
                <c:pt idx="176">
                  <c:v>46.021000324497955</c:v>
                </c:pt>
                <c:pt idx="177">
                  <c:v>45.941418027993556</c:v>
                </c:pt>
                <c:pt idx="178">
                  <c:v>45.861835731489158</c:v>
                </c:pt>
                <c:pt idx="179">
                  <c:v>45.78225343498476</c:v>
                </c:pt>
                <c:pt idx="180">
                  <c:v>45.770144819004571</c:v>
                </c:pt>
                <c:pt idx="181">
                  <c:v>45.71484852422288</c:v>
                </c:pt>
                <c:pt idx="182">
                  <c:v>45.652654770600627</c:v>
                </c:pt>
                <c:pt idx="183">
                  <c:v>45.671411677623539</c:v>
                </c:pt>
                <c:pt idx="184">
                  <c:v>45.740474548419748</c:v>
                </c:pt>
                <c:pt idx="185">
                  <c:v>45.809169697650496</c:v>
                </c:pt>
                <c:pt idx="186">
                  <c:v>45.88112185402376</c:v>
                </c:pt>
                <c:pt idx="187">
                  <c:v>45.952269759326036</c:v>
                </c:pt>
                <c:pt idx="188">
                  <c:v>46.031358301543328</c:v>
                </c:pt>
                <c:pt idx="189">
                  <c:v>46.102916405544761</c:v>
                </c:pt>
                <c:pt idx="190">
                  <c:v>46.173048892568893</c:v>
                </c:pt>
                <c:pt idx="191">
                  <c:v>46.237807142550821</c:v>
                </c:pt>
                <c:pt idx="192">
                  <c:v>46.288132199939881</c:v>
                </c:pt>
                <c:pt idx="193">
                  <c:v>46.35481126725437</c:v>
                </c:pt>
                <c:pt idx="194">
                  <c:v>46.399420461688628</c:v>
                </c:pt>
                <c:pt idx="195">
                  <c:v>46.444029656122893</c:v>
                </c:pt>
                <c:pt idx="196">
                  <c:v>46.488638850557166</c:v>
                </c:pt>
                <c:pt idx="197">
                  <c:v>46.533248044991424</c:v>
                </c:pt>
                <c:pt idx="198">
                  <c:v>46.577857239425697</c:v>
                </c:pt>
                <c:pt idx="199">
                  <c:v>46.622466433859962</c:v>
                </c:pt>
                <c:pt idx="200">
                  <c:v>46.667075628294221</c:v>
                </c:pt>
                <c:pt idx="201">
                  <c:v>46.711684822728493</c:v>
                </c:pt>
                <c:pt idx="202">
                  <c:v>46.756294017162759</c:v>
                </c:pt>
                <c:pt idx="203">
                  <c:v>46.800903211597024</c:v>
                </c:pt>
                <c:pt idx="204">
                  <c:v>46.84551240603129</c:v>
                </c:pt>
                <c:pt idx="205">
                  <c:v>46.890121600465555</c:v>
                </c:pt>
                <c:pt idx="206">
                  <c:v>46.894065653937737</c:v>
                </c:pt>
                <c:pt idx="207">
                  <c:v>46.915526782027037</c:v>
                </c:pt>
                <c:pt idx="208">
                  <c:v>46.957460876759832</c:v>
                </c:pt>
                <c:pt idx="209">
                  <c:v>46.99939497149262</c:v>
                </c:pt>
                <c:pt idx="210">
                  <c:v>47.063521268522599</c:v>
                </c:pt>
                <c:pt idx="211">
                  <c:v>47.126997664703005</c:v>
                </c:pt>
                <c:pt idx="212">
                  <c:v>47.172466578342778</c:v>
                </c:pt>
                <c:pt idx="213">
                  <c:v>47.217935491982558</c:v>
                </c:pt>
                <c:pt idx="214">
                  <c:v>47.263404405622332</c:v>
                </c:pt>
                <c:pt idx="215">
                  <c:v>47.308873319262112</c:v>
                </c:pt>
                <c:pt idx="216">
                  <c:v>47.354342232901885</c:v>
                </c:pt>
                <c:pt idx="217">
                  <c:v>47.399811146541666</c:v>
                </c:pt>
                <c:pt idx="218">
                  <c:v>47.445280060181439</c:v>
                </c:pt>
                <c:pt idx="219">
                  <c:v>47.452162808513791</c:v>
                </c:pt>
                <c:pt idx="220">
                  <c:v>47.453150969959623</c:v>
                </c:pt>
                <c:pt idx="221">
                  <c:v>47.486459641209741</c:v>
                </c:pt>
                <c:pt idx="222">
                  <c:v>47.407194547972239</c:v>
                </c:pt>
                <c:pt idx="223">
                  <c:v>47.287115231153962</c:v>
                </c:pt>
                <c:pt idx="224">
                  <c:v>47.135661687828772</c:v>
                </c:pt>
                <c:pt idx="225">
                  <c:v>46.952041943238775</c:v>
                </c:pt>
                <c:pt idx="226">
                  <c:v>46.95396906883893</c:v>
                </c:pt>
                <c:pt idx="227">
                  <c:v>46.902187539652196</c:v>
                </c:pt>
                <c:pt idx="228">
                  <c:v>46.712868871409761</c:v>
                </c:pt>
                <c:pt idx="229">
                  <c:v>46.523550203167325</c:v>
                </c:pt>
                <c:pt idx="230">
                  <c:v>46.334231534924889</c:v>
                </c:pt>
                <c:pt idx="231">
                  <c:v>46.144912866682454</c:v>
                </c:pt>
                <c:pt idx="232">
                  <c:v>45.955594198440011</c:v>
                </c:pt>
                <c:pt idx="233">
                  <c:v>45.926582497696138</c:v>
                </c:pt>
                <c:pt idx="234">
                  <c:v>45.894972820932772</c:v>
                </c:pt>
                <c:pt idx="235">
                  <c:v>45.975712255803224</c:v>
                </c:pt>
                <c:pt idx="236">
                  <c:v>46.038420645232904</c:v>
                </c:pt>
                <c:pt idx="237">
                  <c:v>46.123167851522076</c:v>
                </c:pt>
                <c:pt idx="238">
                  <c:v>46.208857483400678</c:v>
                </c:pt>
                <c:pt idx="239">
                  <c:v>46.291348897109707</c:v>
                </c:pt>
                <c:pt idx="240">
                  <c:v>46.370530416841582</c:v>
                </c:pt>
                <c:pt idx="241">
                  <c:v>46.446565536863751</c:v>
                </c:pt>
                <c:pt idx="242">
                  <c:v>46.492736417283112</c:v>
                </c:pt>
                <c:pt idx="243">
                  <c:v>46.560374018551016</c:v>
                </c:pt>
                <c:pt idx="244">
                  <c:v>46.604983212985289</c:v>
                </c:pt>
                <c:pt idx="245">
                  <c:v>46.649592407419554</c:v>
                </c:pt>
                <c:pt idx="246">
                  <c:v>46.69420160185382</c:v>
                </c:pt>
                <c:pt idx="247">
                  <c:v>46.738810796288085</c:v>
                </c:pt>
                <c:pt idx="248">
                  <c:v>46.783419990722351</c:v>
                </c:pt>
                <c:pt idx="249">
                  <c:v>46.828029185156616</c:v>
                </c:pt>
                <c:pt idx="250">
                  <c:v>46.872638379590882</c:v>
                </c:pt>
                <c:pt idx="251">
                  <c:v>46.917247574025147</c:v>
                </c:pt>
                <c:pt idx="252">
                  <c:v>46.96185676845942</c:v>
                </c:pt>
                <c:pt idx="253">
                  <c:v>46.987165186770895</c:v>
                </c:pt>
                <c:pt idx="254">
                  <c:v>47.010558558554379</c:v>
                </c:pt>
                <c:pt idx="255">
                  <c:v>47.074362024008593</c:v>
                </c:pt>
                <c:pt idx="256">
                  <c:v>47.118971218442859</c:v>
                </c:pt>
                <c:pt idx="257">
                  <c:v>47.163580412877124</c:v>
                </c:pt>
                <c:pt idx="258">
                  <c:v>47.20818960731139</c:v>
                </c:pt>
                <c:pt idx="259">
                  <c:v>47.252798801745655</c:v>
                </c:pt>
                <c:pt idx="260">
                  <c:v>47.297407996179921</c:v>
                </c:pt>
                <c:pt idx="261">
                  <c:v>47.342017190614186</c:v>
                </c:pt>
                <c:pt idx="262">
                  <c:v>47.386626385048451</c:v>
                </c:pt>
                <c:pt idx="263">
                  <c:v>47.390570438520633</c:v>
                </c:pt>
                <c:pt idx="264">
                  <c:v>47.41203156660994</c:v>
                </c:pt>
                <c:pt idx="265">
                  <c:v>47.445340237860059</c:v>
                </c:pt>
                <c:pt idx="266">
                  <c:v>47.518067880677137</c:v>
                </c:pt>
                <c:pt idx="267">
                  <c:v>47.569049188264927</c:v>
                </c:pt>
                <c:pt idx="268">
                  <c:v>47.61650213241073</c:v>
                </c:pt>
                <c:pt idx="269">
                  <c:v>47.692973992195412</c:v>
                </c:pt>
                <c:pt idx="270">
                  <c:v>47.848300668404555</c:v>
                </c:pt>
                <c:pt idx="271">
                  <c:v>47.933990300283149</c:v>
                </c:pt>
                <c:pt idx="272">
                  <c:v>48.016481713992178</c:v>
                </c:pt>
                <c:pt idx="273">
                  <c:v>48.095663233724061</c:v>
                </c:pt>
                <c:pt idx="274">
                  <c:v>48.171698353746237</c:v>
                </c:pt>
                <c:pt idx="275">
                  <c:v>48.222023411135297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01D-479A-AD3F-270C67B196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788736"/>
        <c:axId val="106811392"/>
      </c:scatterChart>
      <c:scatterChart>
        <c:scatterStyle val="smoothMarker"/>
        <c:varyColors val="0"/>
        <c:ser>
          <c:idx val="1"/>
          <c:order val="1"/>
          <c:tx>
            <c:v>Velocity</c:v>
          </c:tx>
          <c:spPr>
            <a:ln w="3175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'1-Simulation'!$C$2:$C$278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</c:numCache>
            </c:numRef>
          </c:xVal>
          <c:yVal>
            <c:numRef>
              <c:f>'1-Simulation'!$D$2:$D$278</c:f>
              <c:numCache>
                <c:formatCode>General</c:formatCode>
                <c:ptCount val="277"/>
                <c:pt idx="0">
                  <c:v>0</c:v>
                </c:pt>
                <c:pt idx="1">
                  <c:v>5.7</c:v>
                </c:pt>
                <c:pt idx="2">
                  <c:v>6.9</c:v>
                </c:pt>
                <c:pt idx="3">
                  <c:v>8</c:v>
                </c:pt>
                <c:pt idx="4">
                  <c:v>10</c:v>
                </c:pt>
                <c:pt idx="5">
                  <c:v>10.1</c:v>
                </c:pt>
                <c:pt idx="6">
                  <c:v>11</c:v>
                </c:pt>
                <c:pt idx="7">
                  <c:v>12</c:v>
                </c:pt>
                <c:pt idx="8">
                  <c:v>14</c:v>
                </c:pt>
                <c:pt idx="9">
                  <c:v>16</c:v>
                </c:pt>
                <c:pt idx="10">
                  <c:v>18</c:v>
                </c:pt>
                <c:pt idx="11">
                  <c:v>20</c:v>
                </c:pt>
                <c:pt idx="12">
                  <c:v>20.2</c:v>
                </c:pt>
                <c:pt idx="13">
                  <c:v>22</c:v>
                </c:pt>
                <c:pt idx="14">
                  <c:v>23</c:v>
                </c:pt>
                <c:pt idx="15">
                  <c:v>24.5</c:v>
                </c:pt>
                <c:pt idx="16">
                  <c:v>26</c:v>
                </c:pt>
                <c:pt idx="17">
                  <c:v>28</c:v>
                </c:pt>
                <c:pt idx="18">
                  <c:v>29</c:v>
                </c:pt>
                <c:pt idx="19">
                  <c:v>30</c:v>
                </c:pt>
                <c:pt idx="20">
                  <c:v>28</c:v>
                </c:pt>
                <c:pt idx="21">
                  <c:v>26</c:v>
                </c:pt>
                <c:pt idx="22">
                  <c:v>24</c:v>
                </c:pt>
                <c:pt idx="23">
                  <c:v>22</c:v>
                </c:pt>
                <c:pt idx="24">
                  <c:v>20</c:v>
                </c:pt>
                <c:pt idx="25">
                  <c:v>19.8</c:v>
                </c:pt>
                <c:pt idx="26">
                  <c:v>18</c:v>
                </c:pt>
                <c:pt idx="27">
                  <c:v>17</c:v>
                </c:pt>
                <c:pt idx="28">
                  <c:v>16</c:v>
                </c:pt>
                <c:pt idx="29">
                  <c:v>15</c:v>
                </c:pt>
                <c:pt idx="30">
                  <c:v>14</c:v>
                </c:pt>
                <c:pt idx="31">
                  <c:v>14</c:v>
                </c:pt>
                <c:pt idx="32">
                  <c:v>14</c:v>
                </c:pt>
                <c:pt idx="33">
                  <c:v>14</c:v>
                </c:pt>
                <c:pt idx="34">
                  <c:v>14</c:v>
                </c:pt>
                <c:pt idx="35">
                  <c:v>14</c:v>
                </c:pt>
                <c:pt idx="36">
                  <c:v>14</c:v>
                </c:pt>
                <c:pt idx="37">
                  <c:v>14</c:v>
                </c:pt>
                <c:pt idx="38">
                  <c:v>14</c:v>
                </c:pt>
                <c:pt idx="39">
                  <c:v>14</c:v>
                </c:pt>
                <c:pt idx="40">
                  <c:v>14</c:v>
                </c:pt>
                <c:pt idx="41">
                  <c:v>14</c:v>
                </c:pt>
                <c:pt idx="42">
                  <c:v>14</c:v>
                </c:pt>
                <c:pt idx="43">
                  <c:v>14</c:v>
                </c:pt>
                <c:pt idx="44">
                  <c:v>14</c:v>
                </c:pt>
                <c:pt idx="45">
                  <c:v>15</c:v>
                </c:pt>
                <c:pt idx="46">
                  <c:v>16.5</c:v>
                </c:pt>
                <c:pt idx="47">
                  <c:v>18</c:v>
                </c:pt>
                <c:pt idx="48">
                  <c:v>20</c:v>
                </c:pt>
                <c:pt idx="49">
                  <c:v>20.2</c:v>
                </c:pt>
                <c:pt idx="50">
                  <c:v>21.5</c:v>
                </c:pt>
                <c:pt idx="51">
                  <c:v>22.5</c:v>
                </c:pt>
                <c:pt idx="52">
                  <c:v>24</c:v>
                </c:pt>
                <c:pt idx="53">
                  <c:v>26</c:v>
                </c:pt>
                <c:pt idx="54">
                  <c:v>26.5</c:v>
                </c:pt>
                <c:pt idx="55">
                  <c:v>25.3</c:v>
                </c:pt>
                <c:pt idx="56">
                  <c:v>23</c:v>
                </c:pt>
                <c:pt idx="57">
                  <c:v>21.5</c:v>
                </c:pt>
                <c:pt idx="58">
                  <c:v>20</c:v>
                </c:pt>
                <c:pt idx="59">
                  <c:v>19.8</c:v>
                </c:pt>
                <c:pt idx="60">
                  <c:v>19</c:v>
                </c:pt>
                <c:pt idx="61">
                  <c:v>18</c:v>
                </c:pt>
                <c:pt idx="62">
                  <c:v>16.5</c:v>
                </c:pt>
                <c:pt idx="63">
                  <c:v>16</c:v>
                </c:pt>
                <c:pt idx="64">
                  <c:v>15.5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15</c:v>
                </c:pt>
                <c:pt idx="78">
                  <c:v>15</c:v>
                </c:pt>
                <c:pt idx="79">
                  <c:v>15</c:v>
                </c:pt>
                <c:pt idx="80">
                  <c:v>15</c:v>
                </c:pt>
                <c:pt idx="81">
                  <c:v>17</c:v>
                </c:pt>
                <c:pt idx="82">
                  <c:v>18.5</c:v>
                </c:pt>
                <c:pt idx="83">
                  <c:v>20</c:v>
                </c:pt>
                <c:pt idx="84">
                  <c:v>20.2</c:v>
                </c:pt>
                <c:pt idx="85">
                  <c:v>21</c:v>
                </c:pt>
                <c:pt idx="86">
                  <c:v>22</c:v>
                </c:pt>
                <c:pt idx="87">
                  <c:v>23</c:v>
                </c:pt>
                <c:pt idx="88">
                  <c:v>23</c:v>
                </c:pt>
                <c:pt idx="89">
                  <c:v>23</c:v>
                </c:pt>
                <c:pt idx="90">
                  <c:v>23</c:v>
                </c:pt>
                <c:pt idx="91">
                  <c:v>23</c:v>
                </c:pt>
                <c:pt idx="92">
                  <c:v>23</c:v>
                </c:pt>
                <c:pt idx="93">
                  <c:v>22</c:v>
                </c:pt>
                <c:pt idx="94">
                  <c:v>21</c:v>
                </c:pt>
                <c:pt idx="95">
                  <c:v>20</c:v>
                </c:pt>
                <c:pt idx="96">
                  <c:v>19.8</c:v>
                </c:pt>
                <c:pt idx="97">
                  <c:v>19</c:v>
                </c:pt>
                <c:pt idx="98">
                  <c:v>18</c:v>
                </c:pt>
                <c:pt idx="99">
                  <c:v>16.5</c:v>
                </c:pt>
                <c:pt idx="100">
                  <c:v>15</c:v>
                </c:pt>
                <c:pt idx="101">
                  <c:v>14.5</c:v>
                </c:pt>
                <c:pt idx="102">
                  <c:v>14.5</c:v>
                </c:pt>
                <c:pt idx="103">
                  <c:v>14.5</c:v>
                </c:pt>
                <c:pt idx="104">
                  <c:v>14.5</c:v>
                </c:pt>
                <c:pt idx="105">
                  <c:v>14.5</c:v>
                </c:pt>
                <c:pt idx="106">
                  <c:v>14.5</c:v>
                </c:pt>
                <c:pt idx="107">
                  <c:v>14.5</c:v>
                </c:pt>
                <c:pt idx="108">
                  <c:v>14.5</c:v>
                </c:pt>
                <c:pt idx="109">
                  <c:v>14.5</c:v>
                </c:pt>
                <c:pt idx="110">
                  <c:v>14.5</c:v>
                </c:pt>
                <c:pt idx="111">
                  <c:v>15.5</c:v>
                </c:pt>
                <c:pt idx="112">
                  <c:v>17</c:v>
                </c:pt>
                <c:pt idx="113">
                  <c:v>17.5</c:v>
                </c:pt>
                <c:pt idx="114">
                  <c:v>17.5</c:v>
                </c:pt>
                <c:pt idx="115">
                  <c:v>17.5</c:v>
                </c:pt>
                <c:pt idx="116">
                  <c:v>17.5</c:v>
                </c:pt>
                <c:pt idx="117">
                  <c:v>17.5</c:v>
                </c:pt>
                <c:pt idx="118">
                  <c:v>16</c:v>
                </c:pt>
                <c:pt idx="119">
                  <c:v>15</c:v>
                </c:pt>
                <c:pt idx="120">
                  <c:v>15</c:v>
                </c:pt>
                <c:pt idx="121">
                  <c:v>15</c:v>
                </c:pt>
                <c:pt idx="122">
                  <c:v>15</c:v>
                </c:pt>
                <c:pt idx="123">
                  <c:v>15</c:v>
                </c:pt>
                <c:pt idx="124">
                  <c:v>15</c:v>
                </c:pt>
                <c:pt idx="125">
                  <c:v>15</c:v>
                </c:pt>
                <c:pt idx="126">
                  <c:v>15</c:v>
                </c:pt>
                <c:pt idx="127">
                  <c:v>16</c:v>
                </c:pt>
                <c:pt idx="128">
                  <c:v>17.5</c:v>
                </c:pt>
                <c:pt idx="129">
                  <c:v>18.8</c:v>
                </c:pt>
                <c:pt idx="130">
                  <c:v>20</c:v>
                </c:pt>
                <c:pt idx="131">
                  <c:v>19.8</c:v>
                </c:pt>
                <c:pt idx="132">
                  <c:v>18</c:v>
                </c:pt>
                <c:pt idx="133">
                  <c:v>16</c:v>
                </c:pt>
                <c:pt idx="134">
                  <c:v>16</c:v>
                </c:pt>
                <c:pt idx="135">
                  <c:v>16</c:v>
                </c:pt>
                <c:pt idx="136">
                  <c:v>16</c:v>
                </c:pt>
                <c:pt idx="137">
                  <c:v>16</c:v>
                </c:pt>
                <c:pt idx="138">
                  <c:v>16</c:v>
                </c:pt>
                <c:pt idx="139">
                  <c:v>16</c:v>
                </c:pt>
                <c:pt idx="140">
                  <c:v>17</c:v>
                </c:pt>
                <c:pt idx="141">
                  <c:v>18</c:v>
                </c:pt>
                <c:pt idx="142">
                  <c:v>17</c:v>
                </c:pt>
                <c:pt idx="143">
                  <c:v>15.5</c:v>
                </c:pt>
                <c:pt idx="144">
                  <c:v>15.5</c:v>
                </c:pt>
                <c:pt idx="145">
                  <c:v>15.5</c:v>
                </c:pt>
                <c:pt idx="146">
                  <c:v>15.5</c:v>
                </c:pt>
                <c:pt idx="147">
                  <c:v>15.5</c:v>
                </c:pt>
                <c:pt idx="148">
                  <c:v>16</c:v>
                </c:pt>
                <c:pt idx="149">
                  <c:v>16.5</c:v>
                </c:pt>
                <c:pt idx="150">
                  <c:v>17.7</c:v>
                </c:pt>
                <c:pt idx="151">
                  <c:v>18.899999999999999</c:v>
                </c:pt>
                <c:pt idx="152">
                  <c:v>20</c:v>
                </c:pt>
                <c:pt idx="153">
                  <c:v>20.2</c:v>
                </c:pt>
                <c:pt idx="154">
                  <c:v>21</c:v>
                </c:pt>
                <c:pt idx="155">
                  <c:v>23</c:v>
                </c:pt>
                <c:pt idx="156">
                  <c:v>25</c:v>
                </c:pt>
                <c:pt idx="157">
                  <c:v>27</c:v>
                </c:pt>
                <c:pt idx="158">
                  <c:v>29</c:v>
                </c:pt>
                <c:pt idx="159">
                  <c:v>29.5</c:v>
                </c:pt>
                <c:pt idx="160">
                  <c:v>30</c:v>
                </c:pt>
                <c:pt idx="161">
                  <c:v>29.5</c:v>
                </c:pt>
                <c:pt idx="162">
                  <c:v>28</c:v>
                </c:pt>
                <c:pt idx="163">
                  <c:v>26</c:v>
                </c:pt>
                <c:pt idx="164">
                  <c:v>24</c:v>
                </c:pt>
                <c:pt idx="165">
                  <c:v>22</c:v>
                </c:pt>
                <c:pt idx="166">
                  <c:v>21</c:v>
                </c:pt>
                <c:pt idx="167">
                  <c:v>20</c:v>
                </c:pt>
                <c:pt idx="168">
                  <c:v>19.8</c:v>
                </c:pt>
                <c:pt idx="169">
                  <c:v>17.5</c:v>
                </c:pt>
                <c:pt idx="170">
                  <c:v>17.5</c:v>
                </c:pt>
                <c:pt idx="171">
                  <c:v>17.5</c:v>
                </c:pt>
                <c:pt idx="172">
                  <c:v>17.5</c:v>
                </c:pt>
                <c:pt idx="173">
                  <c:v>17.5</c:v>
                </c:pt>
                <c:pt idx="174">
                  <c:v>17.5</c:v>
                </c:pt>
                <c:pt idx="175">
                  <c:v>17.5</c:v>
                </c:pt>
                <c:pt idx="176">
                  <c:v>17.5</c:v>
                </c:pt>
                <c:pt idx="177">
                  <c:v>17.5</c:v>
                </c:pt>
                <c:pt idx="178">
                  <c:v>17.5</c:v>
                </c:pt>
                <c:pt idx="179">
                  <c:v>17.5</c:v>
                </c:pt>
                <c:pt idx="180">
                  <c:v>18</c:v>
                </c:pt>
                <c:pt idx="181">
                  <c:v>19</c:v>
                </c:pt>
                <c:pt idx="182">
                  <c:v>20</c:v>
                </c:pt>
                <c:pt idx="183">
                  <c:v>20</c:v>
                </c:pt>
                <c:pt idx="184">
                  <c:v>19</c:v>
                </c:pt>
                <c:pt idx="185">
                  <c:v>18</c:v>
                </c:pt>
                <c:pt idx="186">
                  <c:v>16.8</c:v>
                </c:pt>
                <c:pt idx="187">
                  <c:v>15.6</c:v>
                </c:pt>
                <c:pt idx="188">
                  <c:v>13.8</c:v>
                </c:pt>
                <c:pt idx="189">
                  <c:v>12.4</c:v>
                </c:pt>
                <c:pt idx="190">
                  <c:v>11</c:v>
                </c:pt>
                <c:pt idx="191">
                  <c:v>10</c:v>
                </c:pt>
                <c:pt idx="192">
                  <c:v>9.8000000000000007</c:v>
                </c:pt>
                <c:pt idx="193">
                  <c:v>8.5</c:v>
                </c:pt>
                <c:pt idx="194">
                  <c:v>8.5</c:v>
                </c:pt>
                <c:pt idx="195">
                  <c:v>8.5</c:v>
                </c:pt>
                <c:pt idx="196">
                  <c:v>8.5</c:v>
                </c:pt>
                <c:pt idx="197">
                  <c:v>8.5</c:v>
                </c:pt>
                <c:pt idx="198">
                  <c:v>8.5</c:v>
                </c:pt>
                <c:pt idx="199">
                  <c:v>8.5</c:v>
                </c:pt>
                <c:pt idx="200">
                  <c:v>8.5</c:v>
                </c:pt>
                <c:pt idx="201">
                  <c:v>8.5</c:v>
                </c:pt>
                <c:pt idx="202">
                  <c:v>8.5</c:v>
                </c:pt>
                <c:pt idx="203">
                  <c:v>8.5</c:v>
                </c:pt>
                <c:pt idx="204">
                  <c:v>8.5</c:v>
                </c:pt>
                <c:pt idx="205">
                  <c:v>8.5</c:v>
                </c:pt>
                <c:pt idx="206">
                  <c:v>9.5</c:v>
                </c:pt>
                <c:pt idx="207">
                  <c:v>10</c:v>
                </c:pt>
                <c:pt idx="208">
                  <c:v>10</c:v>
                </c:pt>
                <c:pt idx="209">
                  <c:v>10</c:v>
                </c:pt>
                <c:pt idx="210">
                  <c:v>9</c:v>
                </c:pt>
                <c:pt idx="211">
                  <c:v>8</c:v>
                </c:pt>
                <c:pt idx="212">
                  <c:v>8</c:v>
                </c:pt>
                <c:pt idx="213">
                  <c:v>8</c:v>
                </c:pt>
                <c:pt idx="214">
                  <c:v>8</c:v>
                </c:pt>
                <c:pt idx="215">
                  <c:v>8</c:v>
                </c:pt>
                <c:pt idx="216">
                  <c:v>8</c:v>
                </c:pt>
                <c:pt idx="217">
                  <c:v>8</c:v>
                </c:pt>
                <c:pt idx="218">
                  <c:v>8</c:v>
                </c:pt>
                <c:pt idx="219">
                  <c:v>9</c:v>
                </c:pt>
                <c:pt idx="220">
                  <c:v>10</c:v>
                </c:pt>
                <c:pt idx="221">
                  <c:v>10.199999999999999</c:v>
                </c:pt>
                <c:pt idx="222">
                  <c:v>12.5</c:v>
                </c:pt>
                <c:pt idx="223">
                  <c:v>15</c:v>
                </c:pt>
                <c:pt idx="224">
                  <c:v>17.5</c:v>
                </c:pt>
                <c:pt idx="225">
                  <c:v>20</c:v>
                </c:pt>
                <c:pt idx="226">
                  <c:v>20.2</c:v>
                </c:pt>
                <c:pt idx="227">
                  <c:v>21</c:v>
                </c:pt>
                <c:pt idx="228">
                  <c:v>21</c:v>
                </c:pt>
                <c:pt idx="229">
                  <c:v>21</c:v>
                </c:pt>
                <c:pt idx="230">
                  <c:v>21</c:v>
                </c:pt>
                <c:pt idx="231">
                  <c:v>21</c:v>
                </c:pt>
                <c:pt idx="232">
                  <c:v>21</c:v>
                </c:pt>
                <c:pt idx="233">
                  <c:v>21.5</c:v>
                </c:pt>
                <c:pt idx="234">
                  <c:v>22</c:v>
                </c:pt>
                <c:pt idx="235">
                  <c:v>20.5</c:v>
                </c:pt>
                <c:pt idx="236">
                  <c:v>19.8</c:v>
                </c:pt>
                <c:pt idx="237">
                  <c:v>18</c:v>
                </c:pt>
                <c:pt idx="238">
                  <c:v>16</c:v>
                </c:pt>
                <c:pt idx="239">
                  <c:v>14</c:v>
                </c:pt>
                <c:pt idx="240">
                  <c:v>12</c:v>
                </c:pt>
                <c:pt idx="241">
                  <c:v>10</c:v>
                </c:pt>
                <c:pt idx="242">
                  <c:v>9.9</c:v>
                </c:pt>
                <c:pt idx="243">
                  <c:v>8.5</c:v>
                </c:pt>
                <c:pt idx="244">
                  <c:v>8.5</c:v>
                </c:pt>
                <c:pt idx="245">
                  <c:v>8.5</c:v>
                </c:pt>
                <c:pt idx="246">
                  <c:v>8.5</c:v>
                </c:pt>
                <c:pt idx="247">
                  <c:v>8.5</c:v>
                </c:pt>
                <c:pt idx="248">
                  <c:v>8.5</c:v>
                </c:pt>
                <c:pt idx="249">
                  <c:v>8.5</c:v>
                </c:pt>
                <c:pt idx="250">
                  <c:v>8.5</c:v>
                </c:pt>
                <c:pt idx="251">
                  <c:v>8.5</c:v>
                </c:pt>
                <c:pt idx="252">
                  <c:v>8.5</c:v>
                </c:pt>
                <c:pt idx="253">
                  <c:v>9</c:v>
                </c:pt>
                <c:pt idx="254">
                  <c:v>9.5</c:v>
                </c:pt>
                <c:pt idx="255">
                  <c:v>8.5</c:v>
                </c:pt>
                <c:pt idx="256">
                  <c:v>8.5</c:v>
                </c:pt>
                <c:pt idx="257">
                  <c:v>8.5</c:v>
                </c:pt>
                <c:pt idx="258">
                  <c:v>8.5</c:v>
                </c:pt>
                <c:pt idx="259">
                  <c:v>8.5</c:v>
                </c:pt>
                <c:pt idx="260">
                  <c:v>8.5</c:v>
                </c:pt>
                <c:pt idx="261">
                  <c:v>8.5</c:v>
                </c:pt>
                <c:pt idx="262">
                  <c:v>8.5</c:v>
                </c:pt>
                <c:pt idx="263">
                  <c:v>9.5</c:v>
                </c:pt>
                <c:pt idx="264">
                  <c:v>10</c:v>
                </c:pt>
                <c:pt idx="265">
                  <c:v>10.199999999999999</c:v>
                </c:pt>
                <c:pt idx="266">
                  <c:v>12</c:v>
                </c:pt>
                <c:pt idx="267">
                  <c:v>15</c:v>
                </c:pt>
                <c:pt idx="268">
                  <c:v>18</c:v>
                </c:pt>
                <c:pt idx="269">
                  <c:v>20</c:v>
                </c:pt>
                <c:pt idx="270">
                  <c:v>18</c:v>
                </c:pt>
                <c:pt idx="271">
                  <c:v>16</c:v>
                </c:pt>
                <c:pt idx="272">
                  <c:v>14</c:v>
                </c:pt>
                <c:pt idx="273">
                  <c:v>12</c:v>
                </c:pt>
                <c:pt idx="274">
                  <c:v>10</c:v>
                </c:pt>
                <c:pt idx="275">
                  <c:v>9.8000000000000007</c:v>
                </c:pt>
                <c:pt idx="27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B1B-4FC8-9FD6-AE2870CE63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814848"/>
        <c:axId val="106813312"/>
      </c:scatterChart>
      <c:valAx>
        <c:axId val="106788736"/>
        <c:scaling>
          <c:orientation val="minMax"/>
          <c:max val="2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Bookman Old Style" panose="02050604050505020204" pitchFamily="18" charset="0"/>
                    <a:ea typeface="+mn-ea"/>
                    <a:cs typeface="+mn-cs"/>
                  </a:defRPr>
                </a:pPr>
                <a:r>
                  <a:rPr lang="en-US" sz="1100">
                    <a:solidFill>
                      <a:sysClr val="windowText" lastClr="000000"/>
                    </a:solidFill>
                  </a:rPr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Bookman Old Style" panose="02050604050505020204" pitchFamily="18" charset="0"/>
                <a:ea typeface="+mn-ea"/>
                <a:cs typeface="+mn-cs"/>
              </a:defRPr>
            </a:pPr>
            <a:endParaRPr lang="en-US"/>
          </a:p>
        </c:txPr>
        <c:crossAx val="106811392"/>
        <c:crosses val="autoZero"/>
        <c:crossBetween val="midCat"/>
        <c:majorUnit val="10"/>
      </c:valAx>
      <c:valAx>
        <c:axId val="106811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Bookman Old Style" panose="02050604050505020204" pitchFamily="18" charset="0"/>
                    <a:ea typeface="+mn-ea"/>
                    <a:cs typeface="+mn-cs"/>
                  </a:defRPr>
                </a:pPr>
                <a:r>
                  <a:rPr lang="en-US" sz="1100">
                    <a:solidFill>
                      <a:sysClr val="windowText" lastClr="000000"/>
                    </a:solidFill>
                  </a:rPr>
                  <a:t>State of charge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Bookman Old Style" panose="02050604050505020204" pitchFamily="18" charset="0"/>
                <a:ea typeface="+mn-ea"/>
                <a:cs typeface="+mn-cs"/>
              </a:defRPr>
            </a:pPr>
            <a:endParaRPr lang="en-US"/>
          </a:p>
        </c:txPr>
        <c:crossAx val="106788736"/>
        <c:crosses val="autoZero"/>
        <c:crossBetween val="midCat"/>
      </c:valAx>
      <c:valAx>
        <c:axId val="10681331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Bookman Old Style" panose="02050604050505020204" pitchFamily="18" charset="0"/>
                <a:ea typeface="+mn-ea"/>
                <a:cs typeface="+mn-cs"/>
              </a:defRPr>
            </a:pPr>
            <a:endParaRPr lang="en-US"/>
          </a:p>
        </c:txPr>
        <c:crossAx val="106814848"/>
        <c:crosses val="max"/>
        <c:crossBetween val="midCat"/>
      </c:valAx>
      <c:valAx>
        <c:axId val="106814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68133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ysClr val="windowText" lastClr="000000"/>
              </a:solidFill>
              <a:latin typeface="Bookman Old Style" panose="02050604050505020204" pitchFamily="18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aseline="0">
          <a:latin typeface="Bookman Old Style" panose="020506040505050202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>
                <a:solidFill>
                  <a:sysClr val="windowText" lastClr="000000"/>
                </a:solidFill>
                <a:latin typeface="Bookman Old Style" panose="02050604050505020204" pitchFamily="18" charset="0"/>
              </a:rPr>
              <a:t>Power supply to the battery by Generator and Regenerative braking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supply by Generator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'2-Simulaation'!$A$2:$A$277</c:f>
              <c:numCache>
                <c:formatCode>General</c:formatCode>
                <c:ptCount val="27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</c:numCache>
            </c:numRef>
          </c:xVal>
          <c:yVal>
            <c:numRef>
              <c:f>'2-Simulaation'!$N$2:$N$277</c:f>
              <c:numCache>
                <c:formatCode>0.0000</c:formatCode>
                <c:ptCount val="276"/>
                <c:pt idx="0">
                  <c:v>2.5</c:v>
                </c:pt>
                <c:pt idx="1">
                  <c:v>0</c:v>
                </c:pt>
                <c:pt idx="2">
                  <c:v>0.64315842350665342</c:v>
                </c:pt>
                <c:pt idx="3">
                  <c:v>0.48890152856196289</c:v>
                </c:pt>
                <c:pt idx="4">
                  <c:v>0</c:v>
                </c:pt>
                <c:pt idx="5">
                  <c:v>1.8226637415516813</c:v>
                </c:pt>
                <c:pt idx="6">
                  <c:v>0.13114857448872019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0.4392597708694681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2.5</c:v>
                </c:pt>
                <c:pt idx="21">
                  <c:v>2.5</c:v>
                </c:pt>
                <c:pt idx="22">
                  <c:v>2.5</c:v>
                </c:pt>
                <c:pt idx="23">
                  <c:v>2.5</c:v>
                </c:pt>
                <c:pt idx="24">
                  <c:v>2.5</c:v>
                </c:pt>
                <c:pt idx="25">
                  <c:v>1.9503018447749381</c:v>
                </c:pt>
                <c:pt idx="26">
                  <c:v>2.5</c:v>
                </c:pt>
                <c:pt idx="27">
                  <c:v>2.5</c:v>
                </c:pt>
                <c:pt idx="28">
                  <c:v>2.5</c:v>
                </c:pt>
                <c:pt idx="29">
                  <c:v>2.5</c:v>
                </c:pt>
                <c:pt idx="30">
                  <c:v>2.5</c:v>
                </c:pt>
                <c:pt idx="31">
                  <c:v>1.7465843802942198</c:v>
                </c:pt>
                <c:pt idx="32">
                  <c:v>1.7465843802942198</c:v>
                </c:pt>
                <c:pt idx="33">
                  <c:v>1.7465843802942198</c:v>
                </c:pt>
                <c:pt idx="34">
                  <c:v>1.7465843802942198</c:v>
                </c:pt>
                <c:pt idx="35">
                  <c:v>1.7465843802942198</c:v>
                </c:pt>
                <c:pt idx="36">
                  <c:v>1.7465843802942198</c:v>
                </c:pt>
                <c:pt idx="37">
                  <c:v>1.7465843802942198</c:v>
                </c:pt>
                <c:pt idx="38">
                  <c:v>1.7465843802942198</c:v>
                </c:pt>
                <c:pt idx="39">
                  <c:v>1.7465843802942198</c:v>
                </c:pt>
                <c:pt idx="40">
                  <c:v>1.7465843802942198</c:v>
                </c:pt>
                <c:pt idx="41">
                  <c:v>1.7465843802942198</c:v>
                </c:pt>
                <c:pt idx="42">
                  <c:v>1.7465843802942198</c:v>
                </c:pt>
                <c:pt idx="43">
                  <c:v>1.7465843802942198</c:v>
                </c:pt>
                <c:pt idx="44">
                  <c:v>1.7465843802942198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0.4392597708694681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2.5</c:v>
                </c:pt>
                <c:pt idx="64">
                  <c:v>2.5</c:v>
                </c:pt>
                <c:pt idx="65">
                  <c:v>2.5</c:v>
                </c:pt>
                <c:pt idx="66">
                  <c:v>1.6688968350862141</c:v>
                </c:pt>
                <c:pt idx="67">
                  <c:v>1.6688968350862141</c:v>
                </c:pt>
                <c:pt idx="68">
                  <c:v>1.6688968350862141</c:v>
                </c:pt>
                <c:pt idx="69">
                  <c:v>1.6688968350862141</c:v>
                </c:pt>
                <c:pt idx="70">
                  <c:v>1.6688968350862141</c:v>
                </c:pt>
                <c:pt idx="71">
                  <c:v>1.6688968350862141</c:v>
                </c:pt>
                <c:pt idx="72">
                  <c:v>1.6688968350862141</c:v>
                </c:pt>
                <c:pt idx="73">
                  <c:v>1.6688968350862141</c:v>
                </c:pt>
                <c:pt idx="74">
                  <c:v>1.6688968350862141</c:v>
                </c:pt>
                <c:pt idx="75">
                  <c:v>1.6688968350862141</c:v>
                </c:pt>
                <c:pt idx="76">
                  <c:v>1.6688968350862141</c:v>
                </c:pt>
                <c:pt idx="77">
                  <c:v>1.6688968350862141</c:v>
                </c:pt>
                <c:pt idx="78">
                  <c:v>1.6688968350862141</c:v>
                </c:pt>
                <c:pt idx="79">
                  <c:v>1.6688968350862141</c:v>
                </c:pt>
                <c:pt idx="80">
                  <c:v>1.6688968350862141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0.4392597708694681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2.5</c:v>
                </c:pt>
                <c:pt idx="94">
                  <c:v>2.5</c:v>
                </c:pt>
                <c:pt idx="95">
                  <c:v>2.5</c:v>
                </c:pt>
                <c:pt idx="96">
                  <c:v>1.9503018447749381</c:v>
                </c:pt>
                <c:pt idx="97">
                  <c:v>2.5</c:v>
                </c:pt>
                <c:pt idx="98">
                  <c:v>2.5</c:v>
                </c:pt>
                <c:pt idx="99">
                  <c:v>2.5</c:v>
                </c:pt>
                <c:pt idx="100">
                  <c:v>2.5</c:v>
                </c:pt>
                <c:pt idx="101">
                  <c:v>2.5</c:v>
                </c:pt>
                <c:pt idx="102">
                  <c:v>1.7083374112852283</c:v>
                </c:pt>
                <c:pt idx="103">
                  <c:v>1.7083374112852283</c:v>
                </c:pt>
                <c:pt idx="104">
                  <c:v>1.7083374112852283</c:v>
                </c:pt>
                <c:pt idx="105">
                  <c:v>1.7083374112852283</c:v>
                </c:pt>
                <c:pt idx="106">
                  <c:v>1.7083374112852283</c:v>
                </c:pt>
                <c:pt idx="107">
                  <c:v>1.7083374112852283</c:v>
                </c:pt>
                <c:pt idx="108">
                  <c:v>1.7083374112852283</c:v>
                </c:pt>
                <c:pt idx="109">
                  <c:v>1.7083374112852283</c:v>
                </c:pt>
                <c:pt idx="110">
                  <c:v>1.7083374112852283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1.4523492858390543</c:v>
                </c:pt>
                <c:pt idx="115">
                  <c:v>1.4523492858390543</c:v>
                </c:pt>
                <c:pt idx="116">
                  <c:v>1.4523492858390543</c:v>
                </c:pt>
                <c:pt idx="117">
                  <c:v>1.4523492858390543</c:v>
                </c:pt>
                <c:pt idx="118">
                  <c:v>2.5</c:v>
                </c:pt>
                <c:pt idx="119">
                  <c:v>2.5</c:v>
                </c:pt>
                <c:pt idx="120">
                  <c:v>1.6688968350862141</c:v>
                </c:pt>
                <c:pt idx="121">
                  <c:v>1.6688968350862141</c:v>
                </c:pt>
                <c:pt idx="122">
                  <c:v>1.6688968350862141</c:v>
                </c:pt>
                <c:pt idx="123">
                  <c:v>1.6688968350862141</c:v>
                </c:pt>
                <c:pt idx="124">
                  <c:v>1.6688968350862141</c:v>
                </c:pt>
                <c:pt idx="125">
                  <c:v>1.6688968350862141</c:v>
                </c:pt>
                <c:pt idx="126">
                  <c:v>1.6688968350862141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2.0168241772167517</c:v>
                </c:pt>
                <c:pt idx="133">
                  <c:v>2.5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1.2993095610797007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2.5</c:v>
                </c:pt>
                <c:pt idx="155">
                  <c:v>2.5</c:v>
                </c:pt>
                <c:pt idx="156">
                  <c:v>2.5</c:v>
                </c:pt>
                <c:pt idx="157">
                  <c:v>2.5</c:v>
                </c:pt>
                <c:pt idx="158">
                  <c:v>2.5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2.192901063838967</c:v>
                </c:pt>
                <c:pt idx="164">
                  <c:v>2.3482324385169324</c:v>
                </c:pt>
                <c:pt idx="165">
                  <c:v>2.4719538020936502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2.5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0.72136671935757679</c:v>
                </c:pt>
                <c:pt idx="184">
                  <c:v>2.5</c:v>
                </c:pt>
                <c:pt idx="185">
                  <c:v>2.5</c:v>
                </c:pt>
                <c:pt idx="186">
                  <c:v>2.5</c:v>
                </c:pt>
                <c:pt idx="187">
                  <c:v>2.5</c:v>
                </c:pt>
                <c:pt idx="188">
                  <c:v>2.5</c:v>
                </c:pt>
                <c:pt idx="189">
                  <c:v>2.5</c:v>
                </c:pt>
                <c:pt idx="190">
                  <c:v>2.5</c:v>
                </c:pt>
                <c:pt idx="191">
                  <c:v>2.5</c:v>
                </c:pt>
                <c:pt idx="192">
                  <c:v>2.15688682021855</c:v>
                </c:pt>
                <c:pt idx="193">
                  <c:v>2.5</c:v>
                </c:pt>
                <c:pt idx="194">
                  <c:v>1.8969654732214045</c:v>
                </c:pt>
                <c:pt idx="195">
                  <c:v>1.8969654732214045</c:v>
                </c:pt>
                <c:pt idx="196">
                  <c:v>1.8969654732214045</c:v>
                </c:pt>
                <c:pt idx="197">
                  <c:v>1.8969654732214045</c:v>
                </c:pt>
                <c:pt idx="198">
                  <c:v>1.8969654732214045</c:v>
                </c:pt>
                <c:pt idx="199">
                  <c:v>1.8969654732214045</c:v>
                </c:pt>
                <c:pt idx="200">
                  <c:v>1.8969654732214045</c:v>
                </c:pt>
                <c:pt idx="201">
                  <c:v>1.8969654732214045</c:v>
                </c:pt>
                <c:pt idx="202">
                  <c:v>1.8969654732214045</c:v>
                </c:pt>
                <c:pt idx="203">
                  <c:v>1.8969654732214045</c:v>
                </c:pt>
                <c:pt idx="204">
                  <c:v>1.8969654732214045</c:v>
                </c:pt>
                <c:pt idx="205">
                  <c:v>1.8969654732214045</c:v>
                </c:pt>
                <c:pt idx="206">
                  <c:v>4.7771694734822123E-2</c:v>
                </c:pt>
                <c:pt idx="207">
                  <c:v>0.84433761416657171</c:v>
                </c:pt>
                <c:pt idx="208">
                  <c:v>1.7753188341646511</c:v>
                </c:pt>
                <c:pt idx="209">
                  <c:v>1.7753188341646511</c:v>
                </c:pt>
                <c:pt idx="210">
                  <c:v>2.5</c:v>
                </c:pt>
                <c:pt idx="211">
                  <c:v>2.5</c:v>
                </c:pt>
                <c:pt idx="212">
                  <c:v>1.9360600728823636</c:v>
                </c:pt>
                <c:pt idx="213">
                  <c:v>1.9360600728823636</c:v>
                </c:pt>
                <c:pt idx="214">
                  <c:v>1.9360600728823636</c:v>
                </c:pt>
                <c:pt idx="215">
                  <c:v>1.9360600728823636</c:v>
                </c:pt>
                <c:pt idx="216">
                  <c:v>1.9360600728823636</c:v>
                </c:pt>
                <c:pt idx="217">
                  <c:v>1.9360600728823636</c:v>
                </c:pt>
                <c:pt idx="218">
                  <c:v>1.9360600728823636</c:v>
                </c:pt>
                <c:pt idx="219">
                  <c:v>0.18140497679734091</c:v>
                </c:pt>
                <c:pt idx="220">
                  <c:v>0</c:v>
                </c:pt>
                <c:pt idx="221">
                  <c:v>1.3830890505316125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2.5</c:v>
                </c:pt>
                <c:pt idx="236">
                  <c:v>2.5</c:v>
                </c:pt>
                <c:pt idx="237">
                  <c:v>2.5</c:v>
                </c:pt>
                <c:pt idx="238">
                  <c:v>2.5</c:v>
                </c:pt>
                <c:pt idx="239">
                  <c:v>2.5</c:v>
                </c:pt>
                <c:pt idx="240">
                  <c:v>2.5</c:v>
                </c:pt>
                <c:pt idx="241">
                  <c:v>2.5</c:v>
                </c:pt>
                <c:pt idx="242">
                  <c:v>1.9679810885435745</c:v>
                </c:pt>
                <c:pt idx="243">
                  <c:v>2.5</c:v>
                </c:pt>
                <c:pt idx="244">
                  <c:v>1.8969654732214045</c:v>
                </c:pt>
                <c:pt idx="245">
                  <c:v>1.8969654732214045</c:v>
                </c:pt>
                <c:pt idx="246">
                  <c:v>1.8969654732214045</c:v>
                </c:pt>
                <c:pt idx="247">
                  <c:v>1.8969654732214045</c:v>
                </c:pt>
                <c:pt idx="248">
                  <c:v>1.8969654732214045</c:v>
                </c:pt>
                <c:pt idx="249">
                  <c:v>1.8969654732214045</c:v>
                </c:pt>
                <c:pt idx="250">
                  <c:v>1.8969654732214045</c:v>
                </c:pt>
                <c:pt idx="251">
                  <c:v>1.8969654732214045</c:v>
                </c:pt>
                <c:pt idx="252">
                  <c:v>1.8969654732214045</c:v>
                </c:pt>
                <c:pt idx="253">
                  <c:v>1.0192880747956121</c:v>
                </c:pt>
                <c:pt idx="254">
                  <c:v>0.93220385373300152</c:v>
                </c:pt>
                <c:pt idx="255">
                  <c:v>2.5</c:v>
                </c:pt>
                <c:pt idx="256">
                  <c:v>1.8969654732214045</c:v>
                </c:pt>
                <c:pt idx="257">
                  <c:v>1.8969654732214045</c:v>
                </c:pt>
                <c:pt idx="258">
                  <c:v>1.8969654732214045</c:v>
                </c:pt>
                <c:pt idx="259">
                  <c:v>1.8969654732214045</c:v>
                </c:pt>
                <c:pt idx="260">
                  <c:v>1.8969654732214045</c:v>
                </c:pt>
                <c:pt idx="261">
                  <c:v>1.8969654732214045</c:v>
                </c:pt>
                <c:pt idx="262">
                  <c:v>1.8969654732214045</c:v>
                </c:pt>
                <c:pt idx="263">
                  <c:v>4.7771694734822123E-2</c:v>
                </c:pt>
                <c:pt idx="264">
                  <c:v>0.84433761416657171</c:v>
                </c:pt>
                <c:pt idx="265">
                  <c:v>1.3830890505316125</c:v>
                </c:pt>
                <c:pt idx="266">
                  <c:v>2.5</c:v>
                </c:pt>
                <c:pt idx="267">
                  <c:v>2.1867289345183334</c:v>
                </c:pt>
                <c:pt idx="268">
                  <c:v>2.0262812495773836</c:v>
                </c:pt>
                <c:pt idx="269">
                  <c:v>2.5</c:v>
                </c:pt>
                <c:pt idx="270">
                  <c:v>2.5</c:v>
                </c:pt>
                <c:pt idx="271">
                  <c:v>2.5</c:v>
                </c:pt>
                <c:pt idx="272">
                  <c:v>2.5</c:v>
                </c:pt>
                <c:pt idx="273">
                  <c:v>2.5</c:v>
                </c:pt>
                <c:pt idx="274">
                  <c:v>2.5</c:v>
                </c:pt>
                <c:pt idx="275">
                  <c:v>2.15688682021855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086-4243-98DD-3EB3F5FB0194}"/>
            </c:ext>
          </c:extLst>
        </c:ser>
        <c:ser>
          <c:idx val="1"/>
          <c:order val="1"/>
          <c:tx>
            <c:v>Power supply by Regenerative braking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'2-Simulaation'!$A$2:$A$277</c:f>
              <c:numCache>
                <c:formatCode>General</c:formatCode>
                <c:ptCount val="27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</c:numCache>
            </c:numRef>
          </c:xVal>
          <c:yVal>
            <c:numRef>
              <c:f>'2-Simulaation'!$M$2:$M$277</c:f>
              <c:numCache>
                <c:formatCode>0.0000</c:formatCode>
                <c:ptCount val="2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2.0480660507572011</c:v>
                </c:pt>
                <c:pt idx="21">
                  <c:v>1.9420937758352701</c:v>
                </c:pt>
                <c:pt idx="22">
                  <c:v>1.8271619104077637</c:v>
                </c:pt>
                <c:pt idx="23">
                  <c:v>1.7039596537443689</c:v>
                </c:pt>
                <c:pt idx="24">
                  <c:v>1.5860614495215595</c:v>
                </c:pt>
                <c:pt idx="25">
                  <c:v>0</c:v>
                </c:pt>
                <c:pt idx="26">
                  <c:v>1.2737352675235925</c:v>
                </c:pt>
                <c:pt idx="27">
                  <c:v>0.5565914684017288</c:v>
                </c:pt>
                <c:pt idx="28">
                  <c:v>0.5314319857560994</c:v>
                </c:pt>
                <c:pt idx="29">
                  <c:v>0.50489410457115635</c:v>
                </c:pt>
                <c:pt idx="30">
                  <c:v>0.47706397475560447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0.14618261635372748</c:v>
                </c:pt>
                <c:pt idx="64">
                  <c:v>0.14511963400320346</c:v>
                </c:pt>
                <c:pt idx="65">
                  <c:v>0.14372282075643572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0.65161077231160081</c:v>
                </c:pt>
                <c:pt idx="94">
                  <c:v>0.63495766210334381</c:v>
                </c:pt>
                <c:pt idx="95">
                  <c:v>0.62293802601563819</c:v>
                </c:pt>
                <c:pt idx="96">
                  <c:v>0</c:v>
                </c:pt>
                <c:pt idx="97">
                  <c:v>0.41943718797407614</c:v>
                </c:pt>
                <c:pt idx="98">
                  <c:v>0.58028640259933195</c:v>
                </c:pt>
                <c:pt idx="99">
                  <c:v>0.94147782346181663</c:v>
                </c:pt>
                <c:pt idx="100">
                  <c:v>0.86606538838587965</c:v>
                </c:pt>
                <c:pt idx="101">
                  <c:v>0.14200294535201305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0.91668135515847093</c:v>
                </c:pt>
                <c:pt idx="119">
                  <c:v>0.50489410457115635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5.7350641094418883E-2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1.4047330124798316</c:v>
                </c:pt>
                <c:pt idx="155">
                  <c:v>0.1892363672384311</c:v>
                </c:pt>
                <c:pt idx="156">
                  <c:v>0.17123174003712602</c:v>
                </c:pt>
                <c:pt idx="157">
                  <c:v>0.14461212196508336</c:v>
                </c:pt>
                <c:pt idx="158">
                  <c:v>0.10868831375267658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0.30292081637241974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0.48351601839635067</c:v>
                </c:pt>
                <c:pt idx="185">
                  <c:v>0.46763044676831966</c:v>
                </c:pt>
                <c:pt idx="186">
                  <c:v>0.60833315532474641</c:v>
                </c:pt>
                <c:pt idx="187">
                  <c:v>0.57358950905866768</c:v>
                </c:pt>
                <c:pt idx="188">
                  <c:v>0.91662502378694977</c:v>
                </c:pt>
                <c:pt idx="189">
                  <c:v>0.59131009286151592</c:v>
                </c:pt>
                <c:pt idx="190">
                  <c:v>0.52972343944249722</c:v>
                </c:pt>
                <c:pt idx="191">
                  <c:v>0.29755639921897176</c:v>
                </c:pt>
                <c:pt idx="192">
                  <c:v>0</c:v>
                </c:pt>
                <c:pt idx="193">
                  <c:v>0.38053570798558167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0.27025603169523199</c:v>
                </c:pt>
                <c:pt idx="211">
                  <c:v>0.24218031499312648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0.98794358640328583</c:v>
                </c:pt>
                <c:pt idx="236">
                  <c:v>0.20900242336202773</c:v>
                </c:pt>
                <c:pt idx="237">
                  <c:v>1.1610793116925802</c:v>
                </c:pt>
                <c:pt idx="238">
                  <c:v>1.2017920971554952</c:v>
                </c:pt>
                <c:pt idx="239">
                  <c:v>1.0636290722300787</c:v>
                </c:pt>
                <c:pt idx="240">
                  <c:v>0.92064165241704976</c:v>
                </c:pt>
                <c:pt idx="241">
                  <c:v>0.78471718495779641</c:v>
                </c:pt>
                <c:pt idx="242">
                  <c:v>0</c:v>
                </c:pt>
                <c:pt idx="243">
                  <c:v>0.42194437477338059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0.25630970762218053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0.64183416969783558</c:v>
                </c:pt>
                <c:pt idx="267">
                  <c:v>0</c:v>
                </c:pt>
                <c:pt idx="268">
                  <c:v>0</c:v>
                </c:pt>
                <c:pt idx="269">
                  <c:v>0.80358434269833923</c:v>
                </c:pt>
                <c:pt idx="270">
                  <c:v>4.2101124122350937</c:v>
                </c:pt>
                <c:pt idx="271">
                  <c:v>1.2017920971554952</c:v>
                </c:pt>
                <c:pt idx="272">
                  <c:v>1.0636290722300787</c:v>
                </c:pt>
                <c:pt idx="273">
                  <c:v>0.92064165241704976</c:v>
                </c:pt>
                <c:pt idx="274">
                  <c:v>0.78471718495779641</c:v>
                </c:pt>
                <c:pt idx="27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086-4243-98DD-3EB3F5FB0194}"/>
            </c:ext>
          </c:extLst>
        </c:ser>
        <c:ser>
          <c:idx val="2"/>
          <c:order val="2"/>
          <c:tx>
            <c:v>Total Power supply to the Battery </c:v>
          </c:tx>
          <c:spPr>
            <a:ln w="31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'2-Simulaation'!$A$2:$A$277</c:f>
              <c:numCache>
                <c:formatCode>General</c:formatCode>
                <c:ptCount val="27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</c:numCache>
            </c:numRef>
          </c:xVal>
          <c:yVal>
            <c:numRef>
              <c:f>'2-Simulaation'!$O$2:$O$277</c:f>
              <c:numCache>
                <c:formatCode>0.0000</c:formatCode>
                <c:ptCount val="276"/>
                <c:pt idx="0">
                  <c:v>2.5</c:v>
                </c:pt>
                <c:pt idx="1">
                  <c:v>0</c:v>
                </c:pt>
                <c:pt idx="2">
                  <c:v>0.73600050233132075</c:v>
                </c:pt>
                <c:pt idx="3">
                  <c:v>0.58945645213386477</c:v>
                </c:pt>
                <c:pt idx="4">
                  <c:v>0</c:v>
                </c:pt>
                <c:pt idx="5">
                  <c:v>1.8565305544740971</c:v>
                </c:pt>
                <c:pt idx="6">
                  <c:v>0.24959114576428432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0.54229678232599476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4.5480660507572015</c:v>
                </c:pt>
                <c:pt idx="21">
                  <c:v>4.4420937758352697</c:v>
                </c:pt>
                <c:pt idx="22">
                  <c:v>4.3271619104077637</c:v>
                </c:pt>
                <c:pt idx="23">
                  <c:v>4.2039596537443691</c:v>
                </c:pt>
                <c:pt idx="24">
                  <c:v>4.0860614495215595</c:v>
                </c:pt>
                <c:pt idx="25">
                  <c:v>1.9777867525361912</c:v>
                </c:pt>
                <c:pt idx="26">
                  <c:v>3.7737352675235925</c:v>
                </c:pt>
                <c:pt idx="27">
                  <c:v>3.056591468401729</c:v>
                </c:pt>
                <c:pt idx="28">
                  <c:v>3.0314319857560994</c:v>
                </c:pt>
                <c:pt idx="29">
                  <c:v>3.0048941045711564</c:v>
                </c:pt>
                <c:pt idx="30">
                  <c:v>2.9770639747556045</c:v>
                </c:pt>
                <c:pt idx="31">
                  <c:v>1.7842551612795088</c:v>
                </c:pt>
                <c:pt idx="32">
                  <c:v>1.7842551612795088</c:v>
                </c:pt>
                <c:pt idx="33">
                  <c:v>1.7842551612795088</c:v>
                </c:pt>
                <c:pt idx="34">
                  <c:v>1.7842551612795088</c:v>
                </c:pt>
                <c:pt idx="35">
                  <c:v>1.7842551612795088</c:v>
                </c:pt>
                <c:pt idx="36">
                  <c:v>1.7842551612795088</c:v>
                </c:pt>
                <c:pt idx="37">
                  <c:v>1.7842551612795088</c:v>
                </c:pt>
                <c:pt idx="38">
                  <c:v>1.7842551612795088</c:v>
                </c:pt>
                <c:pt idx="39">
                  <c:v>1.7842551612795088</c:v>
                </c:pt>
                <c:pt idx="40">
                  <c:v>1.7842551612795088</c:v>
                </c:pt>
                <c:pt idx="41">
                  <c:v>1.7842551612795088</c:v>
                </c:pt>
                <c:pt idx="42">
                  <c:v>1.7842551612795088</c:v>
                </c:pt>
                <c:pt idx="43">
                  <c:v>1.7842551612795088</c:v>
                </c:pt>
                <c:pt idx="44">
                  <c:v>1.7842551612795088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0.54229678232599476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2.6461826163537276</c:v>
                </c:pt>
                <c:pt idx="64">
                  <c:v>2.6451196340032035</c:v>
                </c:pt>
                <c:pt idx="65">
                  <c:v>2.6437228207564356</c:v>
                </c:pt>
                <c:pt idx="66">
                  <c:v>1.7104519933319033</c:v>
                </c:pt>
                <c:pt idx="67">
                  <c:v>1.7104519933319033</c:v>
                </c:pt>
                <c:pt idx="68">
                  <c:v>1.7104519933319033</c:v>
                </c:pt>
                <c:pt idx="69">
                  <c:v>1.7104519933319033</c:v>
                </c:pt>
                <c:pt idx="70">
                  <c:v>1.7104519933319033</c:v>
                </c:pt>
                <c:pt idx="71">
                  <c:v>1.7104519933319033</c:v>
                </c:pt>
                <c:pt idx="72">
                  <c:v>1.7104519933319033</c:v>
                </c:pt>
                <c:pt idx="73">
                  <c:v>1.7104519933319033</c:v>
                </c:pt>
                <c:pt idx="74">
                  <c:v>1.7104519933319033</c:v>
                </c:pt>
                <c:pt idx="75">
                  <c:v>1.7104519933319033</c:v>
                </c:pt>
                <c:pt idx="76">
                  <c:v>1.7104519933319033</c:v>
                </c:pt>
                <c:pt idx="77">
                  <c:v>1.7104519933319033</c:v>
                </c:pt>
                <c:pt idx="78">
                  <c:v>1.7104519933319033</c:v>
                </c:pt>
                <c:pt idx="79">
                  <c:v>1.7104519933319033</c:v>
                </c:pt>
                <c:pt idx="80">
                  <c:v>1.7104519933319033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0.54229678232599476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3.1516107723116007</c:v>
                </c:pt>
                <c:pt idx="94">
                  <c:v>3.1349576621033437</c:v>
                </c:pt>
                <c:pt idx="95">
                  <c:v>3.1229380260156381</c:v>
                </c:pt>
                <c:pt idx="96">
                  <c:v>1.9777867525361912</c:v>
                </c:pt>
                <c:pt idx="97">
                  <c:v>2.9194371879740761</c:v>
                </c:pt>
                <c:pt idx="98">
                  <c:v>3.0802864025993317</c:v>
                </c:pt>
                <c:pt idx="99">
                  <c:v>3.4414778234618169</c:v>
                </c:pt>
                <c:pt idx="100">
                  <c:v>3.3660653883858798</c:v>
                </c:pt>
                <c:pt idx="101">
                  <c:v>2.6420029453520129</c:v>
                </c:pt>
                <c:pt idx="102">
                  <c:v>1.7479205407209668</c:v>
                </c:pt>
                <c:pt idx="103">
                  <c:v>1.7479205407209668</c:v>
                </c:pt>
                <c:pt idx="104">
                  <c:v>1.7479205407209668</c:v>
                </c:pt>
                <c:pt idx="105">
                  <c:v>1.7479205407209668</c:v>
                </c:pt>
                <c:pt idx="106">
                  <c:v>1.7479205407209668</c:v>
                </c:pt>
                <c:pt idx="107">
                  <c:v>1.7479205407209668</c:v>
                </c:pt>
                <c:pt idx="108">
                  <c:v>1.7479205407209668</c:v>
                </c:pt>
                <c:pt idx="109">
                  <c:v>1.7479205407209668</c:v>
                </c:pt>
                <c:pt idx="110">
                  <c:v>1.7479205407209668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1.5047318215471015</c:v>
                </c:pt>
                <c:pt idx="115">
                  <c:v>1.5047318215471015</c:v>
                </c:pt>
                <c:pt idx="116">
                  <c:v>1.5047318215471015</c:v>
                </c:pt>
                <c:pt idx="117">
                  <c:v>1.5047318215471015</c:v>
                </c:pt>
                <c:pt idx="118">
                  <c:v>3.4166813551584712</c:v>
                </c:pt>
                <c:pt idx="119">
                  <c:v>3.0048941045711564</c:v>
                </c:pt>
                <c:pt idx="120">
                  <c:v>1.7104519933319033</c:v>
                </c:pt>
                <c:pt idx="121">
                  <c:v>1.7104519933319033</c:v>
                </c:pt>
                <c:pt idx="122">
                  <c:v>1.7104519933319033</c:v>
                </c:pt>
                <c:pt idx="123">
                  <c:v>1.7104519933319033</c:v>
                </c:pt>
                <c:pt idx="124">
                  <c:v>1.7104519933319033</c:v>
                </c:pt>
                <c:pt idx="125">
                  <c:v>1.7104519933319033</c:v>
                </c:pt>
                <c:pt idx="126">
                  <c:v>1.7104519933319033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2.0409829683559142</c:v>
                </c:pt>
                <c:pt idx="133">
                  <c:v>2.5573506410944189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1.3593440830257157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3.9047330124798316</c:v>
                </c:pt>
                <c:pt idx="155">
                  <c:v>2.689236367238431</c:v>
                </c:pt>
                <c:pt idx="156">
                  <c:v>2.6712317400371259</c:v>
                </c:pt>
                <c:pt idx="157">
                  <c:v>2.6446121219650833</c:v>
                </c:pt>
                <c:pt idx="158">
                  <c:v>2.6086883137526766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2.2082560106470188</c:v>
                </c:pt>
                <c:pt idx="164">
                  <c:v>2.3558208165910859</c:v>
                </c:pt>
                <c:pt idx="165">
                  <c:v>2.4733561119889678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2.8029208163724197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0.81029838338969795</c:v>
                </c:pt>
                <c:pt idx="184">
                  <c:v>2.9835160183963505</c:v>
                </c:pt>
                <c:pt idx="185">
                  <c:v>2.9676304467683199</c:v>
                </c:pt>
                <c:pt idx="186">
                  <c:v>3.1083331553247464</c:v>
                </c:pt>
                <c:pt idx="187">
                  <c:v>3.0735895090586678</c:v>
                </c:pt>
                <c:pt idx="188">
                  <c:v>3.41662502378695</c:v>
                </c:pt>
                <c:pt idx="189">
                  <c:v>3.0913100928615158</c:v>
                </c:pt>
                <c:pt idx="190">
                  <c:v>3.0297234394424972</c:v>
                </c:pt>
                <c:pt idx="191">
                  <c:v>2.7975563992189718</c:v>
                </c:pt>
                <c:pt idx="192">
                  <c:v>2.1740424792076225</c:v>
                </c:pt>
                <c:pt idx="193">
                  <c:v>2.8805357079855818</c:v>
                </c:pt>
                <c:pt idx="194">
                  <c:v>1.9271171995603344</c:v>
                </c:pt>
                <c:pt idx="195">
                  <c:v>1.9271171995603344</c:v>
                </c:pt>
                <c:pt idx="196">
                  <c:v>1.9271171995603344</c:v>
                </c:pt>
                <c:pt idx="197">
                  <c:v>1.9271171995603344</c:v>
                </c:pt>
                <c:pt idx="198">
                  <c:v>1.9271171995603344</c:v>
                </c:pt>
                <c:pt idx="199">
                  <c:v>1.9271171995603344</c:v>
                </c:pt>
                <c:pt idx="200">
                  <c:v>1.9271171995603344</c:v>
                </c:pt>
                <c:pt idx="201">
                  <c:v>1.9271171995603344</c:v>
                </c:pt>
                <c:pt idx="202">
                  <c:v>1.9271171995603344</c:v>
                </c:pt>
                <c:pt idx="203">
                  <c:v>1.9271171995603344</c:v>
                </c:pt>
                <c:pt idx="204">
                  <c:v>1.9271171995603344</c:v>
                </c:pt>
                <c:pt idx="205">
                  <c:v>1.9271171995603344</c:v>
                </c:pt>
                <c:pt idx="206">
                  <c:v>0.17038310999808104</c:v>
                </c:pt>
                <c:pt idx="207">
                  <c:v>0.9271207334582432</c:v>
                </c:pt>
                <c:pt idx="208">
                  <c:v>1.8115528924564188</c:v>
                </c:pt>
                <c:pt idx="209">
                  <c:v>1.8115528924564188</c:v>
                </c:pt>
                <c:pt idx="210">
                  <c:v>2.770256031695232</c:v>
                </c:pt>
                <c:pt idx="211">
                  <c:v>2.7421803149931265</c:v>
                </c:pt>
                <c:pt idx="212">
                  <c:v>1.9642570692382455</c:v>
                </c:pt>
                <c:pt idx="213">
                  <c:v>1.9642570692382455</c:v>
                </c:pt>
                <c:pt idx="214">
                  <c:v>1.9642570692382455</c:v>
                </c:pt>
                <c:pt idx="215">
                  <c:v>1.9642570692382455</c:v>
                </c:pt>
                <c:pt idx="216">
                  <c:v>1.9642570692382455</c:v>
                </c:pt>
                <c:pt idx="217">
                  <c:v>1.9642570692382455</c:v>
                </c:pt>
                <c:pt idx="218">
                  <c:v>1.9642570692382455</c:v>
                </c:pt>
                <c:pt idx="219">
                  <c:v>0.29733472795747407</c:v>
                </c:pt>
                <c:pt idx="220">
                  <c:v>0</c:v>
                </c:pt>
                <c:pt idx="221">
                  <c:v>1.4389345980050319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3.4879435864032859</c:v>
                </c:pt>
                <c:pt idx="236">
                  <c:v>2.7090024233620276</c:v>
                </c:pt>
                <c:pt idx="237">
                  <c:v>3.6610793116925802</c:v>
                </c:pt>
                <c:pt idx="238">
                  <c:v>3.7017920971554954</c:v>
                </c:pt>
                <c:pt idx="239">
                  <c:v>3.5636290722300785</c:v>
                </c:pt>
                <c:pt idx="240">
                  <c:v>3.42064165241705</c:v>
                </c:pt>
                <c:pt idx="241">
                  <c:v>3.2847171849577963</c:v>
                </c:pt>
                <c:pt idx="242">
                  <c:v>1.9945820341163958</c:v>
                </c:pt>
                <c:pt idx="243">
                  <c:v>2.9219443747733806</c:v>
                </c:pt>
                <c:pt idx="244">
                  <c:v>1.9271171995603344</c:v>
                </c:pt>
                <c:pt idx="245">
                  <c:v>1.9271171995603344</c:v>
                </c:pt>
                <c:pt idx="246">
                  <c:v>1.9271171995603344</c:v>
                </c:pt>
                <c:pt idx="247">
                  <c:v>1.9271171995603344</c:v>
                </c:pt>
                <c:pt idx="248">
                  <c:v>1.9271171995603344</c:v>
                </c:pt>
                <c:pt idx="249">
                  <c:v>1.9271171995603344</c:v>
                </c:pt>
                <c:pt idx="250">
                  <c:v>1.9271171995603344</c:v>
                </c:pt>
                <c:pt idx="251">
                  <c:v>1.9271171995603344</c:v>
                </c:pt>
                <c:pt idx="252">
                  <c:v>1.9271171995603344</c:v>
                </c:pt>
                <c:pt idx="253">
                  <c:v>1.0933236710558316</c:v>
                </c:pt>
                <c:pt idx="254">
                  <c:v>1.0105936610463515</c:v>
                </c:pt>
                <c:pt idx="255">
                  <c:v>2.7563097076221803</c:v>
                </c:pt>
                <c:pt idx="256">
                  <c:v>1.9271171995603344</c:v>
                </c:pt>
                <c:pt idx="257">
                  <c:v>1.9271171995603344</c:v>
                </c:pt>
                <c:pt idx="258">
                  <c:v>1.9271171995603344</c:v>
                </c:pt>
                <c:pt idx="259">
                  <c:v>1.9271171995603344</c:v>
                </c:pt>
                <c:pt idx="260">
                  <c:v>1.9271171995603344</c:v>
                </c:pt>
                <c:pt idx="261">
                  <c:v>1.9271171995603344</c:v>
                </c:pt>
                <c:pt idx="262">
                  <c:v>1.9271171995603344</c:v>
                </c:pt>
                <c:pt idx="263">
                  <c:v>0.17038310999808104</c:v>
                </c:pt>
                <c:pt idx="264">
                  <c:v>0.9271207334582432</c:v>
                </c:pt>
                <c:pt idx="265">
                  <c:v>1.4389345980050319</c:v>
                </c:pt>
                <c:pt idx="266">
                  <c:v>3.1418341696978356</c:v>
                </c:pt>
                <c:pt idx="267">
                  <c:v>2.2023924877924168</c:v>
                </c:pt>
                <c:pt idx="268">
                  <c:v>2.0499671870985146</c:v>
                </c:pt>
                <c:pt idx="269">
                  <c:v>3.3035843426983393</c:v>
                </c:pt>
                <c:pt idx="270">
                  <c:v>6.7101124122350937</c:v>
                </c:pt>
                <c:pt idx="271">
                  <c:v>3.7017920971554954</c:v>
                </c:pt>
                <c:pt idx="272">
                  <c:v>3.5636290722300785</c:v>
                </c:pt>
                <c:pt idx="273">
                  <c:v>3.42064165241705</c:v>
                </c:pt>
                <c:pt idx="274">
                  <c:v>3.2847171849577963</c:v>
                </c:pt>
                <c:pt idx="275">
                  <c:v>2.1740424792076225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086-4243-98DD-3EB3F5FB01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731392"/>
        <c:axId val="106749952"/>
      </c:scatterChart>
      <c:valAx>
        <c:axId val="106731392"/>
        <c:scaling>
          <c:orientation val="minMax"/>
          <c:max val="2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Bookman Old Style" panose="02050604050505020204" pitchFamily="18" charset="0"/>
                    <a:ea typeface="+mn-ea"/>
                    <a:cs typeface="+mn-cs"/>
                  </a:defRPr>
                </a:pPr>
                <a:r>
                  <a:rPr lang="en-US" sz="1100">
                    <a:solidFill>
                      <a:sysClr val="windowText" lastClr="000000"/>
                    </a:solidFill>
                    <a:latin typeface="Bookman Old Style" panose="02050604050505020204" pitchFamily="18" charset="0"/>
                  </a:rPr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Bookman Old Style" panose="02050604050505020204" pitchFamily="18" charset="0"/>
                <a:ea typeface="+mn-ea"/>
                <a:cs typeface="+mn-cs"/>
              </a:defRPr>
            </a:pPr>
            <a:endParaRPr lang="en-US"/>
          </a:p>
        </c:txPr>
        <c:crossAx val="106749952"/>
        <c:crosses val="autoZero"/>
        <c:crossBetween val="midCat"/>
        <c:majorUnit val="10"/>
      </c:valAx>
      <c:valAx>
        <c:axId val="10674995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Bookman Old Style" panose="02050604050505020204" pitchFamily="18" charset="0"/>
                    <a:ea typeface="+mn-ea"/>
                    <a:cs typeface="+mn-cs"/>
                  </a:defRPr>
                </a:pPr>
                <a:r>
                  <a:rPr lang="en-US" sz="1100">
                    <a:solidFill>
                      <a:sysClr val="windowText" lastClr="000000"/>
                    </a:solidFill>
                    <a:latin typeface="Bookman Old Style" panose="02050604050505020204" pitchFamily="18" charset="0"/>
                  </a:rPr>
                  <a:t>Power supply to the battery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Bookman Old Style" panose="02050604050505020204" pitchFamily="18" charset="0"/>
                <a:ea typeface="+mn-ea"/>
                <a:cs typeface="+mn-cs"/>
              </a:defRPr>
            </a:pPr>
            <a:endParaRPr lang="en-US"/>
          </a:p>
        </c:txPr>
        <c:crossAx val="106731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ysClr val="windowText" lastClr="000000"/>
              </a:solidFill>
              <a:latin typeface="Bookman Old Style" panose="02050604050505020204" pitchFamily="18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Bookman Old Style" panose="02050604050505020204" pitchFamily="18" charset="0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  <a:latin typeface="Bookman Old Style" panose="02050604050505020204" pitchFamily="18" charset="0"/>
              </a:rPr>
              <a:t>Charging &amp; Discharging Current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'2-Simulaation'!$R$1</c:f>
              <c:strCache>
                <c:ptCount val="1"/>
                <c:pt idx="0">
                  <c:v>Discharge Current (Amp)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xVal>
            <c:numRef>
              <c:f>'2-Simulaation'!$A$2:$A$279</c:f>
              <c:numCache>
                <c:formatCode>General</c:formatCode>
                <c:ptCount val="2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</c:numCache>
            </c:numRef>
          </c:xVal>
          <c:yVal>
            <c:numRef>
              <c:f>'2-Simulaation'!$R$2:$R$279</c:f>
              <c:numCache>
                <c:formatCode>0.0000</c:formatCode>
                <c:ptCount val="278"/>
                <c:pt idx="0">
                  <c:v>0</c:v>
                </c:pt>
                <c:pt idx="1">
                  <c:v>72.705433051669687</c:v>
                </c:pt>
                <c:pt idx="2">
                  <c:v>0</c:v>
                </c:pt>
                <c:pt idx="3">
                  <c:v>0</c:v>
                </c:pt>
                <c:pt idx="4">
                  <c:v>31.227620106682636</c:v>
                </c:pt>
                <c:pt idx="5">
                  <c:v>0</c:v>
                </c:pt>
                <c:pt idx="6">
                  <c:v>0</c:v>
                </c:pt>
                <c:pt idx="7">
                  <c:v>3.7334318793828256</c:v>
                </c:pt>
                <c:pt idx="8">
                  <c:v>64.825849886250268</c:v>
                </c:pt>
                <c:pt idx="9">
                  <c:v>82.569853113172456</c:v>
                </c:pt>
                <c:pt idx="10">
                  <c:v>100.73093287545926</c:v>
                </c:pt>
                <c:pt idx="11">
                  <c:v>119.36122374003025</c:v>
                </c:pt>
                <c:pt idx="12">
                  <c:v>0</c:v>
                </c:pt>
                <c:pt idx="13">
                  <c:v>121.5196705641544</c:v>
                </c:pt>
                <c:pt idx="14">
                  <c:v>63.956085523188158</c:v>
                </c:pt>
                <c:pt idx="15">
                  <c:v>117.74540925984216</c:v>
                </c:pt>
                <c:pt idx="16">
                  <c:v>130.28223382674938</c:v>
                </c:pt>
                <c:pt idx="17">
                  <c:v>198.25260121343709</c:v>
                </c:pt>
                <c:pt idx="18">
                  <c:v>104.05460413288546</c:v>
                </c:pt>
                <c:pt idx="19">
                  <c:v>111.36113309726055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19.007279407737609</c:v>
                </c:pt>
                <c:pt idx="46">
                  <c:v>57.016052857516371</c:v>
                </c:pt>
                <c:pt idx="47">
                  <c:v>67.945915314167749</c:v>
                </c:pt>
                <c:pt idx="48">
                  <c:v>119.36122374003025</c:v>
                </c:pt>
                <c:pt idx="49">
                  <c:v>0</c:v>
                </c:pt>
                <c:pt idx="50">
                  <c:v>78.168313162193527</c:v>
                </c:pt>
                <c:pt idx="51">
                  <c:v>60.877523181038278</c:v>
                </c:pt>
                <c:pt idx="52">
                  <c:v>113.64738492994759</c:v>
                </c:pt>
                <c:pt idx="53">
                  <c:v>177.32159086667426</c:v>
                </c:pt>
                <c:pt idx="54">
                  <c:v>38.656887763639254</c:v>
                </c:pt>
                <c:pt idx="55">
                  <c:v>120.19351088277934</c:v>
                </c:pt>
                <c:pt idx="56">
                  <c:v>10.210998385267095</c:v>
                </c:pt>
                <c:pt idx="57">
                  <c:v>66.826270262770365</c:v>
                </c:pt>
                <c:pt idx="58">
                  <c:v>56.446981606582973</c:v>
                </c:pt>
                <c:pt idx="59">
                  <c:v>148.9556448319936</c:v>
                </c:pt>
                <c:pt idx="60">
                  <c:v>98.664608878882234</c:v>
                </c:pt>
                <c:pt idx="61">
                  <c:v>76.893132516647682</c:v>
                </c:pt>
                <c:pt idx="62">
                  <c:v>35.164735861939342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91.595000016962672</c:v>
                </c:pt>
                <c:pt idx="82">
                  <c:v>71.646768050692671</c:v>
                </c:pt>
                <c:pt idx="83">
                  <c:v>82.933426449706616</c:v>
                </c:pt>
                <c:pt idx="84">
                  <c:v>0</c:v>
                </c:pt>
                <c:pt idx="85">
                  <c:v>36.661189712378864</c:v>
                </c:pt>
                <c:pt idx="86">
                  <c:v>57.835617956255788</c:v>
                </c:pt>
                <c:pt idx="87">
                  <c:v>63.956085523188158</c:v>
                </c:pt>
                <c:pt idx="88">
                  <c:v>218.18265601745483</c:v>
                </c:pt>
                <c:pt idx="89">
                  <c:v>218.18265601745483</c:v>
                </c:pt>
                <c:pt idx="90">
                  <c:v>218.18265601745483</c:v>
                </c:pt>
                <c:pt idx="91">
                  <c:v>218.18265601745483</c:v>
                </c:pt>
                <c:pt idx="92">
                  <c:v>218.18265601745483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21.633702087769962</c:v>
                </c:pt>
                <c:pt idx="112">
                  <c:v>60.631372320187602</c:v>
                </c:pt>
                <c:pt idx="113">
                  <c:v>0.52574301346880459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118.43179707793506</c:v>
                </c:pt>
                <c:pt idx="128">
                  <c:v>167.2470347410605</c:v>
                </c:pt>
                <c:pt idx="129">
                  <c:v>170.80688618360463</c:v>
                </c:pt>
                <c:pt idx="130">
                  <c:v>178.75977261211258</c:v>
                </c:pt>
                <c:pt idx="131">
                  <c:v>75.302303613397129</c:v>
                </c:pt>
                <c:pt idx="132">
                  <c:v>0</c:v>
                </c:pt>
                <c:pt idx="133">
                  <c:v>0</c:v>
                </c:pt>
                <c:pt idx="134">
                  <c:v>60.147321413416812</c:v>
                </c:pt>
                <c:pt idx="135">
                  <c:v>60.147321413416812</c:v>
                </c:pt>
                <c:pt idx="136">
                  <c:v>60.147321413416812</c:v>
                </c:pt>
                <c:pt idx="137">
                  <c:v>60.147321413416812</c:v>
                </c:pt>
                <c:pt idx="138">
                  <c:v>60.147321413416812</c:v>
                </c:pt>
                <c:pt idx="139">
                  <c:v>60.147321413416812</c:v>
                </c:pt>
                <c:pt idx="140">
                  <c:v>129.69831547952268</c:v>
                </c:pt>
                <c:pt idx="141">
                  <c:v>141.0756198358167</c:v>
                </c:pt>
                <c:pt idx="142">
                  <c:v>5.843804692421684</c:v>
                </c:pt>
                <c:pt idx="143">
                  <c:v>0</c:v>
                </c:pt>
                <c:pt idx="144">
                  <c:v>56.374960303633493</c:v>
                </c:pt>
                <c:pt idx="145">
                  <c:v>56.374960303633493</c:v>
                </c:pt>
                <c:pt idx="146">
                  <c:v>56.374960303633493</c:v>
                </c:pt>
                <c:pt idx="147">
                  <c:v>56.374960303633493</c:v>
                </c:pt>
                <c:pt idx="148">
                  <c:v>89.289559245675704</c:v>
                </c:pt>
                <c:pt idx="149">
                  <c:v>93.998682571177582</c:v>
                </c:pt>
                <c:pt idx="150">
                  <c:v>150.54584849361737</c:v>
                </c:pt>
                <c:pt idx="151">
                  <c:v>165.18500927594246</c:v>
                </c:pt>
                <c:pt idx="152">
                  <c:v>171.47421315404833</c:v>
                </c:pt>
                <c:pt idx="153">
                  <c:v>107.56200515017491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227.89472084970362</c:v>
                </c:pt>
                <c:pt idx="160">
                  <c:v>233.60948870224703</c:v>
                </c:pt>
                <c:pt idx="161">
                  <c:v>121.1515644898741</c:v>
                </c:pt>
                <c:pt idx="162">
                  <c:v>8.4044517252425504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23.452388852026875</c:v>
                </c:pt>
                <c:pt idx="167">
                  <c:v>18.47746453468795</c:v>
                </c:pt>
                <c:pt idx="168">
                  <c:v>75.302303613397129</c:v>
                </c:pt>
                <c:pt idx="169">
                  <c:v>0</c:v>
                </c:pt>
                <c:pt idx="170">
                  <c:v>71.62406685396077</c:v>
                </c:pt>
                <c:pt idx="171">
                  <c:v>71.62406685396077</c:v>
                </c:pt>
                <c:pt idx="172">
                  <c:v>71.62406685396077</c:v>
                </c:pt>
                <c:pt idx="173">
                  <c:v>71.62406685396077</c:v>
                </c:pt>
                <c:pt idx="174">
                  <c:v>71.62406685396077</c:v>
                </c:pt>
                <c:pt idx="175">
                  <c:v>71.62406685396077</c:v>
                </c:pt>
                <c:pt idx="176">
                  <c:v>71.62406685396077</c:v>
                </c:pt>
                <c:pt idx="177">
                  <c:v>71.62406685396077</c:v>
                </c:pt>
                <c:pt idx="178">
                  <c:v>71.62406685396077</c:v>
                </c:pt>
                <c:pt idx="179">
                  <c:v>71.62406685396077</c:v>
                </c:pt>
                <c:pt idx="180">
                  <c:v>10.897754382166418</c:v>
                </c:pt>
                <c:pt idx="181">
                  <c:v>49.766665303524825</c:v>
                </c:pt>
                <c:pt idx="182">
                  <c:v>55.974378260029106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-0.88934530125156508</c:v>
                </c:pt>
                <c:pt idx="221">
                  <c:v>0</c:v>
                </c:pt>
                <c:pt idx="222">
                  <c:v>71.338583913753013</c:v>
                </c:pt>
                <c:pt idx="223">
                  <c:v>108.07138513645062</c:v>
                </c:pt>
                <c:pt idx="224">
                  <c:v>136.30818899266717</c:v>
                </c:pt>
                <c:pt idx="225">
                  <c:v>165.2577701310004</c:v>
                </c:pt>
                <c:pt idx="226">
                  <c:v>-1.734413040139086</c:v>
                </c:pt>
                <c:pt idx="227">
                  <c:v>46.603376268057161</c:v>
                </c:pt>
                <c:pt idx="228">
                  <c:v>170.38680141819654</c:v>
                </c:pt>
                <c:pt idx="229">
                  <c:v>170.38680141819654</c:v>
                </c:pt>
                <c:pt idx="230">
                  <c:v>170.38680141819654</c:v>
                </c:pt>
                <c:pt idx="231">
                  <c:v>170.38680141819654</c:v>
                </c:pt>
                <c:pt idx="232">
                  <c:v>170.38680141819654</c:v>
                </c:pt>
                <c:pt idx="233">
                  <c:v>26.110530669486423</c:v>
                </c:pt>
                <c:pt idx="234">
                  <c:v>28.448709087029965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7">
                  <c:v>233.60948870224703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43C-4D35-97C8-787D8C98C07D}"/>
            </c:ext>
          </c:extLst>
        </c:ser>
        <c:ser>
          <c:idx val="1"/>
          <c:order val="1"/>
          <c:tx>
            <c:v>Charging Current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'2-Simulaation'!$A$2:$A$278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</c:numCache>
            </c:numRef>
          </c:xVal>
          <c:yVal>
            <c:numRef>
              <c:f>'2-Simulaation'!$P$2:$P$278</c:f>
              <c:numCache>
                <c:formatCode>0.0000</c:formatCode>
                <c:ptCount val="277"/>
                <c:pt idx="0">
                  <c:v>44.014084507042256</c:v>
                </c:pt>
                <c:pt idx="1">
                  <c:v>0</c:v>
                </c:pt>
                <c:pt idx="2">
                  <c:v>12.957755322734521</c:v>
                </c:pt>
                <c:pt idx="3">
                  <c:v>10.377754438976494</c:v>
                </c:pt>
                <c:pt idx="4">
                  <c:v>0</c:v>
                </c:pt>
                <c:pt idx="5">
                  <c:v>32.685397085811566</c:v>
                </c:pt>
                <c:pt idx="6">
                  <c:v>4.3942103127514844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9.547478562077373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80.071585400654953</c:v>
                </c:pt>
                <c:pt idx="21">
                  <c:v>78.205876335127982</c:v>
                </c:pt>
                <c:pt idx="22">
                  <c:v>76.182428000136682</c:v>
                </c:pt>
                <c:pt idx="23">
                  <c:v>74.013374185640316</c:v>
                </c:pt>
                <c:pt idx="24">
                  <c:v>71.937701576083796</c:v>
                </c:pt>
                <c:pt idx="25">
                  <c:v>34.820189305214633</c:v>
                </c:pt>
                <c:pt idx="26">
                  <c:v>66.439001188795643</c:v>
                </c:pt>
                <c:pt idx="27">
                  <c:v>53.813230077495227</c:v>
                </c:pt>
                <c:pt idx="28">
                  <c:v>53.37028143936795</c:v>
                </c:pt>
                <c:pt idx="29">
                  <c:v>52.903065221323175</c:v>
                </c:pt>
                <c:pt idx="30">
                  <c:v>52.413098147105714</c:v>
                </c:pt>
                <c:pt idx="31">
                  <c:v>31.412942980273041</c:v>
                </c:pt>
                <c:pt idx="32">
                  <c:v>31.412942980273041</c:v>
                </c:pt>
                <c:pt idx="33">
                  <c:v>31.412942980273041</c:v>
                </c:pt>
                <c:pt idx="34">
                  <c:v>31.412942980273041</c:v>
                </c:pt>
                <c:pt idx="35">
                  <c:v>31.412942980273041</c:v>
                </c:pt>
                <c:pt idx="36">
                  <c:v>31.412942980273041</c:v>
                </c:pt>
                <c:pt idx="37">
                  <c:v>31.412942980273041</c:v>
                </c:pt>
                <c:pt idx="38">
                  <c:v>31.412942980273041</c:v>
                </c:pt>
                <c:pt idx="39">
                  <c:v>31.412942980273041</c:v>
                </c:pt>
                <c:pt idx="40">
                  <c:v>31.412942980273041</c:v>
                </c:pt>
                <c:pt idx="41">
                  <c:v>31.412942980273041</c:v>
                </c:pt>
                <c:pt idx="42">
                  <c:v>31.412942980273041</c:v>
                </c:pt>
                <c:pt idx="43">
                  <c:v>31.412942980273041</c:v>
                </c:pt>
                <c:pt idx="44">
                  <c:v>31.412942980273041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9.547478562077373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46.587722118903656</c:v>
                </c:pt>
                <c:pt idx="64">
                  <c:v>46.569007640901468</c:v>
                </c:pt>
                <c:pt idx="65">
                  <c:v>46.544415858387957</c:v>
                </c:pt>
                <c:pt idx="66">
                  <c:v>30.11359143189971</c:v>
                </c:pt>
                <c:pt idx="67">
                  <c:v>30.11359143189971</c:v>
                </c:pt>
                <c:pt idx="68">
                  <c:v>30.11359143189971</c:v>
                </c:pt>
                <c:pt idx="69">
                  <c:v>30.11359143189971</c:v>
                </c:pt>
                <c:pt idx="70">
                  <c:v>30.11359143189971</c:v>
                </c:pt>
                <c:pt idx="71">
                  <c:v>30.11359143189971</c:v>
                </c:pt>
                <c:pt idx="72">
                  <c:v>30.11359143189971</c:v>
                </c:pt>
                <c:pt idx="73">
                  <c:v>30.11359143189971</c:v>
                </c:pt>
                <c:pt idx="74">
                  <c:v>30.11359143189971</c:v>
                </c:pt>
                <c:pt idx="75">
                  <c:v>30.11359143189971</c:v>
                </c:pt>
                <c:pt idx="76">
                  <c:v>30.11359143189971</c:v>
                </c:pt>
                <c:pt idx="77">
                  <c:v>30.11359143189971</c:v>
                </c:pt>
                <c:pt idx="78">
                  <c:v>30.11359143189971</c:v>
                </c:pt>
                <c:pt idx="79">
                  <c:v>30.11359143189971</c:v>
                </c:pt>
                <c:pt idx="80">
                  <c:v>30.11359143189971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9.547478562077373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55.486105146330999</c:v>
                </c:pt>
                <c:pt idx="94">
                  <c:v>55.192916586326483</c:v>
                </c:pt>
                <c:pt idx="95">
                  <c:v>54.981303274923206</c:v>
                </c:pt>
                <c:pt idx="96">
                  <c:v>34.820189305214633</c:v>
                </c:pt>
                <c:pt idx="97">
                  <c:v>51.398542041797114</c:v>
                </c:pt>
                <c:pt idx="98">
                  <c:v>54.23039441196007</c:v>
                </c:pt>
                <c:pt idx="99">
                  <c:v>60.589398300384104</c:v>
                </c:pt>
                <c:pt idx="100">
                  <c:v>59.261714584258449</c:v>
                </c:pt>
                <c:pt idx="101">
                  <c:v>46.514136361831213</c:v>
                </c:pt>
                <c:pt idx="102">
                  <c:v>30.773248956355051</c:v>
                </c:pt>
                <c:pt idx="103">
                  <c:v>30.773248956355051</c:v>
                </c:pt>
                <c:pt idx="104">
                  <c:v>30.773248956355051</c:v>
                </c:pt>
                <c:pt idx="105">
                  <c:v>30.773248956355051</c:v>
                </c:pt>
                <c:pt idx="106">
                  <c:v>30.773248956355051</c:v>
                </c:pt>
                <c:pt idx="107">
                  <c:v>30.773248956355051</c:v>
                </c:pt>
                <c:pt idx="108">
                  <c:v>30.773248956355051</c:v>
                </c:pt>
                <c:pt idx="109">
                  <c:v>30.773248956355051</c:v>
                </c:pt>
                <c:pt idx="110">
                  <c:v>30.773248956355051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26.4917574216039</c:v>
                </c:pt>
                <c:pt idx="115">
                  <c:v>26.4917574216039</c:v>
                </c:pt>
                <c:pt idx="116">
                  <c:v>26.4917574216039</c:v>
                </c:pt>
                <c:pt idx="117">
                  <c:v>26.4917574216039</c:v>
                </c:pt>
                <c:pt idx="118">
                  <c:v>60.152840759832237</c:v>
                </c:pt>
                <c:pt idx="119">
                  <c:v>52.903065221323175</c:v>
                </c:pt>
                <c:pt idx="120">
                  <c:v>30.11359143189971</c:v>
                </c:pt>
                <c:pt idx="121">
                  <c:v>30.11359143189971</c:v>
                </c:pt>
                <c:pt idx="122">
                  <c:v>30.11359143189971</c:v>
                </c:pt>
                <c:pt idx="123">
                  <c:v>30.11359143189971</c:v>
                </c:pt>
                <c:pt idx="124">
                  <c:v>30.11359143189971</c:v>
                </c:pt>
                <c:pt idx="125">
                  <c:v>30.11359143189971</c:v>
                </c:pt>
                <c:pt idx="126">
                  <c:v>30.11359143189971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35.932798738660466</c:v>
                </c:pt>
                <c:pt idx="133">
                  <c:v>45.023778892507373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23.932114137776686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68.745299515490004</c:v>
                </c:pt>
                <c:pt idx="155">
                  <c:v>47.345710690817448</c:v>
                </c:pt>
                <c:pt idx="156">
                  <c:v>47.02872781755503</c:v>
                </c:pt>
                <c:pt idx="157">
                  <c:v>46.560072569807801</c:v>
                </c:pt>
                <c:pt idx="158">
                  <c:v>45.927611157617548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38.877746666320753</c:v>
                </c:pt>
                <c:pt idx="164">
                  <c:v>41.475718601955741</c:v>
                </c:pt>
                <c:pt idx="165">
                  <c:v>43.545001971636758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49.347197471345417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14.265816608973557</c:v>
                </c:pt>
                <c:pt idx="184">
                  <c:v>52.526690464724481</c:v>
                </c:pt>
                <c:pt idx="185">
                  <c:v>52.247014907892961</c:v>
                </c:pt>
                <c:pt idx="186">
                  <c:v>54.724175269801876</c:v>
                </c:pt>
                <c:pt idx="187">
                  <c:v>54.112491356666688</c:v>
                </c:pt>
                <c:pt idx="188">
                  <c:v>60.151849010333628</c:v>
                </c:pt>
                <c:pt idx="189">
                  <c:v>54.424473465871763</c:v>
                </c:pt>
                <c:pt idx="190">
                  <c:v>53.340201398635514</c:v>
                </c:pt>
                <c:pt idx="191">
                  <c:v>49.252753507376269</c:v>
                </c:pt>
                <c:pt idx="192">
                  <c:v>38.275395760697577</c:v>
                </c:pt>
                <c:pt idx="193">
                  <c:v>50.713656830732077</c:v>
                </c:pt>
                <c:pt idx="194">
                  <c:v>33.92811971056927</c:v>
                </c:pt>
                <c:pt idx="195">
                  <c:v>33.92811971056927</c:v>
                </c:pt>
                <c:pt idx="196">
                  <c:v>33.92811971056927</c:v>
                </c:pt>
                <c:pt idx="197">
                  <c:v>33.92811971056927</c:v>
                </c:pt>
                <c:pt idx="198">
                  <c:v>33.92811971056927</c:v>
                </c:pt>
                <c:pt idx="199">
                  <c:v>33.92811971056927</c:v>
                </c:pt>
                <c:pt idx="200">
                  <c:v>33.92811971056927</c:v>
                </c:pt>
                <c:pt idx="201">
                  <c:v>33.92811971056927</c:v>
                </c:pt>
                <c:pt idx="202">
                  <c:v>33.92811971056927</c:v>
                </c:pt>
                <c:pt idx="203">
                  <c:v>33.92811971056927</c:v>
                </c:pt>
                <c:pt idx="204">
                  <c:v>33.92811971056927</c:v>
                </c:pt>
                <c:pt idx="205">
                  <c:v>33.92811971056927</c:v>
                </c:pt>
                <c:pt idx="206">
                  <c:v>2.9997026408112859</c:v>
                </c:pt>
                <c:pt idx="207">
                  <c:v>16.322548124264845</c:v>
                </c:pt>
                <c:pt idx="208">
                  <c:v>31.893536839021458</c:v>
                </c:pt>
                <c:pt idx="209">
                  <c:v>31.893536839021458</c:v>
                </c:pt>
                <c:pt idx="210">
                  <c:v>48.772113234070993</c:v>
                </c:pt>
                <c:pt idx="211">
                  <c:v>48.277822447062093</c:v>
                </c:pt>
                <c:pt idx="212">
                  <c:v>34.581990655602915</c:v>
                </c:pt>
                <c:pt idx="213">
                  <c:v>34.581990655602915</c:v>
                </c:pt>
                <c:pt idx="214">
                  <c:v>34.581990655602915</c:v>
                </c:pt>
                <c:pt idx="215">
                  <c:v>34.581990655602915</c:v>
                </c:pt>
                <c:pt idx="216">
                  <c:v>34.581990655602915</c:v>
                </c:pt>
                <c:pt idx="217">
                  <c:v>34.581990655602915</c:v>
                </c:pt>
                <c:pt idx="218">
                  <c:v>34.581990655602915</c:v>
                </c:pt>
                <c:pt idx="219">
                  <c:v>5.2347663372794733</c:v>
                </c:pt>
                <c:pt idx="220">
                  <c:v>0</c:v>
                </c:pt>
                <c:pt idx="221">
                  <c:v>25.333355598680139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61.407457507100105</c:v>
                </c:pt>
                <c:pt idx="236">
                  <c:v>47.693704636655418</c:v>
                </c:pt>
                <c:pt idx="237">
                  <c:v>64.455621684728527</c:v>
                </c:pt>
                <c:pt idx="238">
                  <c:v>65.172396076681267</c:v>
                </c:pt>
                <c:pt idx="239">
                  <c:v>62.739948454754909</c:v>
                </c:pt>
                <c:pt idx="240">
                  <c:v>60.222564303117082</c:v>
                </c:pt>
                <c:pt idx="241">
                  <c:v>57.829527904186556</c:v>
                </c:pt>
                <c:pt idx="242">
                  <c:v>35.115880882330913</c:v>
                </c:pt>
                <c:pt idx="243">
                  <c:v>51.442682654460931</c:v>
                </c:pt>
                <c:pt idx="244">
                  <c:v>33.92811971056927</c:v>
                </c:pt>
                <c:pt idx="245">
                  <c:v>33.92811971056927</c:v>
                </c:pt>
                <c:pt idx="246">
                  <c:v>33.92811971056927</c:v>
                </c:pt>
                <c:pt idx="247">
                  <c:v>33.92811971056927</c:v>
                </c:pt>
                <c:pt idx="248">
                  <c:v>33.92811971056927</c:v>
                </c:pt>
                <c:pt idx="249">
                  <c:v>33.92811971056927</c:v>
                </c:pt>
                <c:pt idx="250">
                  <c:v>33.92811971056927</c:v>
                </c:pt>
                <c:pt idx="251">
                  <c:v>33.92811971056927</c:v>
                </c:pt>
                <c:pt idx="252">
                  <c:v>33.92811971056927</c:v>
                </c:pt>
                <c:pt idx="253">
                  <c:v>19.248656180560417</c:v>
                </c:pt>
                <c:pt idx="254">
                  <c:v>17.792141919830133</c:v>
                </c:pt>
                <c:pt idx="255">
                  <c:v>48.52657935954543</c:v>
                </c:pt>
                <c:pt idx="256">
                  <c:v>33.92811971056927</c:v>
                </c:pt>
                <c:pt idx="257">
                  <c:v>33.92811971056927</c:v>
                </c:pt>
                <c:pt idx="258">
                  <c:v>33.92811971056927</c:v>
                </c:pt>
                <c:pt idx="259">
                  <c:v>33.92811971056927</c:v>
                </c:pt>
                <c:pt idx="260">
                  <c:v>33.92811971056927</c:v>
                </c:pt>
                <c:pt idx="261">
                  <c:v>33.92811971056927</c:v>
                </c:pt>
                <c:pt idx="262">
                  <c:v>33.92811971056927</c:v>
                </c:pt>
                <c:pt idx="263">
                  <c:v>2.9997026408112859</c:v>
                </c:pt>
                <c:pt idx="264">
                  <c:v>16.322548124264845</c:v>
                </c:pt>
                <c:pt idx="265">
                  <c:v>25.333355598680139</c:v>
                </c:pt>
                <c:pt idx="266">
                  <c:v>55.313981860877391</c:v>
                </c:pt>
                <c:pt idx="267">
                  <c:v>38.774515630148187</c:v>
                </c:pt>
                <c:pt idx="268">
                  <c:v>36.090971603847088</c:v>
                </c:pt>
                <c:pt idx="269">
                  <c:v>58.161696174266538</c:v>
                </c:pt>
                <c:pt idx="270">
                  <c:v>118.13578190554743</c:v>
                </c:pt>
                <c:pt idx="271">
                  <c:v>65.172396076681267</c:v>
                </c:pt>
                <c:pt idx="272">
                  <c:v>62.739948454754909</c:v>
                </c:pt>
                <c:pt idx="273">
                  <c:v>60.222564303117082</c:v>
                </c:pt>
                <c:pt idx="274">
                  <c:v>57.829527904186556</c:v>
                </c:pt>
                <c:pt idx="275">
                  <c:v>38.275395760697577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43C-4D35-97C8-787D8C98C0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447808"/>
        <c:axId val="107449728"/>
      </c:scatterChart>
      <c:valAx>
        <c:axId val="107447808"/>
        <c:scaling>
          <c:orientation val="minMax"/>
          <c:max val="2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Bookman Old Style" panose="02050604050505020204" pitchFamily="18" charset="0"/>
                    <a:ea typeface="+mn-ea"/>
                    <a:cs typeface="+mn-cs"/>
                  </a:defRPr>
                </a:pPr>
                <a:r>
                  <a:rPr lang="en-US" sz="1100">
                    <a:solidFill>
                      <a:sysClr val="windowText" lastClr="000000"/>
                    </a:solidFill>
                    <a:latin typeface="Bookman Old Style" panose="02050604050505020204" pitchFamily="18" charset="0"/>
                  </a:rPr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Bookman Old Style" panose="02050604050505020204" pitchFamily="18" charset="0"/>
                <a:ea typeface="+mn-ea"/>
                <a:cs typeface="+mn-cs"/>
              </a:defRPr>
            </a:pPr>
            <a:endParaRPr lang="en-US"/>
          </a:p>
        </c:txPr>
        <c:crossAx val="107449728"/>
        <c:crosses val="autoZero"/>
        <c:crossBetween val="midCat"/>
        <c:majorUnit val="10"/>
      </c:valAx>
      <c:valAx>
        <c:axId val="107449728"/>
        <c:scaling>
          <c:orientation val="minMax"/>
          <c:max val="3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Bookman Old Style" panose="02050604050505020204" pitchFamily="18" charset="0"/>
                    <a:ea typeface="+mn-ea"/>
                    <a:cs typeface="+mn-cs"/>
                  </a:defRPr>
                </a:pPr>
                <a:r>
                  <a:rPr lang="en-US" sz="1100">
                    <a:solidFill>
                      <a:sysClr val="windowText" lastClr="000000"/>
                    </a:solidFill>
                    <a:latin typeface="Bookman Old Style" panose="02050604050505020204" pitchFamily="18" charset="0"/>
                  </a:rPr>
                  <a:t>Current (Amp)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ysClr val="windowText" lastClr="000000"/>
                </a:solidFill>
                <a:latin typeface="Bookman Old Style" panose="02050604050505020204" pitchFamily="18" charset="0"/>
                <a:ea typeface="+mn-ea"/>
                <a:cs typeface="+mn-cs"/>
              </a:defRPr>
            </a:pPr>
            <a:endParaRPr lang="en-US"/>
          </a:p>
        </c:txPr>
        <c:crossAx val="107447808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ysClr val="windowText" lastClr="000000"/>
              </a:solidFill>
              <a:latin typeface="Bookman Old Style" panose="02050604050505020204" pitchFamily="18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sz="1400" b="0">
              <a:solidFill>
                <a:sysClr val="windowText" lastClr="000000"/>
              </a:solidFill>
              <a:latin typeface="Bookman Old Style" pitchFamily="18" charset="0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Current flows in Motor</c:v>
          </c:tx>
          <c:spPr>
            <a:ln w="19050"/>
          </c:spPr>
          <c:marker>
            <c:symbol val="none"/>
          </c:marker>
          <c:xVal>
            <c:numRef>
              <c:f>'2-Simulaation'!$A$2:$A$278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</c:numCache>
            </c:numRef>
          </c:xVal>
          <c:yVal>
            <c:numRef>
              <c:f>'2-Simulaation'!$I$2:$I$278</c:f>
              <c:numCache>
                <c:formatCode>0.0000</c:formatCode>
                <c:ptCount val="277"/>
                <c:pt idx="0">
                  <c:v>0</c:v>
                </c:pt>
                <c:pt idx="1">
                  <c:v>106.44481772640756</c:v>
                </c:pt>
                <c:pt idx="2">
                  <c:v>31.347741073153816</c:v>
                </c:pt>
                <c:pt idx="3">
                  <c:v>33.951950965204439</c:v>
                </c:pt>
                <c:pt idx="4">
                  <c:v>71.064243284333614</c:v>
                </c:pt>
                <c:pt idx="5">
                  <c:v>11.43498827153323</c:v>
                </c:pt>
                <c:pt idx="6">
                  <c:v>39.991640680480536</c:v>
                </c:pt>
                <c:pt idx="7">
                  <c:v>47.611700726446884</c:v>
                </c:pt>
                <c:pt idx="8">
                  <c:v>99.723533286304814</c:v>
                </c:pt>
                <c:pt idx="9">
                  <c:v>114.85916803886944</c:v>
                </c:pt>
                <c:pt idx="10">
                  <c:v>130.35056907610007</c:v>
                </c:pt>
                <c:pt idx="11">
                  <c:v>146.24220718357915</c:v>
                </c:pt>
                <c:pt idx="12">
                  <c:v>34.790017597415137</c:v>
                </c:pt>
                <c:pt idx="13">
                  <c:v>148.08336232455704</c:v>
                </c:pt>
                <c:pt idx="14">
                  <c:v>98.981624284612835</c:v>
                </c:pt>
                <c:pt idx="15">
                  <c:v>144.86391743197868</c:v>
                </c:pt>
                <c:pt idx="16">
                  <c:v>155.55782878755056</c:v>
                </c:pt>
                <c:pt idx="17">
                  <c:v>213.53655216839516</c:v>
                </c:pt>
                <c:pt idx="18">
                  <c:v>133.18566065868461</c:v>
                </c:pt>
                <c:pt idx="19">
                  <c:v>139.41812986529658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9.2801645851381007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12.719382238095394</c:v>
                </c:pt>
                <c:pt idx="32">
                  <c:v>12.719382238095394</c:v>
                </c:pt>
                <c:pt idx="33">
                  <c:v>12.719382238095394</c:v>
                </c:pt>
                <c:pt idx="34">
                  <c:v>12.719382238095394</c:v>
                </c:pt>
                <c:pt idx="35">
                  <c:v>12.719382238095394</c:v>
                </c:pt>
                <c:pt idx="36">
                  <c:v>12.719382238095394</c:v>
                </c:pt>
                <c:pt idx="37">
                  <c:v>12.719382238095394</c:v>
                </c:pt>
                <c:pt idx="38">
                  <c:v>12.719382238095394</c:v>
                </c:pt>
                <c:pt idx="39">
                  <c:v>12.719382238095394</c:v>
                </c:pt>
                <c:pt idx="40">
                  <c:v>12.719382238095394</c:v>
                </c:pt>
                <c:pt idx="41">
                  <c:v>12.719382238095394</c:v>
                </c:pt>
                <c:pt idx="42">
                  <c:v>12.719382238095394</c:v>
                </c:pt>
                <c:pt idx="43">
                  <c:v>12.719382238095394</c:v>
                </c:pt>
                <c:pt idx="44">
                  <c:v>12.719382238095394</c:v>
                </c:pt>
                <c:pt idx="45">
                  <c:v>60.640292668133519</c:v>
                </c:pt>
                <c:pt idx="46">
                  <c:v>93.061776420794786</c:v>
                </c:pt>
                <c:pt idx="47">
                  <c:v>102.38494909631841</c:v>
                </c:pt>
                <c:pt idx="48">
                  <c:v>146.24220718357915</c:v>
                </c:pt>
                <c:pt idx="49">
                  <c:v>34.790017597415137</c:v>
                </c:pt>
                <c:pt idx="50">
                  <c:v>111.1046544606844</c:v>
                </c:pt>
                <c:pt idx="51">
                  <c:v>96.355610606759001</c:v>
                </c:pt>
                <c:pt idx="52">
                  <c:v>141.36830267857863</c:v>
                </c:pt>
                <c:pt idx="53">
                  <c:v>195.68240034260648</c:v>
                </c:pt>
                <c:pt idx="54">
                  <c:v>77.401408595717612</c:v>
                </c:pt>
                <c:pt idx="55">
                  <c:v>146.95214811634409</c:v>
                </c:pt>
                <c:pt idx="56">
                  <c:v>53.13706495596616</c:v>
                </c:pt>
                <c:pt idx="57">
                  <c:v>101.42989186747646</c:v>
                </c:pt>
                <c:pt idx="58">
                  <c:v>92.57635864374862</c:v>
                </c:pt>
                <c:pt idx="59">
                  <c:v>171.48624837502385</c:v>
                </c:pt>
                <c:pt idx="60">
                  <c:v>128.58799470701987</c:v>
                </c:pt>
                <c:pt idx="61">
                  <c:v>110.0169253700338</c:v>
                </c:pt>
                <c:pt idx="62">
                  <c:v>74.422603023567589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14.030926035164299</c:v>
                </c:pt>
                <c:pt idx="67">
                  <c:v>14.030926035164299</c:v>
                </c:pt>
                <c:pt idx="68">
                  <c:v>14.030926035164299</c:v>
                </c:pt>
                <c:pt idx="69">
                  <c:v>14.030926035164299</c:v>
                </c:pt>
                <c:pt idx="70">
                  <c:v>14.030926035164299</c:v>
                </c:pt>
                <c:pt idx="71">
                  <c:v>14.030926035164299</c:v>
                </c:pt>
                <c:pt idx="72">
                  <c:v>14.030926035164299</c:v>
                </c:pt>
                <c:pt idx="73">
                  <c:v>14.030926035164299</c:v>
                </c:pt>
                <c:pt idx="74">
                  <c:v>14.030926035164299</c:v>
                </c:pt>
                <c:pt idx="75">
                  <c:v>14.030926035164299</c:v>
                </c:pt>
                <c:pt idx="76">
                  <c:v>14.030926035164299</c:v>
                </c:pt>
                <c:pt idx="77">
                  <c:v>14.030926035164299</c:v>
                </c:pt>
                <c:pt idx="78">
                  <c:v>14.030926035164299</c:v>
                </c:pt>
                <c:pt idx="79">
                  <c:v>14.030926035164299</c:v>
                </c:pt>
                <c:pt idx="80">
                  <c:v>14.030926035164299</c:v>
                </c:pt>
                <c:pt idx="81">
                  <c:v>122.55761834780249</c:v>
                </c:pt>
                <c:pt idx="82">
                  <c:v>105.54177648057417</c:v>
                </c:pt>
                <c:pt idx="83">
                  <c:v>115.16929609493307</c:v>
                </c:pt>
                <c:pt idx="84">
                  <c:v>34.790017597415137</c:v>
                </c:pt>
                <c:pt idx="85">
                  <c:v>75.699078157992489</c:v>
                </c:pt>
                <c:pt idx="86">
                  <c:v>93.760865450019523</c:v>
                </c:pt>
                <c:pt idx="87">
                  <c:v>98.981624284612835</c:v>
                </c:pt>
                <c:pt idx="88">
                  <c:v>230.5368889162223</c:v>
                </c:pt>
                <c:pt idx="89">
                  <c:v>230.5368889162223</c:v>
                </c:pt>
                <c:pt idx="90">
                  <c:v>230.5368889162223</c:v>
                </c:pt>
                <c:pt idx="91">
                  <c:v>230.5368889162223</c:v>
                </c:pt>
                <c:pt idx="92">
                  <c:v>230.5368889162223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9.2801645851381007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13.365078724271152</c:v>
                </c:pt>
                <c:pt idx="103">
                  <c:v>13.365078724271152</c:v>
                </c:pt>
                <c:pt idx="104">
                  <c:v>13.365078724271152</c:v>
                </c:pt>
                <c:pt idx="105">
                  <c:v>13.365078724271152</c:v>
                </c:pt>
                <c:pt idx="106">
                  <c:v>13.365078724271152</c:v>
                </c:pt>
                <c:pt idx="107">
                  <c:v>13.365078724271152</c:v>
                </c:pt>
                <c:pt idx="108">
                  <c:v>13.365078724271152</c:v>
                </c:pt>
                <c:pt idx="109">
                  <c:v>13.365078724271152</c:v>
                </c:pt>
                <c:pt idx="110">
                  <c:v>13.365078724271152</c:v>
                </c:pt>
                <c:pt idx="111">
                  <c:v>62.880631214201117</c:v>
                </c:pt>
                <c:pt idx="112">
                  <c:v>96.14564392245336</c:v>
                </c:pt>
                <c:pt idx="113">
                  <c:v>44.875542123822221</c:v>
                </c:pt>
                <c:pt idx="114">
                  <c:v>17.686744921256714</c:v>
                </c:pt>
                <c:pt idx="115">
                  <c:v>17.686744921256714</c:v>
                </c:pt>
                <c:pt idx="116">
                  <c:v>17.686744921256714</c:v>
                </c:pt>
                <c:pt idx="117">
                  <c:v>17.686744921256714</c:v>
                </c:pt>
                <c:pt idx="118">
                  <c:v>0</c:v>
                </c:pt>
                <c:pt idx="119">
                  <c:v>0</c:v>
                </c:pt>
                <c:pt idx="120">
                  <c:v>14.030926035164299</c:v>
                </c:pt>
                <c:pt idx="121">
                  <c:v>14.030926035164299</c:v>
                </c:pt>
                <c:pt idx="122">
                  <c:v>14.030926035164299</c:v>
                </c:pt>
                <c:pt idx="123">
                  <c:v>14.030926035164299</c:v>
                </c:pt>
                <c:pt idx="124">
                  <c:v>14.030926035164299</c:v>
                </c:pt>
                <c:pt idx="125">
                  <c:v>14.030926035164299</c:v>
                </c:pt>
                <c:pt idx="126">
                  <c:v>14.030926035164299</c:v>
                </c:pt>
                <c:pt idx="127">
                  <c:v>145.44940624081192</c:v>
                </c:pt>
                <c:pt idx="128">
                  <c:v>187.08880396745792</c:v>
                </c:pt>
                <c:pt idx="129">
                  <c:v>190.12535724794807</c:v>
                </c:pt>
                <c:pt idx="130">
                  <c:v>196.90916937146537</c:v>
                </c:pt>
                <c:pt idx="131">
                  <c:v>108.6599483155611</c:v>
                </c:pt>
                <c:pt idx="132">
                  <c:v>8.1571151665084454</c:v>
                </c:pt>
                <c:pt idx="133">
                  <c:v>0</c:v>
                </c:pt>
                <c:pt idx="134">
                  <c:v>95.73274849897787</c:v>
                </c:pt>
                <c:pt idx="135">
                  <c:v>95.73274849897787</c:v>
                </c:pt>
                <c:pt idx="136">
                  <c:v>95.73274849897787</c:v>
                </c:pt>
                <c:pt idx="137">
                  <c:v>95.73274849897787</c:v>
                </c:pt>
                <c:pt idx="138">
                  <c:v>95.73274849897787</c:v>
                </c:pt>
                <c:pt idx="139">
                  <c:v>95.73274849897787</c:v>
                </c:pt>
                <c:pt idx="140">
                  <c:v>155.05974643736616</c:v>
                </c:pt>
                <c:pt idx="141">
                  <c:v>164.76458705328497</c:v>
                </c:pt>
                <c:pt idx="142">
                  <c:v>49.411848735969023</c:v>
                </c:pt>
                <c:pt idx="143">
                  <c:v>20.27040619123051</c:v>
                </c:pt>
                <c:pt idx="144">
                  <c:v>92.514924472332709</c:v>
                </c:pt>
                <c:pt idx="145">
                  <c:v>92.514924472332709</c:v>
                </c:pt>
                <c:pt idx="146">
                  <c:v>92.514924472332709</c:v>
                </c:pt>
                <c:pt idx="147">
                  <c:v>92.514924472332709</c:v>
                </c:pt>
                <c:pt idx="148">
                  <c:v>120.59107736989471</c:v>
                </c:pt>
                <c:pt idx="149">
                  <c:v>124.60795956654782</c:v>
                </c:pt>
                <c:pt idx="150">
                  <c:v>172.84269209838894</c:v>
                </c:pt>
                <c:pt idx="151">
                  <c:v>185.32989624571223</c:v>
                </c:pt>
                <c:pt idx="152">
                  <c:v>190.69458715373653</c:v>
                </c:pt>
                <c:pt idx="153">
                  <c:v>136.17747372643251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238.82128021813051</c:v>
                </c:pt>
                <c:pt idx="160">
                  <c:v>243.69597719635007</c:v>
                </c:pt>
                <c:pt idx="161">
                  <c:v>147.76936784319597</c:v>
                </c:pt>
                <c:pt idx="162">
                  <c:v>51.596080654965228</c:v>
                </c:pt>
                <c:pt idx="163">
                  <c:v>5.1845338107936056</c:v>
                </c:pt>
                <c:pt idx="164">
                  <c:v>2.5621842384959099</c:v>
                </c:pt>
                <c:pt idx="165">
                  <c:v>0.47348409319604928</c:v>
                </c:pt>
                <c:pt idx="166">
                  <c:v>64.431971024112258</c:v>
                </c:pt>
                <c:pt idx="167">
                  <c:v>60.18836058142216</c:v>
                </c:pt>
                <c:pt idx="168">
                  <c:v>108.6599483155611</c:v>
                </c:pt>
                <c:pt idx="169">
                  <c:v>0</c:v>
                </c:pt>
                <c:pt idx="170">
                  <c:v>105.52241235976187</c:v>
                </c:pt>
                <c:pt idx="171">
                  <c:v>105.52241235976187</c:v>
                </c:pt>
                <c:pt idx="172">
                  <c:v>105.52241235976187</c:v>
                </c:pt>
                <c:pt idx="173">
                  <c:v>105.52241235976187</c:v>
                </c:pt>
                <c:pt idx="174">
                  <c:v>105.52241235976187</c:v>
                </c:pt>
                <c:pt idx="175">
                  <c:v>105.52241235976187</c:v>
                </c:pt>
                <c:pt idx="176">
                  <c:v>105.52241235976187</c:v>
                </c:pt>
                <c:pt idx="177">
                  <c:v>105.52241235976187</c:v>
                </c:pt>
                <c:pt idx="178">
                  <c:v>105.52241235976187</c:v>
                </c:pt>
                <c:pt idx="179">
                  <c:v>105.52241235976187</c:v>
                </c:pt>
                <c:pt idx="180">
                  <c:v>53.72286782132128</c:v>
                </c:pt>
                <c:pt idx="181">
                  <c:v>86.878048837240001</c:v>
                </c:pt>
                <c:pt idx="182">
                  <c:v>92.173227989138141</c:v>
                </c:pt>
                <c:pt idx="183">
                  <c:v>30.027405811845572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5.7925367757478732</c:v>
                </c:pt>
                <c:pt idx="193">
                  <c:v>0</c:v>
                </c:pt>
                <c:pt idx="194">
                  <c:v>10.180604766146558</c:v>
                </c:pt>
                <c:pt idx="195">
                  <c:v>10.180604766146558</c:v>
                </c:pt>
                <c:pt idx="196">
                  <c:v>10.180604766146558</c:v>
                </c:pt>
                <c:pt idx="197">
                  <c:v>10.180604766146558</c:v>
                </c:pt>
                <c:pt idx="198">
                  <c:v>10.180604766146558</c:v>
                </c:pt>
                <c:pt idx="199">
                  <c:v>10.180604766146558</c:v>
                </c:pt>
                <c:pt idx="200">
                  <c:v>10.180604766146558</c:v>
                </c:pt>
                <c:pt idx="201">
                  <c:v>10.180604766146558</c:v>
                </c:pt>
                <c:pt idx="202">
                  <c:v>10.180604766146558</c:v>
                </c:pt>
                <c:pt idx="203">
                  <c:v>10.180604766146558</c:v>
                </c:pt>
                <c:pt idx="204">
                  <c:v>10.180604766146558</c:v>
                </c:pt>
                <c:pt idx="205">
                  <c:v>10.180604766146558</c:v>
                </c:pt>
                <c:pt idx="206">
                  <c:v>41.399233482742432</c:v>
                </c:pt>
                <c:pt idx="207">
                  <c:v>27.951375299169133</c:v>
                </c:pt>
                <c:pt idx="208">
                  <c:v>12.234278806972393</c:v>
                </c:pt>
                <c:pt idx="209">
                  <c:v>12.234278806972393</c:v>
                </c:pt>
                <c:pt idx="210">
                  <c:v>0</c:v>
                </c:pt>
                <c:pt idx="211">
                  <c:v>0</c:v>
                </c:pt>
                <c:pt idx="212">
                  <c:v>9.5205983320786789</c:v>
                </c:pt>
                <c:pt idx="213">
                  <c:v>9.5205983320786789</c:v>
                </c:pt>
                <c:pt idx="214">
                  <c:v>9.5205983320786789</c:v>
                </c:pt>
                <c:pt idx="215">
                  <c:v>9.5205983320786789</c:v>
                </c:pt>
                <c:pt idx="216">
                  <c:v>9.5205983320786789</c:v>
                </c:pt>
                <c:pt idx="217">
                  <c:v>9.5205983320786789</c:v>
                </c:pt>
                <c:pt idx="218">
                  <c:v>9.5205983320786789</c:v>
                </c:pt>
                <c:pt idx="219">
                  <c:v>39.143197438589056</c:v>
                </c:pt>
                <c:pt idx="220">
                  <c:v>43.668471791365739</c:v>
                </c:pt>
                <c:pt idx="221">
                  <c:v>18.85601641461891</c:v>
                </c:pt>
                <c:pt idx="222">
                  <c:v>105.27889541176465</c:v>
                </c:pt>
                <c:pt idx="223">
                  <c:v>136.6119748547257</c:v>
                </c:pt>
                <c:pt idx="224">
                  <c:v>160.69796854407841</c:v>
                </c:pt>
                <c:pt idx="225">
                  <c:v>185.39196125507667</c:v>
                </c:pt>
                <c:pt idx="226">
                  <c:v>42.947629010094687</c:v>
                </c:pt>
                <c:pt idx="227">
                  <c:v>84.179763289986099</c:v>
                </c:pt>
                <c:pt idx="228">
                  <c:v>189.76702494305496</c:v>
                </c:pt>
                <c:pt idx="229">
                  <c:v>189.76702494305496</c:v>
                </c:pt>
                <c:pt idx="230">
                  <c:v>189.76702494305496</c:v>
                </c:pt>
                <c:pt idx="231">
                  <c:v>189.76702494305496</c:v>
                </c:pt>
                <c:pt idx="232">
                  <c:v>189.76702494305496</c:v>
                </c:pt>
                <c:pt idx="233">
                  <c:v>66.699365994405255</c:v>
                </c:pt>
                <c:pt idx="234">
                  <c:v>68.693832184569885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8.9816984353898839</c:v>
                </c:pt>
                <c:pt idx="243">
                  <c:v>0</c:v>
                </c:pt>
                <c:pt idx="244">
                  <c:v>10.180604766146558</c:v>
                </c:pt>
                <c:pt idx="245">
                  <c:v>10.180604766146558</c:v>
                </c:pt>
                <c:pt idx="246">
                  <c:v>10.180604766146558</c:v>
                </c:pt>
                <c:pt idx="247">
                  <c:v>10.180604766146558</c:v>
                </c:pt>
                <c:pt idx="248">
                  <c:v>10.180604766146558</c:v>
                </c:pt>
                <c:pt idx="249">
                  <c:v>10.180604766146558</c:v>
                </c:pt>
                <c:pt idx="250">
                  <c:v>10.180604766146558</c:v>
                </c:pt>
                <c:pt idx="251">
                  <c:v>10.180604766146558</c:v>
                </c:pt>
                <c:pt idx="252">
                  <c:v>10.180604766146558</c:v>
                </c:pt>
                <c:pt idx="253">
                  <c:v>24.997810595611991</c:v>
                </c:pt>
                <c:pt idx="254">
                  <c:v>26.467991815155461</c:v>
                </c:pt>
                <c:pt idx="255">
                  <c:v>0</c:v>
                </c:pt>
                <c:pt idx="256">
                  <c:v>10.180604766146558</c:v>
                </c:pt>
                <c:pt idx="257">
                  <c:v>10.180604766146558</c:v>
                </c:pt>
                <c:pt idx="258">
                  <c:v>10.180604766146558</c:v>
                </c:pt>
                <c:pt idx="259">
                  <c:v>10.180604766146558</c:v>
                </c:pt>
                <c:pt idx="260">
                  <c:v>10.180604766146558</c:v>
                </c:pt>
                <c:pt idx="261">
                  <c:v>10.180604766146558</c:v>
                </c:pt>
                <c:pt idx="262">
                  <c:v>10.180604766146558</c:v>
                </c:pt>
                <c:pt idx="263">
                  <c:v>41.399233482742432</c:v>
                </c:pt>
                <c:pt idx="264">
                  <c:v>27.951375299169133</c:v>
                </c:pt>
                <c:pt idx="265">
                  <c:v>18.85601641461891</c:v>
                </c:pt>
                <c:pt idx="266">
                  <c:v>0</c:v>
                </c:pt>
                <c:pt idx="267">
                  <c:v>5.2887334981889254</c:v>
                </c:pt>
                <c:pt idx="268">
                  <c:v>7.9974581126034785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5.7925367757478732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D29-411D-A65C-DC79B859F1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022208"/>
        <c:axId val="151020672"/>
      </c:scatterChart>
      <c:valAx>
        <c:axId val="151022208"/>
        <c:scaling>
          <c:orientation val="minMax"/>
          <c:max val="28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100" b="0">
                    <a:solidFill>
                      <a:sysClr val="windowText" lastClr="000000"/>
                    </a:solidFill>
                    <a:latin typeface="Bookman Old Style" pitchFamily="18" charset="0"/>
                  </a:defRPr>
                </a:pPr>
                <a:r>
                  <a:rPr lang="en-US" sz="1100" b="0">
                    <a:solidFill>
                      <a:sysClr val="windowText" lastClr="000000"/>
                    </a:solidFill>
                    <a:latin typeface="Bookman Old Style" pitchFamily="18" charset="0"/>
                  </a:rPr>
                  <a:t>Time (s)</a:t>
                </a:r>
              </a:p>
            </c:rich>
          </c:tx>
          <c:layout>
            <c:manualLayout>
              <c:xMode val="edge"/>
              <c:yMode val="edge"/>
              <c:x val="0.50016508365191314"/>
              <c:y val="0.8694211140274132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>
                <a:solidFill>
                  <a:sysClr val="windowText" lastClr="000000"/>
                </a:solidFill>
                <a:latin typeface="Bookman Old Style" pitchFamily="18" charset="0"/>
              </a:defRPr>
            </a:pPr>
            <a:endParaRPr lang="en-US"/>
          </a:p>
        </c:txPr>
        <c:crossAx val="151020672"/>
        <c:crosses val="autoZero"/>
        <c:crossBetween val="midCat"/>
        <c:majorUnit val="10"/>
        <c:minorUnit val="2"/>
      </c:valAx>
      <c:valAx>
        <c:axId val="151020672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100" b="0">
                    <a:solidFill>
                      <a:sysClr val="windowText" lastClr="000000"/>
                    </a:solidFill>
                    <a:latin typeface="Bookman Old Style" pitchFamily="18" charset="0"/>
                  </a:defRPr>
                </a:pPr>
                <a:r>
                  <a:rPr lang="en-US" sz="1100" b="0">
                    <a:solidFill>
                      <a:sysClr val="windowText" lastClr="000000"/>
                    </a:solidFill>
                    <a:latin typeface="Bookman Old Style" pitchFamily="18" charset="0"/>
                  </a:rPr>
                  <a:t>Currrent (Amp)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>
                <a:solidFill>
                  <a:sysClr val="windowText" lastClr="000000"/>
                </a:solidFill>
                <a:latin typeface="Bookman Old Style" pitchFamily="18" charset="0"/>
              </a:defRPr>
            </a:pPr>
            <a:endParaRPr lang="en-US"/>
          </a:p>
        </c:txPr>
        <c:crossAx val="15102220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>
                <a:solidFill>
                  <a:sysClr val="windowText" lastClr="000000"/>
                </a:solidFill>
                <a:latin typeface="Bookman Old Style" pitchFamily="18" charset="0"/>
              </a:defRPr>
            </a:pPr>
            <a:r>
              <a:rPr lang="en-US" sz="1400" b="0">
                <a:solidFill>
                  <a:sysClr val="windowText" lastClr="000000"/>
                </a:solidFill>
                <a:latin typeface="Bookman Old Style" pitchFamily="18" charset="0"/>
              </a:rPr>
              <a:t>Motor Traction Power (kW)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Motor Power (kW)</c:v>
          </c:tx>
          <c:spPr>
            <a:ln w="19050"/>
          </c:spPr>
          <c:marker>
            <c:symbol val="none"/>
          </c:marker>
          <c:xVal>
            <c:numRef>
              <c:f>'2-Simulaation'!$A$2:$A$278</c:f>
              <c:numCache>
                <c:formatCode>General</c:formatCode>
                <c:ptCount val="27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</c:numCache>
            </c:numRef>
          </c:xVal>
          <c:yVal>
            <c:numRef>
              <c:f>'2-Simulaation'!$H$2:$H$278</c:f>
              <c:numCache>
                <c:formatCode>0.0000</c:formatCode>
                <c:ptCount val="277"/>
                <c:pt idx="0">
                  <c:v>0</c:v>
                </c:pt>
                <c:pt idx="1">
                  <c:v>5.1093512508675634</c:v>
                </c:pt>
                <c:pt idx="2">
                  <c:v>1.5046915715113833</c:v>
                </c:pt>
                <c:pt idx="3">
                  <c:v>1.6296936463298133</c:v>
                </c:pt>
                <c:pt idx="4">
                  <c:v>3.4110836776480138</c:v>
                </c:pt>
                <c:pt idx="5">
                  <c:v>0.5488794370335951</c:v>
                </c:pt>
                <c:pt idx="6">
                  <c:v>1.9195987526630656</c:v>
                </c:pt>
                <c:pt idx="7">
                  <c:v>2.2853616348694503</c:v>
                </c:pt>
                <c:pt idx="8">
                  <c:v>4.7867295977426307</c:v>
                </c:pt>
                <c:pt idx="9">
                  <c:v>5.513240065865733</c:v>
                </c:pt>
                <c:pt idx="10">
                  <c:v>6.2568273156528038</c:v>
                </c:pt>
                <c:pt idx="11">
                  <c:v>7.019625944811799</c:v>
                </c:pt>
                <c:pt idx="12">
                  <c:v>1.6699208446759264</c:v>
                </c:pt>
                <c:pt idx="13">
                  <c:v>7.1080013915787381</c:v>
                </c:pt>
                <c:pt idx="14">
                  <c:v>4.7511179656614155</c:v>
                </c:pt>
                <c:pt idx="15">
                  <c:v>6.9534680367349768</c:v>
                </c:pt>
                <c:pt idx="16">
                  <c:v>7.4667757818024265</c:v>
                </c:pt>
                <c:pt idx="17">
                  <c:v>10.249754504082969</c:v>
                </c:pt>
                <c:pt idx="18">
                  <c:v>6.3929117116168621</c:v>
                </c:pt>
                <c:pt idx="19">
                  <c:v>6.6920702335342357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0.44544790008662888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0.61053034742857892</c:v>
                </c:pt>
                <c:pt idx="32">
                  <c:v>0.61053034742857892</c:v>
                </c:pt>
                <c:pt idx="33">
                  <c:v>0.61053034742857892</c:v>
                </c:pt>
                <c:pt idx="34">
                  <c:v>0.61053034742857892</c:v>
                </c:pt>
                <c:pt idx="35">
                  <c:v>0.61053034742857892</c:v>
                </c:pt>
                <c:pt idx="36">
                  <c:v>0.61053034742857892</c:v>
                </c:pt>
                <c:pt idx="37">
                  <c:v>0.61053034742857892</c:v>
                </c:pt>
                <c:pt idx="38">
                  <c:v>0.61053034742857892</c:v>
                </c:pt>
                <c:pt idx="39">
                  <c:v>0.61053034742857892</c:v>
                </c:pt>
                <c:pt idx="40">
                  <c:v>0.61053034742857892</c:v>
                </c:pt>
                <c:pt idx="41">
                  <c:v>0.61053034742857892</c:v>
                </c:pt>
                <c:pt idx="42">
                  <c:v>0.61053034742857892</c:v>
                </c:pt>
                <c:pt idx="43">
                  <c:v>0.61053034742857892</c:v>
                </c:pt>
                <c:pt idx="44">
                  <c:v>0.61053034742857892</c:v>
                </c:pt>
                <c:pt idx="45">
                  <c:v>2.9107340480704087</c:v>
                </c:pt>
                <c:pt idx="46">
                  <c:v>4.46696526819815</c:v>
                </c:pt>
                <c:pt idx="47">
                  <c:v>4.9144775566232841</c:v>
                </c:pt>
                <c:pt idx="48">
                  <c:v>7.019625944811799</c:v>
                </c:pt>
                <c:pt idx="49">
                  <c:v>1.6699208446759264</c:v>
                </c:pt>
                <c:pt idx="50">
                  <c:v>5.3330234141128514</c:v>
                </c:pt>
                <c:pt idx="51">
                  <c:v>4.6250693091244317</c:v>
                </c:pt>
                <c:pt idx="52">
                  <c:v>6.7856785285717747</c:v>
                </c:pt>
                <c:pt idx="53">
                  <c:v>9.3927552164451118</c:v>
                </c:pt>
                <c:pt idx="54">
                  <c:v>3.7152676125944453</c:v>
                </c:pt>
                <c:pt idx="55">
                  <c:v>7.0537031095845162</c:v>
                </c:pt>
                <c:pt idx="56">
                  <c:v>2.5505791178863757</c:v>
                </c:pt>
                <c:pt idx="57">
                  <c:v>4.8686348096388699</c:v>
                </c:pt>
                <c:pt idx="58">
                  <c:v>4.4436652148999336</c:v>
                </c:pt>
                <c:pt idx="59">
                  <c:v>8.2313399220011458</c:v>
                </c:pt>
                <c:pt idx="60">
                  <c:v>6.1722237459369538</c:v>
                </c:pt>
                <c:pt idx="61">
                  <c:v>5.2808124177616227</c:v>
                </c:pt>
                <c:pt idx="62">
                  <c:v>3.5722849451312442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0.67348444968788634</c:v>
                </c:pt>
                <c:pt idx="67">
                  <c:v>0.67348444968788634</c:v>
                </c:pt>
                <c:pt idx="68">
                  <c:v>0.67348444968788634</c:v>
                </c:pt>
                <c:pt idx="69">
                  <c:v>0.67348444968788634</c:v>
                </c:pt>
                <c:pt idx="70">
                  <c:v>0.67348444968788634</c:v>
                </c:pt>
                <c:pt idx="71">
                  <c:v>0.67348444968788634</c:v>
                </c:pt>
                <c:pt idx="72">
                  <c:v>0.67348444968788634</c:v>
                </c:pt>
                <c:pt idx="73">
                  <c:v>0.67348444968788634</c:v>
                </c:pt>
                <c:pt idx="74">
                  <c:v>0.67348444968788634</c:v>
                </c:pt>
                <c:pt idx="75">
                  <c:v>0.67348444968788634</c:v>
                </c:pt>
                <c:pt idx="76">
                  <c:v>0.67348444968788634</c:v>
                </c:pt>
                <c:pt idx="77">
                  <c:v>0.67348444968788634</c:v>
                </c:pt>
                <c:pt idx="78">
                  <c:v>0.67348444968788634</c:v>
                </c:pt>
                <c:pt idx="79">
                  <c:v>0.67348444968788634</c:v>
                </c:pt>
                <c:pt idx="80">
                  <c:v>0.67348444968788634</c:v>
                </c:pt>
                <c:pt idx="81">
                  <c:v>5.8827656806945194</c:v>
                </c:pt>
                <c:pt idx="82">
                  <c:v>5.06600527106756</c:v>
                </c:pt>
                <c:pt idx="83">
                  <c:v>5.5281262125567876</c:v>
                </c:pt>
                <c:pt idx="84">
                  <c:v>1.6699208446759264</c:v>
                </c:pt>
                <c:pt idx="85">
                  <c:v>3.6335557515836396</c:v>
                </c:pt>
                <c:pt idx="86">
                  <c:v>4.5005215416009365</c:v>
                </c:pt>
                <c:pt idx="87">
                  <c:v>4.7511179656614155</c:v>
                </c:pt>
                <c:pt idx="88">
                  <c:v>11.06577066797867</c:v>
                </c:pt>
                <c:pt idx="89">
                  <c:v>11.06577066797867</c:v>
                </c:pt>
                <c:pt idx="90">
                  <c:v>11.06577066797867</c:v>
                </c:pt>
                <c:pt idx="91">
                  <c:v>11.06577066797867</c:v>
                </c:pt>
                <c:pt idx="92">
                  <c:v>11.06577066797867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0.44544790008662888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0.64152377876501532</c:v>
                </c:pt>
                <c:pt idx="103">
                  <c:v>0.64152377876501532</c:v>
                </c:pt>
                <c:pt idx="104">
                  <c:v>0.64152377876501532</c:v>
                </c:pt>
                <c:pt idx="105">
                  <c:v>0.64152377876501532</c:v>
                </c:pt>
                <c:pt idx="106">
                  <c:v>0.64152377876501532</c:v>
                </c:pt>
                <c:pt idx="107">
                  <c:v>0.64152377876501532</c:v>
                </c:pt>
                <c:pt idx="108">
                  <c:v>0.64152377876501532</c:v>
                </c:pt>
                <c:pt idx="109">
                  <c:v>0.64152377876501532</c:v>
                </c:pt>
                <c:pt idx="110">
                  <c:v>0.64152377876501532</c:v>
                </c:pt>
                <c:pt idx="111">
                  <c:v>3.0182702982816534</c:v>
                </c:pt>
                <c:pt idx="112">
                  <c:v>4.6149909082777612</c:v>
                </c:pt>
                <c:pt idx="113">
                  <c:v>2.1540260219434666</c:v>
                </c:pt>
                <c:pt idx="114">
                  <c:v>0.84896375622032227</c:v>
                </c:pt>
                <c:pt idx="115">
                  <c:v>0.84896375622032227</c:v>
                </c:pt>
                <c:pt idx="116">
                  <c:v>0.84896375622032227</c:v>
                </c:pt>
                <c:pt idx="117">
                  <c:v>0.84896375622032227</c:v>
                </c:pt>
                <c:pt idx="118">
                  <c:v>0</c:v>
                </c:pt>
                <c:pt idx="119">
                  <c:v>0</c:v>
                </c:pt>
                <c:pt idx="120">
                  <c:v>0.67348444968788634</c:v>
                </c:pt>
                <c:pt idx="121">
                  <c:v>0.67348444968788634</c:v>
                </c:pt>
                <c:pt idx="122">
                  <c:v>0.67348444968788634</c:v>
                </c:pt>
                <c:pt idx="123">
                  <c:v>0.67348444968788634</c:v>
                </c:pt>
                <c:pt idx="124">
                  <c:v>0.67348444968788634</c:v>
                </c:pt>
                <c:pt idx="125">
                  <c:v>0.67348444968788634</c:v>
                </c:pt>
                <c:pt idx="126">
                  <c:v>0.67348444968788634</c:v>
                </c:pt>
                <c:pt idx="127">
                  <c:v>6.9815714995589726</c:v>
                </c:pt>
                <c:pt idx="128">
                  <c:v>8.9802625904379809</c:v>
                </c:pt>
                <c:pt idx="129">
                  <c:v>9.1260171479015071</c:v>
                </c:pt>
                <c:pt idx="130">
                  <c:v>9.4516401298303379</c:v>
                </c:pt>
                <c:pt idx="131">
                  <c:v>5.215677519146932</c:v>
                </c:pt>
                <c:pt idx="132">
                  <c:v>0.39154152799240538</c:v>
                </c:pt>
                <c:pt idx="133">
                  <c:v>0</c:v>
                </c:pt>
                <c:pt idx="134">
                  <c:v>4.595171927950938</c:v>
                </c:pt>
                <c:pt idx="135">
                  <c:v>4.595171927950938</c:v>
                </c:pt>
                <c:pt idx="136">
                  <c:v>4.595171927950938</c:v>
                </c:pt>
                <c:pt idx="137">
                  <c:v>4.595171927950938</c:v>
                </c:pt>
                <c:pt idx="138">
                  <c:v>4.595171927950938</c:v>
                </c:pt>
                <c:pt idx="139">
                  <c:v>4.595171927950938</c:v>
                </c:pt>
                <c:pt idx="140">
                  <c:v>7.4428678289935757</c:v>
                </c:pt>
                <c:pt idx="141">
                  <c:v>7.9087001785576785</c:v>
                </c:pt>
                <c:pt idx="142">
                  <c:v>2.3717687393265132</c:v>
                </c:pt>
                <c:pt idx="143">
                  <c:v>0.9729794971790644</c:v>
                </c:pt>
                <c:pt idx="144">
                  <c:v>4.44071637467197</c:v>
                </c:pt>
                <c:pt idx="145">
                  <c:v>4.44071637467197</c:v>
                </c:pt>
                <c:pt idx="146">
                  <c:v>4.44071637467197</c:v>
                </c:pt>
                <c:pt idx="147">
                  <c:v>4.44071637467197</c:v>
                </c:pt>
                <c:pt idx="148">
                  <c:v>5.7883717137549455</c:v>
                </c:pt>
                <c:pt idx="149">
                  <c:v>5.9811820591942952</c:v>
                </c:pt>
                <c:pt idx="150">
                  <c:v>8.2964492207226694</c:v>
                </c:pt>
                <c:pt idx="151">
                  <c:v>8.8958350197941876</c:v>
                </c:pt>
                <c:pt idx="152">
                  <c:v>9.1533401833793544</c:v>
                </c:pt>
                <c:pt idx="153">
                  <c:v>6.5365187388687609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11.463421450470264</c:v>
                </c:pt>
                <c:pt idx="160">
                  <c:v>11.697406905424803</c:v>
                </c:pt>
                <c:pt idx="161">
                  <c:v>7.0929296564734061</c:v>
                </c:pt>
                <c:pt idx="162">
                  <c:v>2.4766118714383309</c:v>
                </c:pt>
                <c:pt idx="163">
                  <c:v>0.24885762291809307</c:v>
                </c:pt>
                <c:pt idx="164">
                  <c:v>0.12298484344780367</c:v>
                </c:pt>
                <c:pt idx="165">
                  <c:v>2.2727236473410364E-2</c:v>
                </c:pt>
                <c:pt idx="166">
                  <c:v>3.0927346091573882</c:v>
                </c:pt>
                <c:pt idx="167">
                  <c:v>2.8890413079082635</c:v>
                </c:pt>
                <c:pt idx="168">
                  <c:v>5.215677519146932</c:v>
                </c:pt>
                <c:pt idx="169">
                  <c:v>0</c:v>
                </c:pt>
                <c:pt idx="170">
                  <c:v>5.0650757932685702</c:v>
                </c:pt>
                <c:pt idx="171">
                  <c:v>5.0650757932685702</c:v>
                </c:pt>
                <c:pt idx="172">
                  <c:v>5.0650757932685702</c:v>
                </c:pt>
                <c:pt idx="173">
                  <c:v>5.0650757932685702</c:v>
                </c:pt>
                <c:pt idx="174">
                  <c:v>5.0650757932685702</c:v>
                </c:pt>
                <c:pt idx="175">
                  <c:v>5.0650757932685702</c:v>
                </c:pt>
                <c:pt idx="176">
                  <c:v>5.0650757932685702</c:v>
                </c:pt>
                <c:pt idx="177">
                  <c:v>5.0650757932685702</c:v>
                </c:pt>
                <c:pt idx="178">
                  <c:v>5.0650757932685702</c:v>
                </c:pt>
                <c:pt idx="179">
                  <c:v>5.0650757932685702</c:v>
                </c:pt>
                <c:pt idx="180">
                  <c:v>2.5786976554234218</c:v>
                </c:pt>
                <c:pt idx="181">
                  <c:v>4.1701463441875202</c:v>
                </c:pt>
                <c:pt idx="182">
                  <c:v>4.4243149434786311</c:v>
                </c:pt>
                <c:pt idx="183">
                  <c:v>1.4413154789685876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0.27804176523589791</c:v>
                </c:pt>
                <c:pt idx="193">
                  <c:v>0</c:v>
                </c:pt>
                <c:pt idx="194">
                  <c:v>0.48866902877503482</c:v>
                </c:pt>
                <c:pt idx="195">
                  <c:v>0.48866902877503482</c:v>
                </c:pt>
                <c:pt idx="196">
                  <c:v>0.48866902877503482</c:v>
                </c:pt>
                <c:pt idx="197">
                  <c:v>0.48866902877503482</c:v>
                </c:pt>
                <c:pt idx="198">
                  <c:v>0.48866902877503482</c:v>
                </c:pt>
                <c:pt idx="199">
                  <c:v>0.48866902877503482</c:v>
                </c:pt>
                <c:pt idx="200">
                  <c:v>0.48866902877503482</c:v>
                </c:pt>
                <c:pt idx="201">
                  <c:v>0.48866902877503482</c:v>
                </c:pt>
                <c:pt idx="202">
                  <c:v>0.48866902877503482</c:v>
                </c:pt>
                <c:pt idx="203">
                  <c:v>0.48866902877503482</c:v>
                </c:pt>
                <c:pt idx="204">
                  <c:v>0.48866902877503482</c:v>
                </c:pt>
                <c:pt idx="205">
                  <c:v>0.48866902877503482</c:v>
                </c:pt>
                <c:pt idx="206">
                  <c:v>1.9871632071716367</c:v>
                </c:pt>
                <c:pt idx="207">
                  <c:v>1.3416660143601185</c:v>
                </c:pt>
                <c:pt idx="208">
                  <c:v>0.58724538273467486</c:v>
                </c:pt>
                <c:pt idx="209">
                  <c:v>0.58724538273467486</c:v>
                </c:pt>
                <c:pt idx="210">
                  <c:v>0</c:v>
                </c:pt>
                <c:pt idx="211">
                  <c:v>0</c:v>
                </c:pt>
                <c:pt idx="212">
                  <c:v>0.45698871993977658</c:v>
                </c:pt>
                <c:pt idx="213">
                  <c:v>0.45698871993977658</c:v>
                </c:pt>
                <c:pt idx="214">
                  <c:v>0.45698871993977658</c:v>
                </c:pt>
                <c:pt idx="215">
                  <c:v>0.45698871993977658</c:v>
                </c:pt>
                <c:pt idx="216">
                  <c:v>0.45698871993977658</c:v>
                </c:pt>
                <c:pt idx="217">
                  <c:v>0.45698871993977658</c:v>
                </c:pt>
                <c:pt idx="218">
                  <c:v>0.45698871993977658</c:v>
                </c:pt>
                <c:pt idx="219">
                  <c:v>1.8788734770522746</c:v>
                </c:pt>
                <c:pt idx="220">
                  <c:v>2.0960866459855558</c:v>
                </c:pt>
                <c:pt idx="221">
                  <c:v>0.90508878790170777</c:v>
                </c:pt>
                <c:pt idx="222">
                  <c:v>5.0533869797647029</c:v>
                </c:pt>
                <c:pt idx="223">
                  <c:v>6.5573747930268338</c:v>
                </c:pt>
                <c:pt idx="224">
                  <c:v>7.7135024901157641</c:v>
                </c:pt>
                <c:pt idx="225">
                  <c:v>8.8988141402436796</c:v>
                </c:pt>
                <c:pt idx="226">
                  <c:v>2.0614861924845451</c:v>
                </c:pt>
                <c:pt idx="227">
                  <c:v>4.0406286379193324</c:v>
                </c:pt>
                <c:pt idx="228">
                  <c:v>9.1088171972666387</c:v>
                </c:pt>
                <c:pt idx="229">
                  <c:v>9.1088171972666387</c:v>
                </c:pt>
                <c:pt idx="230">
                  <c:v>9.1088171972666387</c:v>
                </c:pt>
                <c:pt idx="231">
                  <c:v>9.1088171972666387</c:v>
                </c:pt>
                <c:pt idx="232">
                  <c:v>9.1088171972666387</c:v>
                </c:pt>
                <c:pt idx="233">
                  <c:v>3.2015695677314522</c:v>
                </c:pt>
                <c:pt idx="234">
                  <c:v>3.2973039448593546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0.43112152489871441</c:v>
                </c:pt>
                <c:pt idx="243">
                  <c:v>0</c:v>
                </c:pt>
                <c:pt idx="244">
                  <c:v>0.48866902877503482</c:v>
                </c:pt>
                <c:pt idx="245">
                  <c:v>0.48866902877503482</c:v>
                </c:pt>
                <c:pt idx="246">
                  <c:v>0.48866902877503482</c:v>
                </c:pt>
                <c:pt idx="247">
                  <c:v>0.48866902877503482</c:v>
                </c:pt>
                <c:pt idx="248">
                  <c:v>0.48866902877503482</c:v>
                </c:pt>
                <c:pt idx="249">
                  <c:v>0.48866902877503482</c:v>
                </c:pt>
                <c:pt idx="250">
                  <c:v>0.48866902877503482</c:v>
                </c:pt>
                <c:pt idx="251">
                  <c:v>0.48866902877503482</c:v>
                </c:pt>
                <c:pt idx="252">
                  <c:v>0.48866902877503482</c:v>
                </c:pt>
                <c:pt idx="253">
                  <c:v>1.1998949085893755</c:v>
                </c:pt>
                <c:pt idx="254">
                  <c:v>1.2704636071274622</c:v>
                </c:pt>
                <c:pt idx="255">
                  <c:v>0</c:v>
                </c:pt>
                <c:pt idx="256">
                  <c:v>0.48866902877503482</c:v>
                </c:pt>
                <c:pt idx="257">
                  <c:v>0.48866902877503482</c:v>
                </c:pt>
                <c:pt idx="258">
                  <c:v>0.48866902877503482</c:v>
                </c:pt>
                <c:pt idx="259">
                  <c:v>0.48866902877503482</c:v>
                </c:pt>
                <c:pt idx="260">
                  <c:v>0.48866902877503482</c:v>
                </c:pt>
                <c:pt idx="261">
                  <c:v>0.48866902877503482</c:v>
                </c:pt>
                <c:pt idx="262">
                  <c:v>0.48866902877503482</c:v>
                </c:pt>
                <c:pt idx="263">
                  <c:v>1.9871632071716367</c:v>
                </c:pt>
                <c:pt idx="264">
                  <c:v>1.3416660143601185</c:v>
                </c:pt>
                <c:pt idx="265">
                  <c:v>0.90508878790170777</c:v>
                </c:pt>
                <c:pt idx="266">
                  <c:v>0</c:v>
                </c:pt>
                <c:pt idx="267">
                  <c:v>0.25385920791306843</c:v>
                </c:pt>
                <c:pt idx="268">
                  <c:v>0.38387798940496698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0.27804176523589791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05D-4A04-846B-5DBB42AE95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152896"/>
        <c:axId val="149146624"/>
      </c:scatterChart>
      <c:valAx>
        <c:axId val="149152896"/>
        <c:scaling>
          <c:orientation val="minMax"/>
          <c:max val="28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100" b="0">
                    <a:solidFill>
                      <a:sysClr val="windowText" lastClr="000000"/>
                    </a:solidFill>
                    <a:latin typeface="Bookman Old Style" pitchFamily="18" charset="0"/>
                  </a:defRPr>
                </a:pPr>
                <a:r>
                  <a:rPr lang="en-US" sz="1100" b="0">
                    <a:solidFill>
                      <a:sysClr val="windowText" lastClr="000000"/>
                    </a:solidFill>
                    <a:latin typeface="Bookman Old Style" pitchFamily="18" charset="0"/>
                  </a:rPr>
                  <a:t>Time (s)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>
                <a:solidFill>
                  <a:sysClr val="windowText" lastClr="000000"/>
                </a:solidFill>
                <a:latin typeface="Bookman Old Style" pitchFamily="18" charset="0"/>
              </a:defRPr>
            </a:pPr>
            <a:endParaRPr lang="en-US"/>
          </a:p>
        </c:txPr>
        <c:crossAx val="149146624"/>
        <c:crosses val="autoZero"/>
        <c:crossBetween val="midCat"/>
        <c:majorUnit val="10"/>
      </c:valAx>
      <c:valAx>
        <c:axId val="149146624"/>
        <c:scaling>
          <c:orientation val="minMax"/>
          <c:max val="14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100" b="0">
                    <a:solidFill>
                      <a:sysClr val="windowText" lastClr="000000"/>
                    </a:solidFill>
                    <a:latin typeface="Bookman Old Style" pitchFamily="18" charset="0"/>
                  </a:defRPr>
                </a:pPr>
                <a:r>
                  <a:rPr lang="en-US" sz="1100" b="0">
                    <a:solidFill>
                      <a:sysClr val="windowText" lastClr="000000"/>
                    </a:solidFill>
                    <a:latin typeface="Bookman Old Style" pitchFamily="18" charset="0"/>
                  </a:rPr>
                  <a:t>Power (kW)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>
                <a:solidFill>
                  <a:sysClr val="windowText" lastClr="000000"/>
                </a:solidFill>
                <a:latin typeface="Bookman Old Style" pitchFamily="18" charset="0"/>
              </a:defRPr>
            </a:pPr>
            <a:endParaRPr lang="en-US"/>
          </a:p>
        </c:txPr>
        <c:crossAx val="149152896"/>
        <c:crosses val="autoZero"/>
        <c:crossBetween val="midCat"/>
        <c:majorUnit val="2"/>
      </c:valAx>
    </c:plotArea>
    <c:plotVisOnly val="1"/>
    <c:dispBlanksAs val="gap"/>
    <c:showDLblsOverMax val="0"/>
  </c:chart>
  <c:spPr>
    <a:ln w="6350"/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190498</xdr:rowOff>
    </xdr:from>
    <xdr:to>
      <xdr:col>36</xdr:col>
      <xdr:colOff>0</xdr:colOff>
      <xdr:row>16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9524</xdr:colOff>
      <xdr:row>18</xdr:row>
      <xdr:rowOff>23811</xdr:rowOff>
    </xdr:from>
    <xdr:to>
      <xdr:col>35</xdr:col>
      <xdr:colOff>609599</xdr:colOff>
      <xdr:row>35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609599</xdr:colOff>
      <xdr:row>36</xdr:row>
      <xdr:rowOff>190499</xdr:rowOff>
    </xdr:from>
    <xdr:to>
      <xdr:col>36</xdr:col>
      <xdr:colOff>9524</xdr:colOff>
      <xdr:row>54</xdr:row>
      <xdr:rowOff>9524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19050</xdr:colOff>
      <xdr:row>56</xdr:row>
      <xdr:rowOff>9525</xdr:rowOff>
    </xdr:from>
    <xdr:to>
      <xdr:col>36</xdr:col>
      <xdr:colOff>0</xdr:colOff>
      <xdr:row>70</xdr:row>
      <xdr:rowOff>85725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0</xdr:colOff>
      <xdr:row>72</xdr:row>
      <xdr:rowOff>104775</xdr:rowOff>
    </xdr:from>
    <xdr:to>
      <xdr:col>35</xdr:col>
      <xdr:colOff>590550</xdr:colOff>
      <xdr:row>86</xdr:row>
      <xdr:rowOff>180975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6:B9" headerRowCount="0" totalsRowShown="0" headerRowDxfId="81" dataDxfId="80">
  <tableColumns count="2">
    <tableColumn id="1" xr3:uid="{00000000-0010-0000-0000-000001000000}" name="Column1" headerRowDxfId="79" dataDxfId="78"/>
    <tableColumn id="2" xr3:uid="{00000000-0010-0000-0000-000002000000}" name="Column2" dataDxfId="77"/>
  </tableColumns>
  <tableStyleInfo name="TableStyleMedium2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3" displayName="Table3" ref="A10:B18" headerRowCount="0" totalsRowShown="0" headerRowDxfId="76" dataDxfId="75">
  <tableColumns count="2">
    <tableColumn id="1" xr3:uid="{00000000-0010-0000-0100-000001000000}" name="Column1" headerRowDxfId="74" dataDxfId="73"/>
    <tableColumn id="2" xr3:uid="{00000000-0010-0000-0100-000002000000}" name="Column2" headerRowDxfId="72" dataDxfId="71"/>
  </tableColumns>
  <tableStyleInfo name="TableStyleMedium25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4" displayName="Table4" ref="A20:B30" headerRowCount="0" totalsRowShown="0" headerRowDxfId="70" dataDxfId="69">
  <tableColumns count="2">
    <tableColumn id="1" xr3:uid="{00000000-0010-0000-0200-000001000000}" name="Column1" headerRowDxfId="68" dataDxfId="67"/>
    <tableColumn id="2" xr3:uid="{00000000-0010-0000-0200-000002000000}" name="Column2" headerRowDxfId="66" dataDxfId="65"/>
  </tableColumns>
  <tableStyleInfo name="TableStyleMedium25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5" displayName="Table5" ref="A32:B42" headerRowCount="0" totalsRowShown="0" headerRowDxfId="64" dataDxfId="63">
  <tableColumns count="2">
    <tableColumn id="1" xr3:uid="{00000000-0010-0000-0300-000001000000}" name="Column1" headerRowDxfId="62" dataDxfId="61"/>
    <tableColumn id="2" xr3:uid="{00000000-0010-0000-0300-000002000000}" name="Column2" headerRowDxfId="60" dataDxfId="59"/>
  </tableColumns>
  <tableStyleInfo name="TableStyleMedium25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6" displayName="Table6" ref="A44:B54" headerRowCount="0" totalsRowShown="0" headerRowDxfId="58" dataDxfId="57">
  <tableColumns count="2">
    <tableColumn id="1" xr3:uid="{00000000-0010-0000-0400-000001000000}" name="Column1" headerRowDxfId="56" dataDxfId="55"/>
    <tableColumn id="2" xr3:uid="{00000000-0010-0000-0400-000002000000}" name="Column2" dataDxfId="54"/>
  </tableColumns>
  <tableStyleInfo name="TableStyleMedium25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le7" displayName="Table7" ref="D6:H11" headerRowCount="0" totalsRowShown="0" headerRowDxfId="53" dataDxfId="52">
  <tableColumns count="5">
    <tableColumn id="1" xr3:uid="{00000000-0010-0000-0500-000001000000}" name="Column1" headerRowDxfId="51" dataDxfId="50"/>
    <tableColumn id="2" xr3:uid="{00000000-0010-0000-0500-000002000000}" name="Column2" headerRowDxfId="49" dataDxfId="48"/>
    <tableColumn id="3" xr3:uid="{00000000-0010-0000-0500-000003000000}" name="Column3" headerRowDxfId="47" dataDxfId="46"/>
    <tableColumn id="4" xr3:uid="{00000000-0010-0000-0500-000004000000}" name="Column4" headerRowDxfId="45" dataDxfId="44">
      <calculatedColumnFormula>F7/E7</calculatedColumnFormula>
    </tableColumn>
    <tableColumn id="5" xr3:uid="{00000000-0010-0000-0500-000005000000}" name="Column5" headerRowDxfId="43" dataDxfId="42"/>
  </tableColumns>
  <tableStyleInfo name="TableStyleMedium28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6000000}" name="Table14" displayName="Table14" ref="D13:I20" headerRowCount="0" totalsRowShown="0" headerRowDxfId="41" dataDxfId="40">
  <tableColumns count="6">
    <tableColumn id="1" xr3:uid="{00000000-0010-0000-0600-000001000000}" name="Column1" headerRowDxfId="39" dataDxfId="38"/>
    <tableColumn id="2" xr3:uid="{00000000-0010-0000-0600-000002000000}" name="Column2" headerRowDxfId="37" dataDxfId="36"/>
    <tableColumn id="3" xr3:uid="{00000000-0010-0000-0600-000003000000}" name="Column3" headerRowDxfId="35" dataDxfId="34"/>
    <tableColumn id="4" xr3:uid="{00000000-0010-0000-0600-000004000000}" name="Column4" headerRowDxfId="33" dataDxfId="32"/>
    <tableColumn id="5" xr3:uid="{00000000-0010-0000-0600-000005000000}" name="Column5" headerRowDxfId="31" dataDxfId="30"/>
    <tableColumn id="6" xr3:uid="{00000000-0010-0000-0600-000006000000}" name="Column6" headerRowDxfId="29" dataDxfId="28"/>
  </tableColumns>
  <tableStyleInfo name="TableStyleMedium23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7000000}" name="Table15" displayName="Table15" ref="K13:L16" headerRowCount="0" totalsRowShown="0">
  <tableColumns count="2">
    <tableColumn id="1" xr3:uid="{00000000-0010-0000-0700-000001000000}" name="Column1" headerRowDxfId="27" dataDxfId="26"/>
    <tableColumn id="2" xr3:uid="{00000000-0010-0000-0700-000002000000}" name="Column2" headerRowDxfId="25" dataDxfId="24"/>
  </tableColumns>
  <tableStyleInfo name="TableStyleLight17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1946CE-5269-4927-9E53-1F312E5D5D06}" name="Table1" displayName="Table1" ref="A4:B10" headerRowCount="0" totalsRowShown="0" headerRowDxfId="23" dataDxfId="22">
  <tableColumns count="2">
    <tableColumn id="1" xr3:uid="{805962C5-EDF5-451E-A656-801A66E9BF8D}" name="Column1" headerRowDxfId="21" dataDxfId="20"/>
    <tableColumn id="2" xr3:uid="{E3B41E5A-4642-405D-BC8B-ABEEB9840954}" name="Column2" headerRowDxfId="19" dataDxfId="18"/>
  </tableColumns>
  <tableStyleInfo name="TableStyleLight15"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54E6A76-30AE-453E-A7C1-32147AF91110}" name="Table8" displayName="Table8" ref="A16:B21" headerRowCount="0" totalsRowShown="0" headerRowDxfId="17" dataDxfId="16">
  <tableColumns count="2">
    <tableColumn id="1" xr3:uid="{5D42EBBB-830B-4265-A5F1-5DC8CC886868}" name="Column1" headerRowDxfId="15" dataDxfId="14"/>
    <tableColumn id="2" xr3:uid="{5AA88B37-C34A-419B-B214-7F00461A82B0}" name="Column2" headerRowDxfId="13" dataDxfId="12"/>
  </tableColumns>
  <tableStyleInfo name="TableStyleLight15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6373F6-1F7B-42EE-88B8-82EA323AE6D8}" name="Table9" displayName="Table9" ref="D4:E7" headerRowCount="0" totalsRowShown="0" headerRowDxfId="11" dataDxfId="10">
  <tableColumns count="2">
    <tableColumn id="1" xr3:uid="{EB3D9145-5187-4605-88AA-05305876EB55}" name="Column1" headerRowDxfId="9" dataDxfId="8"/>
    <tableColumn id="2" xr3:uid="{9E29E87A-B6A2-447E-AFD7-993F7F0951F4}" name="Column2" headerRowDxfId="7" dataDxfId="6"/>
  </tableColumns>
  <tableStyleInfo name="TableStyleLight15" showFirstColumn="0" showLastColumn="0" showRowStripes="0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0E479B0-625F-44DE-B4A0-E113DD775785}" name="Table13" displayName="Table13" ref="D12:E21" headerRowCount="0" totalsRowShown="0" headerRowDxfId="5" dataDxfId="4">
  <tableColumns count="2">
    <tableColumn id="1" xr3:uid="{B0206B55-CAF8-4F4B-825B-16583ABA887D}" name="Column1" headerRowDxfId="3" dataDxfId="2"/>
    <tableColumn id="2" xr3:uid="{62A3E481-8095-43C4-8C37-893F6308DC13}" name="Column2" headerRowDxfId="1" dataDxfId="0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4"/>
  <sheetViews>
    <sheetView zoomScale="82" zoomScaleNormal="82" workbookViewId="0">
      <selection activeCell="I8" sqref="I8"/>
    </sheetView>
  </sheetViews>
  <sheetFormatPr defaultColWidth="9.140625" defaultRowHeight="15" x14ac:dyDescent="0.25"/>
  <cols>
    <col min="1" max="1" width="45.5703125" style="1" customWidth="1"/>
    <col min="2" max="2" width="12" style="1" bestFit="1" customWidth="1"/>
    <col min="3" max="3" width="9.140625" style="1"/>
    <col min="4" max="4" width="17" style="1" customWidth="1"/>
    <col min="5" max="5" width="12.28515625" style="1" customWidth="1"/>
    <col min="6" max="6" width="19.42578125" style="1" bestFit="1" customWidth="1"/>
    <col min="7" max="7" width="14.28515625" style="1" bestFit="1" customWidth="1"/>
    <col min="8" max="8" width="25.5703125" style="1" bestFit="1" customWidth="1"/>
    <col min="9" max="9" width="16.42578125" style="1" customWidth="1"/>
    <col min="10" max="10" width="17.42578125" style="1" customWidth="1"/>
    <col min="11" max="11" width="24.28515625" style="1" customWidth="1"/>
    <col min="12" max="16" width="9.140625" style="1"/>
    <col min="17" max="17" width="10.140625" style="1" bestFit="1" customWidth="1"/>
    <col min="18" max="23" width="9.140625" style="1"/>
    <col min="24" max="24" width="10" style="1" customWidth="1"/>
    <col min="25" max="16384" width="9.140625" style="1"/>
  </cols>
  <sheetData>
    <row r="1" spans="1:12" ht="18.75" x14ac:dyDescent="0.3">
      <c r="A1" s="4" t="s">
        <v>0</v>
      </c>
    </row>
    <row r="2" spans="1:12" x14ac:dyDescent="0.25">
      <c r="A2" s="5" t="s">
        <v>1</v>
      </c>
    </row>
    <row r="3" spans="1:12" x14ac:dyDescent="0.25">
      <c r="I3"/>
      <c r="J3"/>
      <c r="K3"/>
    </row>
    <row r="4" spans="1:12" x14ac:dyDescent="0.25">
      <c r="A4" s="2" t="s">
        <v>2</v>
      </c>
      <c r="I4"/>
      <c r="J4"/>
      <c r="K4"/>
    </row>
    <row r="5" spans="1:12" x14ac:dyDescent="0.25">
      <c r="I5"/>
      <c r="J5"/>
      <c r="K5"/>
    </row>
    <row r="6" spans="1:12" x14ac:dyDescent="0.25">
      <c r="A6" s="1" t="s">
        <v>3</v>
      </c>
      <c r="B6" s="1">
        <v>6500</v>
      </c>
      <c r="D6" s="8" t="s">
        <v>4</v>
      </c>
      <c r="E6" s="8" t="s">
        <v>5</v>
      </c>
      <c r="F6" s="8" t="s">
        <v>6</v>
      </c>
      <c r="G6" s="8" t="s">
        <v>7</v>
      </c>
      <c r="H6" s="8" t="s">
        <v>8</v>
      </c>
      <c r="I6"/>
      <c r="J6"/>
      <c r="K6"/>
    </row>
    <row r="7" spans="1:12" ht="18" x14ac:dyDescent="0.25">
      <c r="A7" s="1" t="s">
        <v>9</v>
      </c>
      <c r="B7" s="1">
        <v>22</v>
      </c>
      <c r="D7" s="9" t="s">
        <v>10</v>
      </c>
      <c r="E7" s="9">
        <v>11</v>
      </c>
      <c r="F7" s="9">
        <v>32</v>
      </c>
      <c r="G7" s="9">
        <f>F7/E7</f>
        <v>2.9090909090909092</v>
      </c>
      <c r="H7" s="9">
        <f>G11*G10*G7</f>
        <v>17.703896103896103</v>
      </c>
      <c r="I7"/>
      <c r="J7"/>
      <c r="K7"/>
    </row>
    <row r="8" spans="1:12" ht="18" x14ac:dyDescent="0.25">
      <c r="A8" s="1" t="s">
        <v>11</v>
      </c>
      <c r="B8" s="1">
        <f>B7*2*3.14*B6/60</f>
        <v>14967.333333333334</v>
      </c>
      <c r="D8" s="9" t="s">
        <v>12</v>
      </c>
      <c r="E8" s="9">
        <v>15</v>
      </c>
      <c r="F8" s="9">
        <v>31</v>
      </c>
      <c r="G8" s="9">
        <f>F8/E8</f>
        <v>2.0666666666666669</v>
      </c>
      <c r="H8" s="9">
        <f>G11*G10*G8</f>
        <v>12.577142857142858</v>
      </c>
      <c r="I8"/>
      <c r="J8"/>
      <c r="K8"/>
    </row>
    <row r="9" spans="1:12" ht="18" x14ac:dyDescent="0.25">
      <c r="A9" s="1" t="s">
        <v>13</v>
      </c>
      <c r="B9" s="1">
        <f>B8/746</f>
        <v>20.063449508489725</v>
      </c>
      <c r="D9" s="9" t="s">
        <v>14</v>
      </c>
      <c r="E9" s="9">
        <v>22</v>
      </c>
      <c r="F9" s="9">
        <v>30</v>
      </c>
      <c r="G9" s="9">
        <f>F9/E9</f>
        <v>1.3636363636363635</v>
      </c>
      <c r="H9" s="9">
        <f>G11*G10*G9</f>
        <v>8.2987012987012978</v>
      </c>
      <c r="I9"/>
      <c r="J9"/>
      <c r="K9"/>
    </row>
    <row r="10" spans="1:12" ht="18" x14ac:dyDescent="0.25">
      <c r="A10" s="1" t="s">
        <v>15</v>
      </c>
      <c r="B10" s="1">
        <v>1.151</v>
      </c>
      <c r="D10" s="9" t="s">
        <v>16</v>
      </c>
      <c r="E10" s="9">
        <v>15</v>
      </c>
      <c r="F10" s="9">
        <v>36</v>
      </c>
      <c r="G10" s="9">
        <f>Table7[[#This Row],[Column3]]/Table7[[#This Row],[Column2]]</f>
        <v>2.4</v>
      </c>
      <c r="H10" s="9"/>
      <c r="I10"/>
      <c r="J10"/>
      <c r="K10"/>
    </row>
    <row r="11" spans="1:12" x14ac:dyDescent="0.25">
      <c r="A11" s="1" t="s">
        <v>17</v>
      </c>
      <c r="B11" s="1">
        <v>304.8</v>
      </c>
      <c r="D11" s="9" t="s">
        <v>18</v>
      </c>
      <c r="E11" s="9">
        <v>28</v>
      </c>
      <c r="F11" s="9">
        <v>71</v>
      </c>
      <c r="G11" s="9">
        <f>F11/E11</f>
        <v>2.5357142857142856</v>
      </c>
      <c r="H11" s="9"/>
      <c r="I11"/>
      <c r="J11"/>
      <c r="K11"/>
    </row>
    <row r="12" spans="1:12" x14ac:dyDescent="0.25">
      <c r="A12" s="1" t="s">
        <v>19</v>
      </c>
      <c r="B12" s="1">
        <v>254</v>
      </c>
      <c r="I12"/>
      <c r="J12"/>
      <c r="K12"/>
    </row>
    <row r="13" spans="1:12" ht="17.25" x14ac:dyDescent="0.25">
      <c r="A13" s="1" t="s">
        <v>20</v>
      </c>
      <c r="B13" s="1">
        <f>24/(39*2)</f>
        <v>0.30769230769230771</v>
      </c>
      <c r="D13" s="2"/>
      <c r="E13" s="2" t="s">
        <v>21</v>
      </c>
      <c r="F13" s="2" t="s">
        <v>22</v>
      </c>
      <c r="G13" s="2" t="s">
        <v>23</v>
      </c>
      <c r="H13" s="2" t="s">
        <v>24</v>
      </c>
      <c r="I13" s="2" t="s">
        <v>25</v>
      </c>
      <c r="K13" s="7" t="s">
        <v>26</v>
      </c>
      <c r="L13" s="1">
        <v>0.13864000000000001</v>
      </c>
    </row>
    <row r="14" spans="1:12" x14ac:dyDescent="0.25">
      <c r="A14" s="1" t="s">
        <v>27</v>
      </c>
      <c r="B14" s="1">
        <f>23/(39*2)</f>
        <v>0.29487179487179488</v>
      </c>
      <c r="D14" s="1" t="s">
        <v>28</v>
      </c>
      <c r="E14" s="1">
        <f>B49</f>
        <v>1.2491742758400002</v>
      </c>
      <c r="G14" s="1">
        <f>1/B13</f>
        <v>3.25</v>
      </c>
      <c r="K14" s="7" t="s">
        <v>29</v>
      </c>
      <c r="L14" s="1">
        <v>0.20372000000000001</v>
      </c>
    </row>
    <row r="15" spans="1:12" x14ac:dyDescent="0.25">
      <c r="A15" s="1" t="s">
        <v>30</v>
      </c>
      <c r="B15" s="1">
        <v>144</v>
      </c>
      <c r="D15" s="1" t="s">
        <v>31</v>
      </c>
      <c r="E15" s="1">
        <f>B50</f>
        <v>0.86748213600000001</v>
      </c>
      <c r="G15" s="1">
        <f>1/B14</f>
        <v>3.3913043478260869</v>
      </c>
      <c r="K15" s="7" t="s">
        <v>32</v>
      </c>
      <c r="L15" s="1">
        <v>0.11803</v>
      </c>
    </row>
    <row r="16" spans="1:12" x14ac:dyDescent="0.25">
      <c r="A16" s="1" t="s">
        <v>33</v>
      </c>
      <c r="B16" s="1">
        <v>16.11</v>
      </c>
      <c r="D16" s="1" t="s">
        <v>34</v>
      </c>
      <c r="E16" s="1">
        <v>0.06</v>
      </c>
      <c r="F16" s="3">
        <v>2.536</v>
      </c>
      <c r="K16" s="7" t="s">
        <v>35</v>
      </c>
      <c r="L16" s="1">
        <v>0.16228999999999999</v>
      </c>
    </row>
    <row r="17" spans="1:9" x14ac:dyDescent="0.25">
      <c r="A17" s="1" t="s">
        <v>36</v>
      </c>
      <c r="B17" s="1">
        <v>345</v>
      </c>
      <c r="D17" s="1" t="s">
        <v>37</v>
      </c>
      <c r="E17" s="1">
        <v>0.02</v>
      </c>
      <c r="F17" s="3">
        <v>3.4</v>
      </c>
      <c r="G17" s="1">
        <f>G15*Table14[[#This Row],[Column3]]</f>
        <v>11.530434782608696</v>
      </c>
    </row>
    <row r="18" spans="1:9" x14ac:dyDescent="0.25">
      <c r="A18" s="1" t="s">
        <v>38</v>
      </c>
      <c r="B18" s="1">
        <f>B17+B16+B15+B46+'2- Specification Data'!C13+'2- Specification Data'!D13+'2- Specification Data'!E13+'2- Specification Data'!F13</f>
        <v>656.61059999999998</v>
      </c>
      <c r="D18" s="1" t="s">
        <v>39</v>
      </c>
      <c r="E18" s="1">
        <v>0.05</v>
      </c>
      <c r="F18" s="3">
        <v>2.6360000000000001</v>
      </c>
      <c r="G18" s="1">
        <f>G15*F17*Table14[[#This Row],[Column3]]</f>
        <v>30.394226086956522</v>
      </c>
      <c r="H18" s="1">
        <f>Table14[[#This Row],[Column3]]*F17*F16*G15</f>
        <v>77.079757356521753</v>
      </c>
      <c r="I18" s="1">
        <f>F17*G7*G15</f>
        <v>33.543083003952567</v>
      </c>
    </row>
    <row r="19" spans="1:9" x14ac:dyDescent="0.25">
      <c r="D19" s="1" t="s">
        <v>40</v>
      </c>
      <c r="E19" s="1">
        <v>0.05</v>
      </c>
      <c r="F19" s="3">
        <v>1.9330000000000001</v>
      </c>
      <c r="G19" s="1">
        <f>G15*Table14[[#This Row],[Column3]]*F17</f>
        <v>22.288330434782608</v>
      </c>
      <c r="H19" s="1">
        <f>Table14[[#This Row],[Column3]]*F17*F16*G15</f>
        <v>56.523205982608694</v>
      </c>
      <c r="I19" s="1">
        <f>G8*F17*G15</f>
        <v>23.829565217391306</v>
      </c>
    </row>
    <row r="20" spans="1:9" x14ac:dyDescent="0.25">
      <c r="A20" s="1" t="s">
        <v>41</v>
      </c>
      <c r="B20" s="1">
        <v>0.7</v>
      </c>
      <c r="D20" s="1" t="s">
        <v>42</v>
      </c>
      <c r="E20" s="1">
        <v>0.05</v>
      </c>
      <c r="F20" s="3">
        <v>1.476</v>
      </c>
      <c r="G20" s="1">
        <f>Table14[[#This Row],[Column3]]*F17*G15</f>
        <v>17.018921739130434</v>
      </c>
      <c r="H20" s="1">
        <f>Table14[[#This Row],[Column3]]*F17*F16*G15</f>
        <v>43.159985530434781</v>
      </c>
      <c r="I20" s="1">
        <f>G9*F17*G15</f>
        <v>15.723320158102764</v>
      </c>
    </row>
    <row r="21" spans="1:9" x14ac:dyDescent="0.25">
      <c r="A21" s="1" t="s">
        <v>43</v>
      </c>
      <c r="B21" s="1">
        <v>2.23</v>
      </c>
    </row>
    <row r="22" spans="1:9" ht="18" x14ac:dyDescent="0.25">
      <c r="A22" s="1" t="s">
        <v>44</v>
      </c>
      <c r="B22" s="1">
        <v>1.167</v>
      </c>
    </row>
    <row r="23" spans="1:9" ht="16.5" x14ac:dyDescent="0.3">
      <c r="A23" s="1" t="s">
        <v>45</v>
      </c>
      <c r="B23" s="1">
        <v>1.2999999999999999E-2</v>
      </c>
    </row>
    <row r="24" spans="1:9" ht="16.5" x14ac:dyDescent="0.3">
      <c r="A24" s="1" t="s">
        <v>46</v>
      </c>
      <c r="B24" s="1">
        <v>0.02</v>
      </c>
    </row>
    <row r="25" spans="1:9" x14ac:dyDescent="0.25">
      <c r="A25" s="1" t="s">
        <v>47</v>
      </c>
      <c r="B25" s="1">
        <v>0.155</v>
      </c>
    </row>
    <row r="26" spans="1:9" x14ac:dyDescent="0.25">
      <c r="A26" s="1" t="s">
        <v>48</v>
      </c>
      <c r="B26" s="6">
        <v>0.1</v>
      </c>
    </row>
    <row r="27" spans="1:9" x14ac:dyDescent="0.25">
      <c r="A27" s="6" t="s">
        <v>49</v>
      </c>
      <c r="B27" s="6">
        <v>0.85</v>
      </c>
    </row>
    <row r="28" spans="1:9" x14ac:dyDescent="0.25">
      <c r="A28" s="6" t="s">
        <v>50</v>
      </c>
      <c r="B28" s="6">
        <v>0.7</v>
      </c>
    </row>
    <row r="29" spans="1:9" x14ac:dyDescent="0.25">
      <c r="A29" s="6" t="s">
        <v>51</v>
      </c>
      <c r="B29" s="6">
        <v>0.6</v>
      </c>
    </row>
    <row r="30" spans="1:9" x14ac:dyDescent="0.25">
      <c r="A30" s="6" t="s">
        <v>52</v>
      </c>
      <c r="B30" s="6">
        <v>0.3</v>
      </c>
    </row>
    <row r="32" spans="1:9" x14ac:dyDescent="0.25">
      <c r="A32" s="1" t="s">
        <v>53</v>
      </c>
      <c r="B32" s="1">
        <v>1940</v>
      </c>
    </row>
    <row r="33" spans="1:2" x14ac:dyDescent="0.25">
      <c r="A33" s="1" t="s">
        <v>54</v>
      </c>
      <c r="B33" s="1">
        <v>488</v>
      </c>
    </row>
    <row r="34" spans="1:2" x14ac:dyDescent="0.25">
      <c r="A34" s="1" t="s">
        <v>55</v>
      </c>
      <c r="B34" s="1">
        <v>1070</v>
      </c>
    </row>
    <row r="35" spans="1:2" x14ac:dyDescent="0.25">
      <c r="A35" s="1" t="s">
        <v>56</v>
      </c>
      <c r="B35" s="1">
        <v>870</v>
      </c>
    </row>
    <row r="36" spans="1:2" x14ac:dyDescent="0.25">
      <c r="A36" s="1" t="s">
        <v>57</v>
      </c>
      <c r="B36" s="1">
        <v>18</v>
      </c>
    </row>
    <row r="37" spans="1:2" x14ac:dyDescent="0.25">
      <c r="A37" s="1" t="s">
        <v>58</v>
      </c>
      <c r="B37" s="1">
        <v>0.31415900000000002</v>
      </c>
    </row>
    <row r="38" spans="1:2" x14ac:dyDescent="0.25">
      <c r="A38" s="1" t="s">
        <v>59</v>
      </c>
      <c r="B38" s="1">
        <v>0.32490999999999998</v>
      </c>
    </row>
    <row r="39" spans="1:2" x14ac:dyDescent="0.25">
      <c r="A39" s="1" t="s">
        <v>60</v>
      </c>
      <c r="B39" s="1">
        <v>207</v>
      </c>
    </row>
    <row r="40" spans="1:2" x14ac:dyDescent="0.25">
      <c r="A40" s="1" t="s">
        <v>61</v>
      </c>
      <c r="B40" s="1">
        <v>193</v>
      </c>
    </row>
    <row r="41" spans="1:2" x14ac:dyDescent="0.25">
      <c r="A41" s="1" t="s">
        <v>62</v>
      </c>
      <c r="B41" s="1">
        <f>B39*B32/B18</f>
        <v>611.59536565507779</v>
      </c>
    </row>
    <row r="42" spans="1:2" x14ac:dyDescent="0.25">
      <c r="A42" s="1" t="s">
        <v>63</v>
      </c>
      <c r="B42" s="1">
        <f>((B39-B40)*B32)/(B17*B38)+279.4</f>
        <v>521.69675196565026</v>
      </c>
    </row>
    <row r="44" spans="1:2" x14ac:dyDescent="0.25">
      <c r="A44" s="1" t="s">
        <v>64</v>
      </c>
      <c r="B44" s="1">
        <v>10.199999999999999</v>
      </c>
    </row>
    <row r="45" spans="1:2" x14ac:dyDescent="0.25">
      <c r="A45" s="1" t="s">
        <v>65</v>
      </c>
      <c r="B45" s="1">
        <v>6.4</v>
      </c>
    </row>
    <row r="46" spans="1:2" x14ac:dyDescent="0.25">
      <c r="A46" s="1" t="s">
        <v>66</v>
      </c>
      <c r="B46" s="1">
        <f>B44+B45</f>
        <v>16.600000000000001</v>
      </c>
    </row>
    <row r="47" spans="1:2" ht="16.5" x14ac:dyDescent="0.3">
      <c r="A47" s="1" t="s">
        <v>67</v>
      </c>
      <c r="B47" s="1">
        <f>B11*0.9/1000</f>
        <v>0.27432000000000001</v>
      </c>
    </row>
    <row r="48" spans="1:2" ht="18" x14ac:dyDescent="0.25">
      <c r="A48" s="1" t="s">
        <v>68</v>
      </c>
      <c r="B48" s="1">
        <f>B12*0.9/1000</f>
        <v>0.2286</v>
      </c>
    </row>
    <row r="49" spans="1:2" x14ac:dyDescent="0.25">
      <c r="A49" s="1" t="s">
        <v>69</v>
      </c>
      <c r="B49" s="1">
        <f>B46*B47^2</f>
        <v>1.2491742758400002</v>
      </c>
    </row>
    <row r="50" spans="1:2" x14ac:dyDescent="0.25">
      <c r="A50" s="1" t="s">
        <v>70</v>
      </c>
      <c r="B50" s="1">
        <f>B46*B48^2</f>
        <v>0.86748213600000001</v>
      </c>
    </row>
    <row r="51" spans="1:2" x14ac:dyDescent="0.25">
      <c r="A51" s="1" t="s">
        <v>71</v>
      </c>
      <c r="B51" s="1">
        <v>0.17</v>
      </c>
    </row>
    <row r="52" spans="1:2" x14ac:dyDescent="0.25">
      <c r="A52" s="1" t="s">
        <v>72</v>
      </c>
      <c r="B52" s="1">
        <f>B$18+(4*(B$50/B$14^2))+(B$51*(G7^2/B$14^2))</f>
        <v>713.06421115882472</v>
      </c>
    </row>
    <row r="53" spans="1:2" x14ac:dyDescent="0.25">
      <c r="A53" s="1" t="s">
        <v>73</v>
      </c>
      <c r="B53" s="1">
        <f>B$18+(4*(B$50/B$14^2))+(B$51*(G8^2/B$14^2))</f>
        <v>704.8687664682343</v>
      </c>
    </row>
    <row r="54" spans="1:2" x14ac:dyDescent="0.25">
      <c r="A54" s="1" t="s">
        <v>74</v>
      </c>
      <c r="B54" s="1">
        <f>B$18+(4*(B$50/B$14^2))+(B$51*(G9^2/B$14^2))</f>
        <v>700.1536873262387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281"/>
  <sheetViews>
    <sheetView zoomScale="91" zoomScaleNormal="91" workbookViewId="0">
      <pane ySplit="1" topLeftCell="A148" activePane="bottomLeft" state="frozen"/>
      <selection pane="bottomLeft" activeCell="G158" sqref="G158"/>
    </sheetView>
  </sheetViews>
  <sheetFormatPr defaultColWidth="9.140625" defaultRowHeight="15" x14ac:dyDescent="0.25"/>
  <cols>
    <col min="1" max="1" width="22.42578125" style="6" bestFit="1" customWidth="1"/>
    <col min="2" max="2" width="18" style="17" bestFit="1" customWidth="1"/>
    <col min="3" max="3" width="9.140625" style="6" bestFit="1" customWidth="1"/>
    <col min="4" max="4" width="14.7109375" style="6" bestFit="1" customWidth="1"/>
    <col min="5" max="5" width="15.5703125" style="12" bestFit="1" customWidth="1"/>
    <col min="6" max="6" width="13.85546875" style="12" bestFit="1" customWidth="1"/>
    <col min="7" max="7" width="12.7109375" style="13" bestFit="1" customWidth="1"/>
    <col min="8" max="8" width="17.42578125" style="12" bestFit="1" customWidth="1"/>
    <col min="9" max="9" width="17.28515625" style="12" bestFit="1" customWidth="1"/>
    <col min="10" max="10" width="9.5703125" style="6" customWidth="1"/>
    <col min="11" max="11" width="8.42578125" style="6" customWidth="1"/>
    <col min="12" max="12" width="8.42578125" style="12" customWidth="1"/>
    <col min="13" max="13" width="8.42578125" style="6" customWidth="1"/>
    <col min="14" max="14" width="8.42578125" style="12" customWidth="1"/>
    <col min="15" max="15" width="25.85546875" style="12" bestFit="1" customWidth="1"/>
    <col min="16" max="16" width="18.5703125" style="14" bestFit="1" customWidth="1"/>
    <col min="17" max="17" width="21.7109375" style="12" bestFit="1" customWidth="1"/>
    <col min="18" max="18" width="19.85546875" style="12" bestFit="1" customWidth="1"/>
    <col min="19" max="19" width="21.140625" style="6" customWidth="1"/>
    <col min="20" max="20" width="11.140625" style="12" hidden="1" customWidth="1"/>
    <col min="21" max="21" width="22.7109375" style="14" bestFit="1" customWidth="1"/>
    <col min="22" max="22" width="19.7109375" style="14" customWidth="1"/>
    <col min="23" max="23" width="13.140625" style="14" customWidth="1"/>
    <col min="24" max="24" width="14.140625" style="14" customWidth="1"/>
    <col min="25" max="25" width="12.42578125" style="14" bestFit="1" customWidth="1"/>
    <col min="26" max="26" width="12.85546875" style="14" bestFit="1" customWidth="1"/>
    <col min="27" max="27" width="12.42578125" style="14" bestFit="1" customWidth="1"/>
    <col min="28" max="28" width="13.28515625" style="18" customWidth="1"/>
    <col min="29" max="29" width="11.42578125" style="18" customWidth="1"/>
    <col min="30" max="30" width="12.5703125" style="14" customWidth="1"/>
    <col min="31" max="31" width="12.7109375" style="14" customWidth="1"/>
    <col min="32" max="32" width="13" style="12" customWidth="1"/>
    <col min="33" max="33" width="10.28515625" style="12" bestFit="1" customWidth="1"/>
    <col min="34" max="34" width="13.28515625" style="12" bestFit="1" customWidth="1"/>
    <col min="35" max="35" width="12.140625" style="12" customWidth="1"/>
    <col min="36" max="36" width="12.85546875" style="12" customWidth="1"/>
    <col min="37" max="37" width="10.5703125" style="12" customWidth="1"/>
    <col min="38" max="16384" width="9.140625" style="6"/>
  </cols>
  <sheetData>
    <row r="1" spans="1:37" s="15" customFormat="1" ht="14.25" x14ac:dyDescent="0.2">
      <c r="C1" s="15" t="s">
        <v>75</v>
      </c>
      <c r="D1" s="15" t="s">
        <v>76</v>
      </c>
      <c r="E1" s="10" t="s">
        <v>77</v>
      </c>
      <c r="F1" s="10" t="s">
        <v>78</v>
      </c>
      <c r="G1" s="10" t="s">
        <v>79</v>
      </c>
      <c r="H1" s="10" t="s">
        <v>80</v>
      </c>
      <c r="I1" s="10" t="s">
        <v>81</v>
      </c>
      <c r="J1" s="15" t="s">
        <v>82</v>
      </c>
      <c r="K1" s="15" t="s">
        <v>83</v>
      </c>
      <c r="L1" s="10" t="s">
        <v>84</v>
      </c>
      <c r="M1" s="15" t="s">
        <v>85</v>
      </c>
      <c r="N1" s="10" t="s">
        <v>86</v>
      </c>
      <c r="O1" s="10" t="s">
        <v>87</v>
      </c>
      <c r="P1" s="11" t="s">
        <v>88</v>
      </c>
      <c r="Q1" s="10" t="s">
        <v>89</v>
      </c>
      <c r="R1" s="10" t="s">
        <v>90</v>
      </c>
      <c r="S1" s="15" t="s">
        <v>91</v>
      </c>
      <c r="T1" s="10" t="s">
        <v>92</v>
      </c>
      <c r="U1" s="11" t="s">
        <v>93</v>
      </c>
      <c r="V1" s="11"/>
      <c r="W1" s="11"/>
      <c r="X1" s="11"/>
      <c r="Y1" s="11"/>
      <c r="Z1" s="11"/>
      <c r="AA1" s="11"/>
      <c r="AB1" s="16"/>
      <c r="AC1" s="16"/>
      <c r="AD1" s="11"/>
      <c r="AE1" s="11"/>
      <c r="AF1" s="10"/>
      <c r="AG1" s="10"/>
      <c r="AH1" s="10"/>
      <c r="AI1" s="10"/>
      <c r="AJ1" s="10"/>
      <c r="AK1" s="10"/>
    </row>
    <row r="2" spans="1:37" x14ac:dyDescent="0.25">
      <c r="A2" s="6" t="s">
        <v>94</v>
      </c>
      <c r="C2" s="6">
        <v>0</v>
      </c>
      <c r="D2" s="6">
        <v>0</v>
      </c>
      <c r="E2" s="12">
        <f>F2*3.6</f>
        <v>0</v>
      </c>
      <c r="F2" s="12">
        <f>D2/2.23694</f>
        <v>0</v>
      </c>
      <c r="G2" s="13">
        <v>0</v>
      </c>
      <c r="H2" s="12">
        <v>0</v>
      </c>
      <c r="I2" s="12">
        <v>0</v>
      </c>
      <c r="J2" s="6">
        <v>0</v>
      </c>
      <c r="K2" s="6">
        <v>0</v>
      </c>
      <c r="L2" s="12">
        <v>0</v>
      </c>
      <c r="M2" s="6">
        <v>0</v>
      </c>
      <c r="N2" s="12">
        <v>0</v>
      </c>
      <c r="O2" s="12">
        <f>K2+L2+M2+N2</f>
        <v>0</v>
      </c>
      <c r="P2" s="14">
        <f>IF(O2&gt;=0,O2,IF(O2&lt;0,-O2))</f>
        <v>0</v>
      </c>
      <c r="Q2" s="12">
        <v>521.71</v>
      </c>
      <c r="R2" s="12">
        <f>(0.5*'1-Specification &amp; Data'!B$18*'1-Simulation'!F2^2)/1000</f>
        <v>0</v>
      </c>
      <c r="S2" s="6">
        <f t="shared" ref="S2:S65" si="0">(Q2*9.81*T2)/1000</f>
        <v>0</v>
      </c>
      <c r="T2" s="12">
        <v>0</v>
      </c>
      <c r="U2" s="14">
        <v>0</v>
      </c>
    </row>
    <row r="3" spans="1:37" x14ac:dyDescent="0.25">
      <c r="C3" s="6">
        <f>C2+1</f>
        <v>1</v>
      </c>
      <c r="D3" s="6">
        <v>5.7</v>
      </c>
      <c r="E3" s="12">
        <f t="shared" ref="E3:E66" si="1">F3*3.6</f>
        <v>9.1732455944281028</v>
      </c>
      <c r="F3" s="12">
        <f>D3/2.23694</f>
        <v>2.5481237762300286</v>
      </c>
      <c r="G3" s="13">
        <f>G2+((F3+F2)/2)</f>
        <v>1.2740618881150143</v>
      </c>
      <c r="H3" s="12">
        <f>(F3+F2)/2</f>
        <v>1.2740618881150143</v>
      </c>
      <c r="I3" s="12">
        <f>(H3-F2)*2</f>
        <v>2.5481237762300286</v>
      </c>
      <c r="J3" s="6">
        <f>IF(D3&lt;=10,1,IF(AND(D3&gt;10,D3&lt;=20),2,IF(D3&gt;20,3)))</f>
        <v>1</v>
      </c>
      <c r="K3" s="6">
        <v>0</v>
      </c>
      <c r="L3" s="12">
        <f>('1-Specification &amp; Data'!B$22*'1-Specification &amp; Data'!B$10*'1-Specification &amp; Data'!B$20*('1-Simulation'!F3^2-'1-Specification &amp; Data'!B$21^2))/2</f>
        <v>0.71460779450514067</v>
      </c>
      <c r="M3" s="6">
        <f t="shared" ref="M3:M66" si="2">Q3*I3</f>
        <v>1816.9758704325109</v>
      </c>
      <c r="N3" s="12">
        <f>'1-Specification &amp; Data'!B$23*'1-Specification &amp; Data'!B$18*8.91</f>
        <v>76.055205797999989</v>
      </c>
      <c r="O3" s="12">
        <f t="shared" ref="O3:O66" si="3">K3+L3+M3+N3</f>
        <v>1893.7456840250161</v>
      </c>
      <c r="P3" s="14">
        <f t="shared" ref="P3:P66" si="4">IF(O3&gt;=0,O3,IF(O3&lt;0,-O3))</f>
        <v>1893.7456840250161</v>
      </c>
      <c r="Q3" s="12">
        <f>IF(J3=1,'1-Specification &amp; Data'!B$52,IF('1-Simulation'!J3=2,'1-Specification &amp; Data'!B$53,IF('1-Simulation'!J3=3,'1-Specification &amp; Data'!B$54)))</f>
        <v>713.06421115882472</v>
      </c>
      <c r="R3" s="12">
        <f>(0.5*'1-Specification &amp; Data'!B$18*'1-Simulation'!F3^2)/1000</f>
        <v>2.1316649004963457</v>
      </c>
      <c r="S3" s="6">
        <f t="shared" si="0"/>
        <v>0</v>
      </c>
      <c r="T3" s="12">
        <v>0</v>
      </c>
      <c r="U3" s="14">
        <f>O3*'1-Specification &amp; Data'!B$14*0.9</f>
        <v>502.57096999125434</v>
      </c>
    </row>
    <row r="4" spans="1:37" x14ac:dyDescent="0.25">
      <c r="C4" s="6">
        <f t="shared" ref="C4:C67" si="5">C3+1</f>
        <v>2</v>
      </c>
      <c r="D4" s="6">
        <v>6.9</v>
      </c>
      <c r="E4" s="12">
        <f t="shared" si="1"/>
        <v>11.10445519325507</v>
      </c>
      <c r="F4" s="12">
        <f t="shared" ref="F4:F67" si="6">D4/2.23694</f>
        <v>3.0845708870152975</v>
      </c>
      <c r="G4" s="13">
        <f t="shared" ref="G4:G67" si="7">G3+((F4+F3)/2)</f>
        <v>4.0904092197376771</v>
      </c>
      <c r="H4" s="12">
        <f t="shared" ref="H4:H67" si="8">(F4+F3)/2</f>
        <v>2.816347331622663</v>
      </c>
      <c r="I4" s="12">
        <f t="shared" ref="I4:I67" si="9">(H4-F3)*2</f>
        <v>0.53644711078526885</v>
      </c>
      <c r="J4" s="6">
        <f t="shared" ref="J4:J67" si="10">IF(D4&lt;=10,1,IF(AND(D4&gt;10,D4&lt;=20),2,IF(D4&gt;20,3)))</f>
        <v>1</v>
      </c>
      <c r="K4" s="6">
        <v>0</v>
      </c>
      <c r="L4" s="12">
        <f>('1-Specification &amp; Data'!B$22*'1-Specification &amp; Data'!B$10*'1-Specification &amp; Data'!B$20*('1-Simulation'!F4^2-'1-Specification &amp; Data'!B$21^2))/2</f>
        <v>2.1351604760888061</v>
      </c>
      <c r="M4" s="6">
        <f t="shared" si="2"/>
        <v>382.52123588052837</v>
      </c>
      <c r="N4" s="12">
        <f>'1-Specification &amp; Data'!B$23*'1-Specification &amp; Data'!B$18*8.91</f>
        <v>76.055205797999989</v>
      </c>
      <c r="O4" s="12">
        <f t="shared" si="3"/>
        <v>460.71160215461714</v>
      </c>
      <c r="P4" s="14">
        <f t="shared" si="4"/>
        <v>460.71160215461714</v>
      </c>
      <c r="Q4" s="12">
        <f>IF(J4=1,'1-Specification &amp; Data'!B$52,IF('1-Simulation'!J4=2,'1-Specification &amp; Data'!B$53,IF('1-Simulation'!J4=3,'1-Specification &amp; Data'!B$54)))</f>
        <v>713.06421115882472</v>
      </c>
      <c r="R4" s="12">
        <f>(0.5*'1-Specification &amp; Data'!B$18*'1-Simulation'!F4^2)/1000</f>
        <v>3.1236862392314859</v>
      </c>
      <c r="S4" s="6">
        <f t="shared" si="0"/>
        <v>0</v>
      </c>
      <c r="T4" s="12">
        <v>0</v>
      </c>
      <c r="U4" s="14">
        <f>O4*'1-Specification &amp; Data'!B$14*0.9</f>
        <v>122.26577134103303</v>
      </c>
    </row>
    <row r="5" spans="1:37" x14ac:dyDescent="0.25">
      <c r="C5" s="6">
        <f t="shared" si="5"/>
        <v>3</v>
      </c>
      <c r="D5" s="6">
        <v>8</v>
      </c>
      <c r="E5" s="12">
        <f t="shared" si="1"/>
        <v>12.87473065884646</v>
      </c>
      <c r="F5" s="12">
        <f t="shared" si="6"/>
        <v>3.5763140719017943</v>
      </c>
      <c r="G5" s="13">
        <f t="shared" si="7"/>
        <v>7.4208516991962234</v>
      </c>
      <c r="H5" s="12">
        <f t="shared" si="8"/>
        <v>3.3304424794585459</v>
      </c>
      <c r="I5" s="12">
        <f t="shared" si="9"/>
        <v>0.49174318488649682</v>
      </c>
      <c r="J5" s="6">
        <f t="shared" si="10"/>
        <v>1</v>
      </c>
      <c r="K5" s="6">
        <v>0</v>
      </c>
      <c r="L5" s="12">
        <f>('1-Specification &amp; Data'!B$22*'1-Specification &amp; Data'!B$10*'1-Specification &amp; Data'!B$20*('1-Simulation'!F5^2-'1-Specification &amp; Data'!B$21^2))/2</f>
        <v>3.6750320667737468</v>
      </c>
      <c r="M5" s="6">
        <f t="shared" si="2"/>
        <v>350.64446622381797</v>
      </c>
      <c r="N5" s="12">
        <f>'1-Specification &amp; Data'!B$23*'1-Specification &amp; Data'!B$18*8.91</f>
        <v>76.055205797999989</v>
      </c>
      <c r="O5" s="12">
        <f t="shared" si="3"/>
        <v>430.37470408859167</v>
      </c>
      <c r="P5" s="14">
        <f t="shared" si="4"/>
        <v>430.37470408859167</v>
      </c>
      <c r="Q5" s="12">
        <f>IF(J5=1,'1-Specification &amp; Data'!B$52,IF('1-Simulation'!J5=2,'1-Specification &amp; Data'!B$53,IF('1-Simulation'!J5=3,'1-Specification &amp; Data'!B$54)))</f>
        <v>713.06421115882472</v>
      </c>
      <c r="R5" s="12">
        <f>(0.5*'1-Specification &amp; Data'!B$18*'1-Simulation'!F5^2)/1000</f>
        <v>4.1990321216302275</v>
      </c>
      <c r="S5" s="6">
        <f t="shared" si="0"/>
        <v>0</v>
      </c>
      <c r="T5" s="12">
        <v>0</v>
      </c>
      <c r="U5" s="14">
        <f>O5*'1-Specification &amp; Data'!B$14*0.9</f>
        <v>114.21482531581856</v>
      </c>
    </row>
    <row r="6" spans="1:37" x14ac:dyDescent="0.25">
      <c r="C6" s="6">
        <f t="shared" si="5"/>
        <v>4</v>
      </c>
      <c r="D6" s="6">
        <v>10</v>
      </c>
      <c r="E6" s="12">
        <f t="shared" si="1"/>
        <v>16.093413323558075</v>
      </c>
      <c r="F6" s="12">
        <f t="shared" si="6"/>
        <v>4.4703925898772425</v>
      </c>
      <c r="G6" s="13">
        <f t="shared" si="7"/>
        <v>11.444205030085742</v>
      </c>
      <c r="H6" s="12">
        <f t="shared" si="8"/>
        <v>4.0233533308895186</v>
      </c>
      <c r="I6" s="12">
        <f t="shared" si="9"/>
        <v>0.89407851797544868</v>
      </c>
      <c r="J6" s="6">
        <f t="shared" si="10"/>
        <v>1</v>
      </c>
      <c r="K6" s="6">
        <v>0</v>
      </c>
      <c r="L6" s="12">
        <f>('1-Specification &amp; Data'!B$22*'1-Specification &amp; Data'!B$10*'1-Specification &amp; Data'!B$20*('1-Simulation'!F6^2-'1-Specification &amp; Data'!B$21^2))/2</f>
        <v>7.0573003562586658</v>
      </c>
      <c r="M6" s="6">
        <f t="shared" si="2"/>
        <v>637.53539313421436</v>
      </c>
      <c r="N6" s="12">
        <f>'1-Specification &amp; Data'!B$23*'1-Specification &amp; Data'!B$18*8.91</f>
        <v>76.055205797999989</v>
      </c>
      <c r="O6" s="12">
        <f t="shared" si="3"/>
        <v>720.64789928847301</v>
      </c>
      <c r="P6" s="14">
        <f t="shared" si="4"/>
        <v>720.64789928847301</v>
      </c>
      <c r="Q6" s="12">
        <f>IF(J6=1,'1-Specification &amp; Data'!B$52,IF('1-Simulation'!J6=2,'1-Specification &amp; Data'!B$53,IF('1-Simulation'!J6=3,'1-Specification &amp; Data'!B$54)))</f>
        <v>713.06421115882472</v>
      </c>
      <c r="R6" s="12">
        <f>(0.5*'1-Specification &amp; Data'!B$18*'1-Simulation'!F6^2)/1000</f>
        <v>6.560987690047229</v>
      </c>
      <c r="S6" s="6">
        <f t="shared" si="0"/>
        <v>0</v>
      </c>
      <c r="T6" s="12">
        <v>0</v>
      </c>
      <c r="U6" s="14">
        <f>O6*'1-Specification &amp; Data'!B$14*0.9</f>
        <v>191.24886558040245</v>
      </c>
    </row>
    <row r="7" spans="1:37" x14ac:dyDescent="0.25">
      <c r="C7" s="6">
        <f t="shared" si="5"/>
        <v>5</v>
      </c>
      <c r="D7" s="6">
        <v>10.1</v>
      </c>
      <c r="E7" s="12">
        <f t="shared" si="1"/>
        <v>16.254347456793653</v>
      </c>
      <c r="F7" s="12">
        <f t="shared" si="6"/>
        <v>4.5150965157760146</v>
      </c>
      <c r="G7" s="13">
        <f t="shared" si="7"/>
        <v>15.936949582912371</v>
      </c>
      <c r="H7" s="12">
        <f t="shared" si="8"/>
        <v>4.492744552826629</v>
      </c>
      <c r="I7" s="12">
        <f t="shared" si="9"/>
        <v>4.4703925898772923E-2</v>
      </c>
      <c r="J7" s="6">
        <f t="shared" si="10"/>
        <v>2</v>
      </c>
      <c r="K7" s="6">
        <v>0</v>
      </c>
      <c r="L7" s="12">
        <f>('1-Specification &amp; Data'!B$22*'1-Specification &amp; Data'!B$10*'1-Specification &amp; Data'!B$20*('1-Simulation'!F7^2-'1-Specification &amp; Data'!B$21^2))/2</f>
        <v>7.2461436690882381</v>
      </c>
      <c r="M7" s="6">
        <f t="shared" si="2"/>
        <v>31.510401104555424</v>
      </c>
      <c r="N7" s="12">
        <f>'1-Specification &amp; Data'!B$23*'1-Specification &amp; Data'!B$18*8.91</f>
        <v>76.055205797999989</v>
      </c>
      <c r="O7" s="12">
        <f t="shared" si="3"/>
        <v>114.81175057164364</v>
      </c>
      <c r="P7" s="14">
        <f t="shared" si="4"/>
        <v>114.81175057164364</v>
      </c>
      <c r="Q7" s="12">
        <f>IF(J7=1,'1-Specification &amp; Data'!B$52,IF('1-Simulation'!J7=2,'1-Specification &amp; Data'!B$53,IF('1-Simulation'!J7=3,'1-Specification &amp; Data'!B$54)))</f>
        <v>704.8687664682343</v>
      </c>
      <c r="R7" s="12">
        <f>(0.5*'1-Specification &amp; Data'!B$18*'1-Simulation'!F7^2)/1000</f>
        <v>6.692863542617177</v>
      </c>
      <c r="S7" s="6">
        <f t="shared" si="0"/>
        <v>0</v>
      </c>
      <c r="T7" s="12">
        <v>0</v>
      </c>
      <c r="U7" s="14">
        <f>O7*'1-Specification &amp; Data'!B$14*0.9</f>
        <v>30.469272267090048</v>
      </c>
    </row>
    <row r="8" spans="1:37" x14ac:dyDescent="0.25">
      <c r="C8" s="6">
        <f t="shared" si="5"/>
        <v>6</v>
      </c>
      <c r="D8" s="6">
        <v>11</v>
      </c>
      <c r="E8" s="12">
        <f t="shared" si="1"/>
        <v>17.702754655913882</v>
      </c>
      <c r="F8" s="12">
        <f t="shared" si="6"/>
        <v>4.9174318488649673</v>
      </c>
      <c r="G8" s="13">
        <f t="shared" si="7"/>
        <v>20.653213765232863</v>
      </c>
      <c r="H8" s="12">
        <f t="shared" si="8"/>
        <v>4.7162641823204909</v>
      </c>
      <c r="I8" s="12">
        <f t="shared" si="9"/>
        <v>0.40233533308895275</v>
      </c>
      <c r="J8" s="6">
        <f t="shared" si="10"/>
        <v>2</v>
      </c>
      <c r="K8" s="6">
        <v>0</v>
      </c>
      <c r="L8" s="12">
        <f>('1-Specification &amp; Data'!B$22*'1-Specification &amp; Data'!B$10*'1-Specification &amp; Data'!B$20*('1-Simulation'!F8^2-'1-Specification &amp; Data'!B$21^2))/2</f>
        <v>9.0302901917915381</v>
      </c>
      <c r="M8" s="6">
        <f t="shared" si="2"/>
        <v>283.59360994099632</v>
      </c>
      <c r="N8" s="12">
        <f>'1-Specification &amp; Data'!B$23*'1-Specification &amp; Data'!B$18*8.91</f>
        <v>76.055205797999989</v>
      </c>
      <c r="O8" s="12">
        <f t="shared" si="3"/>
        <v>368.67910593078784</v>
      </c>
      <c r="P8" s="14">
        <f t="shared" si="4"/>
        <v>368.67910593078784</v>
      </c>
      <c r="Q8" s="12">
        <f>IF(J8=1,'1-Specification &amp; Data'!B$52,IF('1-Simulation'!J8=2,'1-Specification &amp; Data'!B$53,IF('1-Simulation'!J8=3,'1-Specification &amp; Data'!B$54)))</f>
        <v>704.8687664682343</v>
      </c>
      <c r="R8" s="12">
        <f>(0.5*'1-Specification &amp; Data'!B$18*'1-Simulation'!F8^2)/1000</f>
        <v>7.9387951049571495</v>
      </c>
      <c r="S8" s="6">
        <f t="shared" si="0"/>
        <v>0</v>
      </c>
      <c r="T8" s="12">
        <v>0</v>
      </c>
      <c r="U8" s="14">
        <f>O8*'1-Specification &amp; Data'!B$14*0.9</f>
        <v>97.841762727786005</v>
      </c>
    </row>
    <row r="9" spans="1:37" x14ac:dyDescent="0.25">
      <c r="C9" s="6">
        <f t="shared" si="5"/>
        <v>7</v>
      </c>
      <c r="D9" s="6">
        <v>12</v>
      </c>
      <c r="E9" s="12">
        <f t="shared" si="1"/>
        <v>19.312095988269689</v>
      </c>
      <c r="F9" s="12">
        <f t="shared" si="6"/>
        <v>5.3644711078526912</v>
      </c>
      <c r="G9" s="13">
        <f t="shared" si="7"/>
        <v>25.794165243591692</v>
      </c>
      <c r="H9" s="12">
        <f t="shared" si="8"/>
        <v>5.1409514783588293</v>
      </c>
      <c r="I9" s="12">
        <f t="shared" si="9"/>
        <v>0.4470392589877239</v>
      </c>
      <c r="J9" s="6">
        <f t="shared" si="10"/>
        <v>2</v>
      </c>
      <c r="K9" s="6">
        <v>0</v>
      </c>
      <c r="L9" s="12">
        <f>('1-Specification &amp; Data'!B$22*'1-Specification &amp; Data'!B$10*'1-Specification &amp; Data'!B$20*('1-Simulation'!F9^2-'1-Specification &amp; Data'!B$21^2))/2</f>
        <v>11.19118382118468</v>
      </c>
      <c r="M9" s="6">
        <f t="shared" si="2"/>
        <v>315.10401104555046</v>
      </c>
      <c r="N9" s="12">
        <f>'1-Specification &amp; Data'!B$23*'1-Specification &amp; Data'!B$18*8.91</f>
        <v>76.055205797999989</v>
      </c>
      <c r="O9" s="12">
        <f t="shared" si="3"/>
        <v>402.3504006647351</v>
      </c>
      <c r="P9" s="14">
        <f t="shared" si="4"/>
        <v>402.3504006647351</v>
      </c>
      <c r="Q9" s="12">
        <f>IF(J9=1,'1-Specification &amp; Data'!B$52,IF('1-Simulation'!J9=2,'1-Specification &amp; Data'!B$53,IF('1-Simulation'!J9=3,'1-Specification &amp; Data'!B$54)))</f>
        <v>704.8687664682343</v>
      </c>
      <c r="R9" s="12">
        <f>(0.5*'1-Specification &amp; Data'!B$18*'1-Simulation'!F9^2)/1000</f>
        <v>9.4478222736680113</v>
      </c>
      <c r="S9" s="6">
        <f t="shared" si="0"/>
        <v>0</v>
      </c>
      <c r="T9" s="12">
        <v>0</v>
      </c>
      <c r="U9" s="14">
        <f>O9*'1-Specification &amp; Data'!B$14*0.9</f>
        <v>106.77760633025663</v>
      </c>
    </row>
    <row r="10" spans="1:37" x14ac:dyDescent="0.25">
      <c r="C10" s="6">
        <f t="shared" si="5"/>
        <v>8</v>
      </c>
      <c r="D10" s="6">
        <v>14</v>
      </c>
      <c r="E10" s="12">
        <f t="shared" si="1"/>
        <v>22.530778652981304</v>
      </c>
      <c r="F10" s="12">
        <f t="shared" si="6"/>
        <v>6.2585496258281399</v>
      </c>
      <c r="G10" s="13">
        <f t="shared" si="7"/>
        <v>31.605675610432108</v>
      </c>
      <c r="H10" s="12">
        <f t="shared" si="8"/>
        <v>5.811510366840416</v>
      </c>
      <c r="I10" s="12">
        <f t="shared" si="9"/>
        <v>0.89407851797544957</v>
      </c>
      <c r="J10" s="6">
        <f t="shared" si="10"/>
        <v>2</v>
      </c>
      <c r="K10" s="6">
        <v>0</v>
      </c>
      <c r="L10" s="12">
        <f>('1-Specification &amp; Data'!B$22*'1-Specification &amp; Data'!B$10*'1-Specification &amp; Data'!B$20*('1-Simulation'!F10^2-'1-Specification &amp; Data'!B$21^2))/2</f>
        <v>16.076682461551783</v>
      </c>
      <c r="M10" s="6">
        <f t="shared" si="2"/>
        <v>630.20802209110218</v>
      </c>
      <c r="N10" s="12">
        <f>'1-Specification &amp; Data'!B$23*'1-Specification &amp; Data'!B$18*8.91</f>
        <v>76.055205797999989</v>
      </c>
      <c r="O10" s="12">
        <f t="shared" si="3"/>
        <v>722.33991035065389</v>
      </c>
      <c r="P10" s="14">
        <f t="shared" si="4"/>
        <v>722.33991035065389</v>
      </c>
      <c r="Q10" s="12">
        <f>IF(J10=1,'1-Specification &amp; Data'!B$52,IF('1-Simulation'!J10=2,'1-Specification &amp; Data'!B$53,IF('1-Simulation'!J10=3,'1-Specification &amp; Data'!B$54)))</f>
        <v>704.8687664682343</v>
      </c>
      <c r="R10" s="12">
        <f>(0.5*'1-Specification &amp; Data'!B$18*'1-Simulation'!F10^2)/1000</f>
        <v>12.85953587249257</v>
      </c>
      <c r="S10" s="6">
        <f t="shared" si="0"/>
        <v>0</v>
      </c>
      <c r="T10" s="12">
        <v>0</v>
      </c>
      <c r="U10" s="14">
        <f>O10*'1-Specification &amp; Data'!B$14*0.9</f>
        <v>191.69789928536585</v>
      </c>
    </row>
    <row r="11" spans="1:37" x14ac:dyDescent="0.25">
      <c r="C11" s="6">
        <f t="shared" si="5"/>
        <v>9</v>
      </c>
      <c r="D11" s="6">
        <v>16</v>
      </c>
      <c r="E11" s="12">
        <f t="shared" si="1"/>
        <v>25.749461317692919</v>
      </c>
      <c r="F11" s="12">
        <f t="shared" si="6"/>
        <v>7.1526281438035886</v>
      </c>
      <c r="G11" s="13">
        <f t="shared" si="7"/>
        <v>38.311264495247968</v>
      </c>
      <c r="H11" s="12">
        <f t="shared" si="8"/>
        <v>6.7055888848158638</v>
      </c>
      <c r="I11" s="12">
        <f t="shared" si="9"/>
        <v>0.8940785179754478</v>
      </c>
      <c r="J11" s="6">
        <f t="shared" si="10"/>
        <v>2</v>
      </c>
      <c r="K11" s="6">
        <v>0</v>
      </c>
      <c r="L11" s="12">
        <f>('1-Specification &amp; Data'!B$22*'1-Specification &amp; Data'!B$10*'1-Specification &amp; Data'!B$20*('1-Simulation'!F11^2-'1-Specification &amp; Data'!B$21^2))/2</f>
        <v>21.713796277359986</v>
      </c>
      <c r="M11" s="6">
        <f t="shared" si="2"/>
        <v>630.20802209110093</v>
      </c>
      <c r="N11" s="12">
        <f>'1-Specification &amp; Data'!B$23*'1-Specification &amp; Data'!B$18*8.91</f>
        <v>76.055205797999989</v>
      </c>
      <c r="O11" s="12">
        <f t="shared" si="3"/>
        <v>727.97702416646086</v>
      </c>
      <c r="P11" s="14">
        <f t="shared" si="4"/>
        <v>727.97702416646086</v>
      </c>
      <c r="Q11" s="12">
        <f>IF(J11=1,'1-Specification &amp; Data'!B$52,IF('1-Simulation'!J11=2,'1-Specification &amp; Data'!B$53,IF('1-Simulation'!J11=3,'1-Specification &amp; Data'!B$54)))</f>
        <v>704.8687664682343</v>
      </c>
      <c r="R11" s="12">
        <f>(0.5*'1-Specification &amp; Data'!B$18*'1-Simulation'!F11^2)/1000</f>
        <v>16.79612848652091</v>
      </c>
      <c r="S11" s="6">
        <f t="shared" si="0"/>
        <v>0</v>
      </c>
      <c r="T11" s="12">
        <v>0</v>
      </c>
      <c r="U11" s="14">
        <f>O11*'1-Specification &amp; Data'!B$14*0.9</f>
        <v>193.19390256725308</v>
      </c>
    </row>
    <row r="12" spans="1:37" x14ac:dyDescent="0.25">
      <c r="C12" s="6">
        <f t="shared" si="5"/>
        <v>10</v>
      </c>
      <c r="D12" s="6">
        <v>18</v>
      </c>
      <c r="E12" s="12">
        <f t="shared" si="1"/>
        <v>28.968143982404534</v>
      </c>
      <c r="F12" s="12">
        <f t="shared" si="6"/>
        <v>8.0467066617790373</v>
      </c>
      <c r="G12" s="13">
        <f t="shared" si="7"/>
        <v>45.91093189803928</v>
      </c>
      <c r="H12" s="12">
        <f t="shared" si="8"/>
        <v>7.5996674027913134</v>
      </c>
      <c r="I12" s="12">
        <f t="shared" si="9"/>
        <v>0.89407851797544957</v>
      </c>
      <c r="J12" s="6">
        <f t="shared" si="10"/>
        <v>2</v>
      </c>
      <c r="K12" s="6">
        <v>0</v>
      </c>
      <c r="L12" s="12">
        <f>('1-Specification &amp; Data'!B$22*'1-Specification &amp; Data'!B$10*'1-Specification &amp; Data'!B$20*('1-Simulation'!F12^2-'1-Specification &amp; Data'!B$21^2))/2</f>
        <v>28.102525268609277</v>
      </c>
      <c r="M12" s="6">
        <f t="shared" si="2"/>
        <v>630.20802209110218</v>
      </c>
      <c r="N12" s="12">
        <f>'1-Specification &amp; Data'!B$23*'1-Specification &amp; Data'!B$18*8.91</f>
        <v>76.055205797999989</v>
      </c>
      <c r="O12" s="12">
        <f t="shared" si="3"/>
        <v>734.36575315771142</v>
      </c>
      <c r="P12" s="14">
        <f t="shared" si="4"/>
        <v>734.36575315771142</v>
      </c>
      <c r="Q12" s="12">
        <f>IF(J12=1,'1-Specification &amp; Data'!B$52,IF('1-Simulation'!J12=2,'1-Specification &amp; Data'!B$53,IF('1-Simulation'!J12=3,'1-Specification &amp; Data'!B$54)))</f>
        <v>704.8687664682343</v>
      </c>
      <c r="R12" s="12">
        <f>(0.5*'1-Specification &amp; Data'!B$18*'1-Simulation'!F12^2)/1000</f>
        <v>21.257600115753025</v>
      </c>
      <c r="S12" s="6">
        <f t="shared" si="0"/>
        <v>0</v>
      </c>
      <c r="T12" s="12">
        <v>0</v>
      </c>
      <c r="U12" s="14">
        <f>O12*'1-Specification &amp; Data'!B$14*0.9</f>
        <v>194.88937295339267</v>
      </c>
    </row>
    <row r="13" spans="1:37" x14ac:dyDescent="0.25">
      <c r="C13" s="6">
        <f t="shared" si="5"/>
        <v>11</v>
      </c>
      <c r="D13" s="6">
        <v>20</v>
      </c>
      <c r="E13" s="12">
        <f>F13*3.6</f>
        <v>32.186826647116149</v>
      </c>
      <c r="F13" s="12">
        <f t="shared" si="6"/>
        <v>8.9407851797544851</v>
      </c>
      <c r="G13" s="13">
        <f t="shared" si="7"/>
        <v>54.404677818806043</v>
      </c>
      <c r="H13" s="12">
        <f t="shared" si="8"/>
        <v>8.4937459207667612</v>
      </c>
      <c r="I13" s="12">
        <f t="shared" si="9"/>
        <v>0.8940785179754478</v>
      </c>
      <c r="J13" s="6">
        <f t="shared" si="10"/>
        <v>2</v>
      </c>
      <c r="K13" s="6">
        <v>0</v>
      </c>
      <c r="L13" s="12">
        <f>('1-Specification &amp; Data'!B$22*'1-Specification &amp; Data'!B$10*'1-Specification &amp; Data'!B$20*('1-Simulation'!F13^2-'1-Specification &amp; Data'!B$21^2))/2</f>
        <v>35.24286943529966</v>
      </c>
      <c r="M13" s="6">
        <f t="shared" si="2"/>
        <v>630.20802209110093</v>
      </c>
      <c r="N13" s="12">
        <f>'1-Specification &amp; Data'!B$23*'1-Specification &amp; Data'!B$18*8.91</f>
        <v>76.055205797999989</v>
      </c>
      <c r="O13" s="12">
        <f t="shared" si="3"/>
        <v>741.50609732440057</v>
      </c>
      <c r="P13" s="14">
        <f t="shared" si="4"/>
        <v>741.50609732440057</v>
      </c>
      <c r="Q13" s="12">
        <f>IF(J13=1,'1-Specification &amp; Data'!B$52,IF('1-Simulation'!J13=2,'1-Specification &amp; Data'!B$53,IF('1-Simulation'!J13=3,'1-Specification &amp; Data'!B$54)))</f>
        <v>704.8687664682343</v>
      </c>
      <c r="R13" s="12">
        <f>(0.5*'1-Specification &amp; Data'!B$18*'1-Simulation'!F13^2)/1000</f>
        <v>26.243950760188916</v>
      </c>
      <c r="S13" s="6">
        <f t="shared" si="0"/>
        <v>0</v>
      </c>
      <c r="T13" s="12">
        <v>0</v>
      </c>
      <c r="U13" s="14">
        <f>O13*'1-Specification &amp; Data'!B$14*0.9</f>
        <v>196.78431044378323</v>
      </c>
    </row>
    <row r="14" spans="1:37" x14ac:dyDescent="0.25">
      <c r="C14" s="6">
        <f t="shared" si="5"/>
        <v>12</v>
      </c>
      <c r="D14" s="6">
        <v>20.2</v>
      </c>
      <c r="E14" s="12">
        <f t="shared" si="1"/>
        <v>32.508694913587306</v>
      </c>
      <c r="F14" s="12">
        <f t="shared" si="6"/>
        <v>9.0301930315520291</v>
      </c>
      <c r="G14" s="13">
        <f t="shared" si="7"/>
        <v>63.390166924459301</v>
      </c>
      <c r="H14" s="12">
        <f t="shared" si="8"/>
        <v>8.985489105653258</v>
      </c>
      <c r="I14" s="12">
        <f t="shared" si="9"/>
        <v>8.9407851797545845E-2</v>
      </c>
      <c r="J14" s="6">
        <f t="shared" si="10"/>
        <v>3</v>
      </c>
      <c r="K14" s="6">
        <v>0</v>
      </c>
      <c r="L14" s="12">
        <f>('1-Specification &amp; Data'!B$22*'1-Specification &amp; Data'!B$10*'1-Specification &amp; Data'!B$20*('1-Simulation'!F14^2-'1-Specification &amp; Data'!B$21^2))/2</f>
        <v>35.998242686617957</v>
      </c>
      <c r="M14" s="6">
        <f t="shared" si="2"/>
        <v>62.5992371119696</v>
      </c>
      <c r="N14" s="12">
        <f>'1-Specification &amp; Data'!B$23*'1-Specification &amp; Data'!B$18*8.91</f>
        <v>76.055205797999989</v>
      </c>
      <c r="O14" s="12">
        <f t="shared" si="3"/>
        <v>174.65268559658756</v>
      </c>
      <c r="P14" s="14">
        <f t="shared" si="4"/>
        <v>174.65268559658756</v>
      </c>
      <c r="Q14" s="12">
        <f>IF(J14=1,'1-Specification &amp; Data'!B$52,IF('1-Simulation'!J14=2,'1-Specification &amp; Data'!B$53,IF('1-Simulation'!J14=3,'1-Specification &amp; Data'!B$54)))</f>
        <v>700.1536873262387</v>
      </c>
      <c r="R14" s="12">
        <f>(0.5*'1-Specification &amp; Data'!B$18*'1-Simulation'!F14^2)/1000</f>
        <v>26.771454170468708</v>
      </c>
      <c r="S14" s="6">
        <f t="shared" si="0"/>
        <v>0</v>
      </c>
      <c r="T14" s="12">
        <v>0</v>
      </c>
      <c r="U14" s="14">
        <f>O14*'1-Specification &amp; Data'!B$14*0.9</f>
        <v>46.350135792940549</v>
      </c>
    </row>
    <row r="15" spans="1:37" x14ac:dyDescent="0.25">
      <c r="C15" s="6">
        <f t="shared" si="5"/>
        <v>13</v>
      </c>
      <c r="D15" s="6">
        <v>22</v>
      </c>
      <c r="E15" s="12">
        <f t="shared" si="1"/>
        <v>35.405509311827764</v>
      </c>
      <c r="F15" s="12">
        <f t="shared" si="6"/>
        <v>9.8348636977299346</v>
      </c>
      <c r="G15" s="13">
        <f t="shared" si="7"/>
        <v>72.822695289100281</v>
      </c>
      <c r="H15" s="12">
        <f t="shared" si="8"/>
        <v>9.4325283646409819</v>
      </c>
      <c r="I15" s="12">
        <f t="shared" si="9"/>
        <v>0.8046706661779055</v>
      </c>
      <c r="J15" s="6">
        <f t="shared" si="10"/>
        <v>3</v>
      </c>
      <c r="K15" s="6">
        <v>0</v>
      </c>
      <c r="L15" s="12">
        <f>('1-Specification &amp; Data'!B$22*'1-Specification &amp; Data'!B$10*'1-Specification &amp; Data'!B$20*('1-Simulation'!F15^2-'1-Specification &amp; Data'!B$21^2))/2</f>
        <v>43.134828777431153</v>
      </c>
      <c r="M15" s="6">
        <f t="shared" si="2"/>
        <v>563.39313400772141</v>
      </c>
      <c r="N15" s="12">
        <f>'1-Specification &amp; Data'!B$23*'1-Specification &amp; Data'!B$18*8.91</f>
        <v>76.055205797999989</v>
      </c>
      <c r="O15" s="12">
        <f t="shared" si="3"/>
        <v>682.58316858315254</v>
      </c>
      <c r="P15" s="14">
        <f t="shared" si="4"/>
        <v>682.58316858315254</v>
      </c>
      <c r="Q15" s="12">
        <f>IF(J15=1,'1-Specification &amp; Data'!B$52,IF('1-Simulation'!J15=2,'1-Specification &amp; Data'!B$53,IF('1-Simulation'!J15=3,'1-Specification &amp; Data'!B$54)))</f>
        <v>700.1536873262387</v>
      </c>
      <c r="R15" s="12">
        <f>(0.5*'1-Specification &amp; Data'!B$18*'1-Simulation'!F15^2)/1000</f>
        <v>31.755180419828598</v>
      </c>
      <c r="S15" s="6">
        <f t="shared" si="0"/>
        <v>0</v>
      </c>
      <c r="T15" s="12">
        <v>0</v>
      </c>
      <c r="U15" s="14">
        <f>O15*'1-Specification &amp; Data'!B$14*0.9</f>
        <v>181.14707166245202</v>
      </c>
    </row>
    <row r="16" spans="1:37" x14ac:dyDescent="0.25">
      <c r="C16" s="6">
        <f t="shared" si="5"/>
        <v>14</v>
      </c>
      <c r="D16" s="6">
        <v>23</v>
      </c>
      <c r="E16" s="12">
        <f t="shared" si="1"/>
        <v>37.014850644183575</v>
      </c>
      <c r="F16" s="12">
        <f t="shared" si="6"/>
        <v>10.281902956717659</v>
      </c>
      <c r="G16" s="13">
        <f t="shared" si="7"/>
        <v>82.881078616324075</v>
      </c>
      <c r="H16" s="12">
        <f t="shared" si="8"/>
        <v>10.058383327223797</v>
      </c>
      <c r="I16" s="12">
        <f t="shared" si="9"/>
        <v>0.44703925898772567</v>
      </c>
      <c r="J16" s="6">
        <f t="shared" si="10"/>
        <v>3</v>
      </c>
      <c r="K16" s="6">
        <v>0</v>
      </c>
      <c r="L16" s="12">
        <f>('1-Specification &amp; Data'!B$22*'1-Specification &amp; Data'!B$10*'1-Specification &amp; Data'!B$20*('1-Simulation'!F16^2-'1-Specification &amp; Data'!B$21^2))/2</f>
        <v>47.362664139287297</v>
      </c>
      <c r="M16" s="6">
        <f t="shared" si="2"/>
        <v>312.99618555984551</v>
      </c>
      <c r="N16" s="12">
        <f>'1-Specification &amp; Data'!B$23*'1-Specification &amp; Data'!B$18*8.91</f>
        <v>76.055205797999989</v>
      </c>
      <c r="O16" s="12">
        <f t="shared" si="3"/>
        <v>436.41405549713278</v>
      </c>
      <c r="P16" s="14">
        <f t="shared" si="4"/>
        <v>436.41405549713278</v>
      </c>
      <c r="Q16" s="12">
        <f>IF(J16=1,'1-Specification &amp; Data'!B$52,IF('1-Simulation'!J16=2,'1-Specification &amp; Data'!B$53,IF('1-Simulation'!J16=3,'1-Specification &amp; Data'!B$54)))</f>
        <v>700.1536873262387</v>
      </c>
      <c r="R16" s="12">
        <f>(0.5*'1-Specification &amp; Data'!B$18*'1-Simulation'!F16^2)/1000</f>
        <v>34.707624880349847</v>
      </c>
      <c r="S16" s="6">
        <f t="shared" si="0"/>
        <v>0</v>
      </c>
      <c r="T16" s="12">
        <v>0</v>
      </c>
      <c r="U16" s="14">
        <f>O16*'1-Specification &amp; Data'!B$14*0.9</f>
        <v>115.81757626654679</v>
      </c>
    </row>
    <row r="17" spans="2:21" x14ac:dyDescent="0.25">
      <c r="C17" s="6">
        <f t="shared" si="5"/>
        <v>15</v>
      </c>
      <c r="D17" s="6">
        <v>24.5</v>
      </c>
      <c r="E17" s="12">
        <f t="shared" si="1"/>
        <v>39.428862642717284</v>
      </c>
      <c r="F17" s="12">
        <f t="shared" si="6"/>
        <v>10.952461845199245</v>
      </c>
      <c r="G17" s="13">
        <f t="shared" si="7"/>
        <v>93.49826101728253</v>
      </c>
      <c r="H17" s="12">
        <f t="shared" si="8"/>
        <v>10.617182400958452</v>
      </c>
      <c r="I17" s="12">
        <f t="shared" si="9"/>
        <v>0.67055888848158673</v>
      </c>
      <c r="J17" s="6">
        <f t="shared" si="10"/>
        <v>3</v>
      </c>
      <c r="K17" s="6">
        <v>0</v>
      </c>
      <c r="L17" s="12">
        <f>('1-Specification &amp; Data'!B$22*'1-Specification &amp; Data'!B$10*'1-Specification &amp; Data'!B$20*('1-Simulation'!F17^2-'1-Specification &amp; Data'!B$21^2))/2</f>
        <v>54.056736795559537</v>
      </c>
      <c r="M17" s="6">
        <f t="shared" si="2"/>
        <v>469.49427833976705</v>
      </c>
      <c r="N17" s="12">
        <f>'1-Specification &amp; Data'!B$23*'1-Specification &amp; Data'!B$18*8.91</f>
        <v>76.055205797999989</v>
      </c>
      <c r="O17" s="12">
        <f t="shared" si="3"/>
        <v>599.60622093332654</v>
      </c>
      <c r="P17" s="14">
        <f t="shared" si="4"/>
        <v>599.60622093332654</v>
      </c>
      <c r="Q17" s="12">
        <f>IF(J17=1,'1-Specification &amp; Data'!B$52,IF('1-Simulation'!J17=2,'1-Specification &amp; Data'!B$53,IF('1-Simulation'!J17=3,'1-Specification &amp; Data'!B$54)))</f>
        <v>700.1536873262387</v>
      </c>
      <c r="R17" s="12">
        <f>(0.5*'1-Specification &amp; Data'!B$18*'1-Simulation'!F17^2)/1000</f>
        <v>39.382328609508498</v>
      </c>
      <c r="S17" s="6">
        <f t="shared" si="0"/>
        <v>0</v>
      </c>
      <c r="T17" s="12">
        <v>0</v>
      </c>
      <c r="U17" s="14">
        <f>O17*'1-Specification &amp; Data'!B$14*0.9</f>
        <v>159.1262663246136</v>
      </c>
    </row>
    <row r="18" spans="2:21" x14ac:dyDescent="0.25">
      <c r="C18" s="6">
        <f t="shared" si="5"/>
        <v>16</v>
      </c>
      <c r="D18" s="6">
        <v>26</v>
      </c>
      <c r="E18" s="12">
        <f t="shared" si="1"/>
        <v>41.842874641250987</v>
      </c>
      <c r="F18" s="12">
        <f t="shared" si="6"/>
        <v>11.62302073368083</v>
      </c>
      <c r="G18" s="13">
        <f t="shared" si="7"/>
        <v>104.78600230672257</v>
      </c>
      <c r="H18" s="12">
        <f t="shared" si="8"/>
        <v>11.287741289440039</v>
      </c>
      <c r="I18" s="12">
        <f t="shared" si="9"/>
        <v>0.67055888848158673</v>
      </c>
      <c r="J18" s="6">
        <f t="shared" si="10"/>
        <v>3</v>
      </c>
      <c r="K18" s="6">
        <v>0</v>
      </c>
      <c r="L18" s="12">
        <f>('1-Specification &amp; Data'!B$22*'1-Specification &amp; Data'!B$10*'1-Specification &amp; Data'!B$20*('1-Simulation'!F18^2-'1-Specification &amp; Data'!B$21^2))/2</f>
        <v>61.173592988017361</v>
      </c>
      <c r="M18" s="6">
        <f t="shared" si="2"/>
        <v>469.49427833976705</v>
      </c>
      <c r="N18" s="12">
        <f>'1-Specification &amp; Data'!B$23*'1-Specification &amp; Data'!B$18*8.91</f>
        <v>76.055205797999989</v>
      </c>
      <c r="O18" s="12">
        <f t="shared" si="3"/>
        <v>606.72307712578436</v>
      </c>
      <c r="P18" s="14">
        <f t="shared" si="4"/>
        <v>606.72307712578436</v>
      </c>
      <c r="Q18" s="12">
        <f>IF(J18=1,'1-Specification &amp; Data'!B$52,IF('1-Simulation'!J18=2,'1-Specification &amp; Data'!B$53,IF('1-Simulation'!J18=3,'1-Specification &amp; Data'!B$54)))</f>
        <v>700.1536873262387</v>
      </c>
      <c r="R18" s="12">
        <f>(0.5*'1-Specification &amp; Data'!B$18*'1-Simulation'!F18^2)/1000</f>
        <v>44.352276784719258</v>
      </c>
      <c r="S18" s="6">
        <f t="shared" si="0"/>
        <v>0</v>
      </c>
      <c r="T18" s="12">
        <v>0</v>
      </c>
      <c r="U18" s="14">
        <f>O18*'1-Specification &amp; Data'!B$14*0.9</f>
        <v>161.01497046799662</v>
      </c>
    </row>
    <row r="19" spans="2:21" x14ac:dyDescent="0.25">
      <c r="C19" s="6">
        <f t="shared" si="5"/>
        <v>17</v>
      </c>
      <c r="D19" s="6">
        <v>28</v>
      </c>
      <c r="E19" s="12">
        <f t="shared" si="1"/>
        <v>45.061557305962609</v>
      </c>
      <c r="F19" s="12">
        <f t="shared" si="6"/>
        <v>12.51709925165628</v>
      </c>
      <c r="G19" s="13">
        <f t="shared" si="7"/>
        <v>116.85606229939111</v>
      </c>
      <c r="H19" s="12">
        <f t="shared" si="8"/>
        <v>12.070059992668554</v>
      </c>
      <c r="I19" s="12">
        <f t="shared" si="9"/>
        <v>0.8940785179754478</v>
      </c>
      <c r="J19" s="6">
        <f t="shared" si="10"/>
        <v>3</v>
      </c>
      <c r="K19" s="6">
        <v>0</v>
      </c>
      <c r="L19" s="12">
        <f>('1-Specification &amp; Data'!B$22*'1-Specification &amp; Data'!B$10*'1-Specification &amp; Data'!B$20*('1-Simulation'!F19^2-'1-Specification &amp; Data'!B$21^2))/2</f>
        <v>71.320397856472141</v>
      </c>
      <c r="M19" s="6">
        <f t="shared" si="2"/>
        <v>625.99237111968853</v>
      </c>
      <c r="N19" s="12">
        <f>'1-Specification &amp; Data'!B$23*'1-Specification &amp; Data'!B$18*8.91</f>
        <v>76.055205797999989</v>
      </c>
      <c r="O19" s="12">
        <f t="shared" si="3"/>
        <v>773.36797477416064</v>
      </c>
      <c r="P19" s="14">
        <f t="shared" si="4"/>
        <v>773.36797477416064</v>
      </c>
      <c r="Q19" s="12">
        <f>IF(J19=1,'1-Specification &amp; Data'!B$52,IF('1-Simulation'!J19=2,'1-Specification &amp; Data'!B$53,IF('1-Simulation'!J19=3,'1-Specification &amp; Data'!B$54)))</f>
        <v>700.1536873262387</v>
      </c>
      <c r="R19" s="12">
        <f>(0.5*'1-Specification &amp; Data'!B$18*'1-Simulation'!F19^2)/1000</f>
        <v>51.43814348997028</v>
      </c>
      <c r="S19" s="6">
        <f t="shared" si="0"/>
        <v>0</v>
      </c>
      <c r="T19" s="12">
        <v>0</v>
      </c>
      <c r="U19" s="14">
        <f>O19*'1-Specification &amp; Data'!B$14*0.9</f>
        <v>205.23996253621956</v>
      </c>
    </row>
    <row r="20" spans="2:21" x14ac:dyDescent="0.25">
      <c r="C20" s="6">
        <f t="shared" si="5"/>
        <v>18</v>
      </c>
      <c r="D20" s="6">
        <v>29</v>
      </c>
      <c r="E20" s="12">
        <f t="shared" si="1"/>
        <v>46.670898638318413</v>
      </c>
      <c r="F20" s="12">
        <f t="shared" si="6"/>
        <v>12.964138510644004</v>
      </c>
      <c r="G20" s="13">
        <f t="shared" si="7"/>
        <v>129.59668118054125</v>
      </c>
      <c r="H20" s="12">
        <f t="shared" si="8"/>
        <v>12.740618881150141</v>
      </c>
      <c r="I20" s="12">
        <f t="shared" si="9"/>
        <v>0.44703925898772212</v>
      </c>
      <c r="J20" s="6">
        <f t="shared" si="10"/>
        <v>3</v>
      </c>
      <c r="K20" s="6">
        <v>0</v>
      </c>
      <c r="L20" s="12">
        <f>('1-Specification &amp; Data'!B$22*'1-Specification &amp; Data'!B$10*'1-Specification &amp; Data'!B$20*('1-Simulation'!F20^2-'1-Specification &amp; Data'!B$21^2))/2</f>
        <v>76.675655981489925</v>
      </c>
      <c r="M20" s="6">
        <f t="shared" si="2"/>
        <v>312.99618555984301</v>
      </c>
      <c r="N20" s="12">
        <f>'1-Specification &amp; Data'!B$23*'1-Specification &amp; Data'!B$18*8.91</f>
        <v>76.055205797999989</v>
      </c>
      <c r="O20" s="12">
        <f t="shared" si="3"/>
        <v>465.7270473393329</v>
      </c>
      <c r="P20" s="14">
        <f t="shared" si="4"/>
        <v>465.7270473393329</v>
      </c>
      <c r="Q20" s="12">
        <f>IF(J20=1,'1-Specification &amp; Data'!B$52,IF('1-Simulation'!J20=2,'1-Specification &amp; Data'!B$53,IF('1-Simulation'!J20=3,'1-Specification &amp; Data'!B$54)))</f>
        <v>700.1536873262387</v>
      </c>
      <c r="R20" s="12">
        <f>(0.5*'1-Specification &amp; Data'!B$18*'1-Simulation'!F20^2)/1000</f>
        <v>55.177906473297199</v>
      </c>
      <c r="S20" s="6">
        <f t="shared" si="0"/>
        <v>0</v>
      </c>
      <c r="T20" s="12">
        <v>0</v>
      </c>
      <c r="U20" s="14">
        <f>O20*'1-Specification &amp; Data'!B$14*0.9</f>
        <v>123.59679333236144</v>
      </c>
    </row>
    <row r="21" spans="2:21" x14ac:dyDescent="0.25">
      <c r="C21" s="6">
        <f t="shared" si="5"/>
        <v>19</v>
      </c>
      <c r="D21" s="6">
        <v>30</v>
      </c>
      <c r="E21" s="12">
        <f t="shared" si="1"/>
        <v>48.280239970674224</v>
      </c>
      <c r="F21" s="12">
        <f t="shared" si="6"/>
        <v>13.411177769631728</v>
      </c>
      <c r="G21" s="13">
        <f t="shared" si="7"/>
        <v>142.78433932067912</v>
      </c>
      <c r="H21" s="12">
        <f t="shared" si="8"/>
        <v>13.187658140137867</v>
      </c>
      <c r="I21" s="12">
        <f t="shared" si="9"/>
        <v>0.44703925898772567</v>
      </c>
      <c r="J21" s="6">
        <f t="shared" si="10"/>
        <v>3</v>
      </c>
      <c r="K21" s="6">
        <v>0</v>
      </c>
      <c r="L21" s="12">
        <f>('1-Specification &amp; Data'!B$22*'1-Specification &amp; Data'!B$10*'1-Specification &amp; Data'!B$20*('1-Simulation'!F21^2-'1-Specification &amp; Data'!B$21^2))/2</f>
        <v>82.218817900367981</v>
      </c>
      <c r="M21" s="6">
        <f t="shared" si="2"/>
        <v>312.99618555984551</v>
      </c>
      <c r="N21" s="12">
        <f>'1-Specification &amp; Data'!B$23*'1-Specification &amp; Data'!B$18*8.91</f>
        <v>76.055205797999989</v>
      </c>
      <c r="O21" s="12">
        <f t="shared" si="3"/>
        <v>471.27020925821347</v>
      </c>
      <c r="P21" s="14">
        <f t="shared" si="4"/>
        <v>471.27020925821347</v>
      </c>
      <c r="Q21" s="12">
        <f>IF(J21=1,'1-Specification &amp; Data'!B$52,IF('1-Simulation'!J21=2,'1-Specification &amp; Data'!B$53,IF('1-Simulation'!J21=3,'1-Specification &amp; Data'!B$54)))</f>
        <v>700.1536873262387</v>
      </c>
      <c r="R21" s="12">
        <f>(0.5*'1-Specification &amp; Data'!B$18*'1-Simulation'!F21^2)/1000</f>
        <v>59.04888921042506</v>
      </c>
      <c r="S21" s="6">
        <f t="shared" si="0"/>
        <v>0</v>
      </c>
      <c r="T21" s="12">
        <v>0</v>
      </c>
      <c r="U21" s="14">
        <f>O21*'1-Specification &amp; Data'!B$14*0.9</f>
        <v>125.06786322621819</v>
      </c>
    </row>
    <row r="22" spans="2:21" x14ac:dyDescent="0.25">
      <c r="C22" s="6">
        <f t="shared" si="5"/>
        <v>20</v>
      </c>
      <c r="D22" s="6">
        <v>28</v>
      </c>
      <c r="E22" s="12">
        <f t="shared" si="1"/>
        <v>45.061557305962609</v>
      </c>
      <c r="F22" s="12">
        <f t="shared" si="6"/>
        <v>12.51709925165628</v>
      </c>
      <c r="G22" s="13">
        <f t="shared" si="7"/>
        <v>155.74847783132313</v>
      </c>
      <c r="H22" s="12">
        <f t="shared" si="8"/>
        <v>12.964138510644004</v>
      </c>
      <c r="I22" s="12">
        <f t="shared" si="9"/>
        <v>-0.8940785179754478</v>
      </c>
      <c r="J22" s="6">
        <f t="shared" si="10"/>
        <v>3</v>
      </c>
      <c r="K22" s="6">
        <v>0</v>
      </c>
      <c r="L22" s="12">
        <f>('1-Specification &amp; Data'!B$22*'1-Specification &amp; Data'!B$10*'1-Specification &amp; Data'!B$20*('1-Simulation'!F22^2-'1-Specification &amp; Data'!B$21^2))/2</f>
        <v>71.320397856472141</v>
      </c>
      <c r="M22" s="6">
        <f t="shared" si="2"/>
        <v>-625.99237111968853</v>
      </c>
      <c r="N22" s="12">
        <f>'1-Specification &amp; Data'!B$23*'1-Specification &amp; Data'!B$18*8.91</f>
        <v>76.055205797999989</v>
      </c>
      <c r="O22" s="12">
        <f t="shared" si="3"/>
        <v>-478.61676746521641</v>
      </c>
      <c r="P22" s="14">
        <f t="shared" si="4"/>
        <v>478.61676746521641</v>
      </c>
      <c r="Q22" s="12">
        <f>IF(J22=1,'1-Specification &amp; Data'!B$52,IF('1-Simulation'!J22=2,'1-Specification &amp; Data'!B$53,IF('1-Simulation'!J22=3,'1-Specification &amp; Data'!B$54)))</f>
        <v>700.1536873262387</v>
      </c>
      <c r="R22" s="12">
        <f>(0.5*'1-Specification &amp; Data'!B$18*'1-Simulation'!F22^2)/1000</f>
        <v>51.43814348997028</v>
      </c>
      <c r="S22" s="6">
        <f t="shared" si="0"/>
        <v>0</v>
      </c>
      <c r="T22" s="12">
        <v>0</v>
      </c>
      <c r="U22" s="14">
        <f>O22*'1-Specification &amp; Data'!B$14*0.9</f>
        <v>-127.01752675038436</v>
      </c>
    </row>
    <row r="23" spans="2:21" x14ac:dyDescent="0.25">
      <c r="C23" s="6">
        <f t="shared" si="5"/>
        <v>21</v>
      </c>
      <c r="D23" s="6">
        <v>26</v>
      </c>
      <c r="E23" s="12">
        <f t="shared" si="1"/>
        <v>41.842874641250987</v>
      </c>
      <c r="F23" s="12">
        <f t="shared" si="6"/>
        <v>11.62302073368083</v>
      </c>
      <c r="G23" s="13">
        <f t="shared" si="7"/>
        <v>167.81853782399168</v>
      </c>
      <c r="H23" s="12">
        <f t="shared" si="8"/>
        <v>12.070059992668554</v>
      </c>
      <c r="I23" s="12">
        <f t="shared" si="9"/>
        <v>-0.89407851797545135</v>
      </c>
      <c r="J23" s="6">
        <f t="shared" si="10"/>
        <v>3</v>
      </c>
      <c r="K23" s="6">
        <v>0</v>
      </c>
      <c r="L23" s="12">
        <f>('1-Specification &amp; Data'!B$22*'1-Specification &amp; Data'!B$10*'1-Specification &amp; Data'!B$20*('1-Simulation'!F23^2-'1-Specification &amp; Data'!B$21^2))/2</f>
        <v>61.173592988017361</v>
      </c>
      <c r="M23" s="6">
        <f t="shared" si="2"/>
        <v>-625.99237111969103</v>
      </c>
      <c r="N23" s="12">
        <f>'1-Specification &amp; Data'!B$23*'1-Specification &amp; Data'!B$18*8.91</f>
        <v>76.055205797999989</v>
      </c>
      <c r="O23" s="12">
        <f t="shared" si="3"/>
        <v>-488.76357233367366</v>
      </c>
      <c r="P23" s="14">
        <f t="shared" si="4"/>
        <v>488.76357233367366</v>
      </c>
      <c r="Q23" s="12">
        <f>IF(J23=1,'1-Specification &amp; Data'!B$52,IF('1-Simulation'!J23=2,'1-Specification &amp; Data'!B$53,IF('1-Simulation'!J23=3,'1-Specification &amp; Data'!B$54)))</f>
        <v>700.1536873262387</v>
      </c>
      <c r="R23" s="12">
        <f>(0.5*'1-Specification &amp; Data'!B$18*'1-Simulation'!F23^2)/1000</f>
        <v>44.352276784719258</v>
      </c>
      <c r="S23" s="6">
        <f t="shared" si="0"/>
        <v>0</v>
      </c>
      <c r="T23" s="12">
        <v>0</v>
      </c>
      <c r="U23" s="14">
        <f>O23*'1-Specification &amp; Data'!B$14*0.9</f>
        <v>-129.71033265778263</v>
      </c>
    </row>
    <row r="24" spans="2:21" x14ac:dyDescent="0.25">
      <c r="C24" s="6">
        <f t="shared" si="5"/>
        <v>22</v>
      </c>
      <c r="D24" s="6">
        <v>24</v>
      </c>
      <c r="E24" s="12">
        <f t="shared" si="1"/>
        <v>38.624191976539379</v>
      </c>
      <c r="F24" s="12">
        <f t="shared" si="6"/>
        <v>10.728942215705382</v>
      </c>
      <c r="G24" s="13">
        <f t="shared" si="7"/>
        <v>178.99451929868479</v>
      </c>
      <c r="H24" s="12">
        <f t="shared" si="8"/>
        <v>11.175981474693106</v>
      </c>
      <c r="I24" s="12">
        <f t="shared" si="9"/>
        <v>-0.8940785179754478</v>
      </c>
      <c r="J24" s="6">
        <f t="shared" si="10"/>
        <v>3</v>
      </c>
      <c r="K24" s="6">
        <v>0</v>
      </c>
      <c r="L24" s="12">
        <f>('1-Specification &amp; Data'!B$22*'1-Specification &amp; Data'!B$10*'1-Specification &amp; Data'!B$20*('1-Simulation'!F24^2-'1-Specification &amp; Data'!B$21^2))/2</f>
        <v>51.77840329500372</v>
      </c>
      <c r="M24" s="6">
        <f t="shared" si="2"/>
        <v>-625.99237111968853</v>
      </c>
      <c r="N24" s="12">
        <f>'1-Specification &amp; Data'!B$23*'1-Specification &amp; Data'!B$18*8.91</f>
        <v>76.055205797999989</v>
      </c>
      <c r="O24" s="12">
        <f t="shared" si="3"/>
        <v>-498.15876202668483</v>
      </c>
      <c r="P24" s="14">
        <f t="shared" si="4"/>
        <v>498.15876202668483</v>
      </c>
      <c r="Q24" s="12">
        <f>IF(J24=1,'1-Specification &amp; Data'!B$52,IF('1-Simulation'!J24=2,'1-Specification &amp; Data'!B$53,IF('1-Simulation'!J24=3,'1-Specification &amp; Data'!B$54)))</f>
        <v>700.1536873262387</v>
      </c>
      <c r="R24" s="12">
        <f>(0.5*'1-Specification &amp; Data'!B$18*'1-Simulation'!F24^2)/1000</f>
        <v>37.791289094672045</v>
      </c>
      <c r="S24" s="6">
        <f t="shared" si="0"/>
        <v>0</v>
      </c>
      <c r="T24" s="12">
        <v>0</v>
      </c>
      <c r="U24" s="14">
        <f>O24*'1-Specification &amp; Data'!B$14*0.9</f>
        <v>-132.20367146092789</v>
      </c>
    </row>
    <row r="25" spans="2:21" x14ac:dyDescent="0.25">
      <c r="C25" s="6">
        <f t="shared" si="5"/>
        <v>23</v>
      </c>
      <c r="D25" s="6">
        <v>22</v>
      </c>
      <c r="E25" s="12">
        <f t="shared" si="1"/>
        <v>35.405509311827764</v>
      </c>
      <c r="F25" s="12">
        <f t="shared" si="6"/>
        <v>9.8348636977299346</v>
      </c>
      <c r="G25" s="13">
        <f t="shared" si="7"/>
        <v>189.27642225540245</v>
      </c>
      <c r="H25" s="12">
        <f t="shared" si="8"/>
        <v>10.281902956717659</v>
      </c>
      <c r="I25" s="12">
        <f t="shared" si="9"/>
        <v>-0.8940785179754478</v>
      </c>
      <c r="J25" s="6">
        <f t="shared" si="10"/>
        <v>3</v>
      </c>
      <c r="K25" s="6">
        <v>0</v>
      </c>
      <c r="L25" s="12">
        <f>('1-Specification &amp; Data'!B$22*'1-Specification &amp; Data'!B$10*'1-Specification &amp; Data'!B$20*('1-Simulation'!F25^2-'1-Specification &amp; Data'!B$21^2))/2</f>
        <v>43.134828777431153</v>
      </c>
      <c r="M25" s="6">
        <f t="shared" si="2"/>
        <v>-625.99237111968853</v>
      </c>
      <c r="N25" s="12">
        <f>'1-Specification &amp; Data'!B$23*'1-Specification &amp; Data'!B$18*8.91</f>
        <v>76.055205797999989</v>
      </c>
      <c r="O25" s="12">
        <f t="shared" si="3"/>
        <v>-506.8023365442574</v>
      </c>
      <c r="P25" s="14">
        <f t="shared" si="4"/>
        <v>506.8023365442574</v>
      </c>
      <c r="Q25" s="12">
        <f>IF(J25=1,'1-Specification &amp; Data'!B$52,IF('1-Simulation'!J25=2,'1-Specification &amp; Data'!B$53,IF('1-Simulation'!J25=3,'1-Specification &amp; Data'!B$54)))</f>
        <v>700.1536873262387</v>
      </c>
      <c r="R25" s="12">
        <f>(0.5*'1-Specification &amp; Data'!B$18*'1-Simulation'!F25^2)/1000</f>
        <v>31.755180419828598</v>
      </c>
      <c r="S25" s="6">
        <f t="shared" si="0"/>
        <v>0</v>
      </c>
      <c r="T25" s="12">
        <v>0</v>
      </c>
      <c r="U25" s="14">
        <f>O25*'1-Specification &amp; Data'!B$14*0.9</f>
        <v>-134.49754315982216</v>
      </c>
    </row>
    <row r="26" spans="2:21" x14ac:dyDescent="0.25">
      <c r="C26" s="6">
        <f t="shared" si="5"/>
        <v>24</v>
      </c>
      <c r="D26" s="6">
        <v>20</v>
      </c>
      <c r="E26" s="12">
        <f t="shared" si="1"/>
        <v>32.186826647116149</v>
      </c>
      <c r="F26" s="12">
        <f t="shared" si="6"/>
        <v>8.9407851797544851</v>
      </c>
      <c r="G26" s="13">
        <f t="shared" si="7"/>
        <v>198.66424669414465</v>
      </c>
      <c r="H26" s="12">
        <f t="shared" si="8"/>
        <v>9.3878244387422107</v>
      </c>
      <c r="I26" s="12">
        <f t="shared" si="9"/>
        <v>-0.8940785179754478</v>
      </c>
      <c r="J26" s="6">
        <f t="shared" si="10"/>
        <v>2</v>
      </c>
      <c r="K26" s="6">
        <v>0</v>
      </c>
      <c r="L26" s="12">
        <f>('1-Specification &amp; Data'!B$22*'1-Specification &amp; Data'!B$10*'1-Specification &amp; Data'!B$20*('1-Simulation'!F26^2-'1-Specification &amp; Data'!B$21^2))/2</f>
        <v>35.24286943529966</v>
      </c>
      <c r="M26" s="6">
        <f t="shared" si="2"/>
        <v>-630.20802209110093</v>
      </c>
      <c r="N26" s="12">
        <f>'1-Specification &amp; Data'!B$23*'1-Specification &amp; Data'!B$18*8.91</f>
        <v>76.055205797999989</v>
      </c>
      <c r="O26" s="12">
        <f t="shared" si="3"/>
        <v>-518.90994685780129</v>
      </c>
      <c r="P26" s="14">
        <f t="shared" si="4"/>
        <v>518.90994685780129</v>
      </c>
      <c r="Q26" s="12">
        <f>IF(J26=1,'1-Specification &amp; Data'!B$52,IF('1-Simulation'!J26=2,'1-Specification &amp; Data'!B$53,IF('1-Simulation'!J26=3,'1-Specification &amp; Data'!B$54)))</f>
        <v>704.8687664682343</v>
      </c>
      <c r="R26" s="12">
        <f>(0.5*'1-Specification &amp; Data'!B$18*'1-Simulation'!F26^2)/1000</f>
        <v>26.243950760188916</v>
      </c>
      <c r="S26" s="6">
        <f t="shared" si="0"/>
        <v>0</v>
      </c>
      <c r="T26" s="12">
        <v>0</v>
      </c>
      <c r="U26" s="14">
        <f>O26*'1-Specification &amp; Data'!B$14*0.9</f>
        <v>-137.71071666610882</v>
      </c>
    </row>
    <row r="27" spans="2:21" x14ac:dyDescent="0.25">
      <c r="C27" s="6">
        <f t="shared" si="5"/>
        <v>25</v>
      </c>
      <c r="D27" s="6">
        <v>19.8</v>
      </c>
      <c r="E27" s="12">
        <f t="shared" si="1"/>
        <v>31.864958380644989</v>
      </c>
      <c r="F27" s="12">
        <f t="shared" si="6"/>
        <v>8.851377327956941</v>
      </c>
      <c r="G27" s="13">
        <f t="shared" si="7"/>
        <v>207.56032794800035</v>
      </c>
      <c r="H27" s="12">
        <f t="shared" si="8"/>
        <v>8.8960812538557121</v>
      </c>
      <c r="I27" s="12">
        <f t="shared" si="9"/>
        <v>-8.9407851797545845E-2</v>
      </c>
      <c r="J27" s="6">
        <f t="shared" si="10"/>
        <v>2</v>
      </c>
      <c r="K27" s="6">
        <v>0</v>
      </c>
      <c r="L27" s="12">
        <f>('1-Specification &amp; Data'!B$22*'1-Specification &amp; Data'!B$10*'1-Specification &amp; Data'!B$20*('1-Simulation'!F27^2-'1-Specification &amp; Data'!B$21^2))/2</f>
        <v>34.49501233573578</v>
      </c>
      <c r="M27" s="6">
        <f t="shared" si="2"/>
        <v>-63.020802209110848</v>
      </c>
      <c r="N27" s="12">
        <f>'1-Specification &amp; Data'!B$23*'1-Specification &amp; Data'!B$18*8.91</f>
        <v>76.055205797999989</v>
      </c>
      <c r="O27" s="12">
        <f t="shared" si="3"/>
        <v>47.529415924624921</v>
      </c>
      <c r="P27" s="14">
        <f t="shared" si="4"/>
        <v>47.529415924624921</v>
      </c>
      <c r="Q27" s="12">
        <f>IF(J27=1,'1-Specification &amp; Data'!B$52,IF('1-Simulation'!J27=2,'1-Specification &amp; Data'!B$53,IF('1-Simulation'!J27=3,'1-Specification &amp; Data'!B$54)))</f>
        <v>704.8687664682343</v>
      </c>
      <c r="R27" s="12">
        <f>(0.5*'1-Specification &amp; Data'!B$18*'1-Simulation'!F27^2)/1000</f>
        <v>25.721696140061162</v>
      </c>
      <c r="S27" s="6">
        <f t="shared" si="0"/>
        <v>0</v>
      </c>
      <c r="T27" s="12">
        <v>0</v>
      </c>
      <c r="U27" s="14">
        <f>O27*'1-Specification &amp; Data'!B$14*0.9</f>
        <v>12.613575764611999</v>
      </c>
    </row>
    <row r="28" spans="2:21" x14ac:dyDescent="0.25">
      <c r="C28" s="6">
        <f t="shared" si="5"/>
        <v>26</v>
      </c>
      <c r="D28" s="6">
        <v>18</v>
      </c>
      <c r="E28" s="12">
        <f t="shared" si="1"/>
        <v>28.968143982404534</v>
      </c>
      <c r="F28" s="12">
        <f t="shared" si="6"/>
        <v>8.0467066617790373</v>
      </c>
      <c r="G28" s="13">
        <f t="shared" si="7"/>
        <v>216.00936994286835</v>
      </c>
      <c r="H28" s="12">
        <f t="shared" si="8"/>
        <v>8.44904199486799</v>
      </c>
      <c r="I28" s="12">
        <f t="shared" si="9"/>
        <v>-0.80467066617790195</v>
      </c>
      <c r="J28" s="6">
        <f t="shared" si="10"/>
        <v>2</v>
      </c>
      <c r="K28" s="6">
        <v>0</v>
      </c>
      <c r="L28" s="12">
        <f>('1-Specification &amp; Data'!B$22*'1-Specification &amp; Data'!B$10*'1-Specification &amp; Data'!B$20*('1-Simulation'!F28^2-'1-Specification &amp; Data'!B$21^2))/2</f>
        <v>28.102525268609277</v>
      </c>
      <c r="M28" s="6">
        <f t="shared" si="2"/>
        <v>-567.18721988199013</v>
      </c>
      <c r="N28" s="12">
        <f>'1-Specification &amp; Data'!B$23*'1-Specification &amp; Data'!B$18*8.91</f>
        <v>76.055205797999989</v>
      </c>
      <c r="O28" s="12">
        <f t="shared" si="3"/>
        <v>-463.02948881538089</v>
      </c>
      <c r="P28" s="14">
        <f t="shared" si="4"/>
        <v>463.02948881538089</v>
      </c>
      <c r="Q28" s="12">
        <f>IF(J28=1,'1-Specification &amp; Data'!B$52,IF('1-Simulation'!J28=2,'1-Specification &amp; Data'!B$53,IF('1-Simulation'!J28=3,'1-Specification &amp; Data'!B$54)))</f>
        <v>704.8687664682343</v>
      </c>
      <c r="R28" s="12">
        <f>(0.5*'1-Specification &amp; Data'!B$18*'1-Simulation'!F28^2)/1000</f>
        <v>21.257600115753025</v>
      </c>
      <c r="S28" s="6">
        <f t="shared" si="0"/>
        <v>0</v>
      </c>
      <c r="T28" s="12">
        <v>0</v>
      </c>
      <c r="U28" s="14">
        <f>O28*'1-Specification &amp; Data'!B$14*0.9</f>
        <v>-122.88090280100492</v>
      </c>
    </row>
    <row r="29" spans="2:21" x14ac:dyDescent="0.25">
      <c r="C29" s="6">
        <f t="shared" si="5"/>
        <v>27</v>
      </c>
      <c r="D29" s="6">
        <v>17</v>
      </c>
      <c r="E29" s="12">
        <f t="shared" si="1"/>
        <v>27.358802650048727</v>
      </c>
      <c r="F29" s="12">
        <f t="shared" si="6"/>
        <v>7.5996674027913125</v>
      </c>
      <c r="G29" s="13">
        <f t="shared" si="7"/>
        <v>223.83255697515352</v>
      </c>
      <c r="H29" s="12">
        <f t="shared" si="8"/>
        <v>7.8231870322851744</v>
      </c>
      <c r="I29" s="12">
        <f t="shared" si="9"/>
        <v>-0.44703925898772567</v>
      </c>
      <c r="J29" s="6">
        <f t="shared" si="10"/>
        <v>2</v>
      </c>
      <c r="K29" s="6">
        <v>0</v>
      </c>
      <c r="L29" s="12">
        <f>('1-Specification &amp; Data'!B$22*'1-Specification &amp; Data'!B$10*'1-Specification &amp; Data'!B$20*('1-Simulation'!F29^2-'1-Specification &amp; Data'!B$21^2))/2</f>
        <v>24.81420887605449</v>
      </c>
      <c r="M29" s="6">
        <f t="shared" si="2"/>
        <v>-315.10401104555172</v>
      </c>
      <c r="N29" s="12">
        <f>'1-Specification &amp; Data'!B$23*'1-Specification &amp; Data'!B$18*8.91</f>
        <v>76.055205797999989</v>
      </c>
      <c r="O29" s="12">
        <f t="shared" si="3"/>
        <v>-214.23459637149728</v>
      </c>
      <c r="P29" s="14">
        <f t="shared" si="4"/>
        <v>214.23459637149728</v>
      </c>
      <c r="Q29" s="12">
        <f>IF(J29=1,'1-Specification &amp; Data'!B$52,IF('1-Simulation'!J29=2,'1-Specification &amp; Data'!B$53,IF('1-Simulation'!J29=3,'1-Specification &amp; Data'!B$54)))</f>
        <v>704.8687664682343</v>
      </c>
      <c r="R29" s="12">
        <f>(0.5*'1-Specification &amp; Data'!B$18*'1-Simulation'!F29^2)/1000</f>
        <v>18.961254424236493</v>
      </c>
      <c r="S29" s="6">
        <f t="shared" si="0"/>
        <v>0</v>
      </c>
      <c r="T29" s="12">
        <v>0</v>
      </c>
      <c r="U29" s="14">
        <f>O29*'1-Specification &amp; Data'!B$14*0.9</f>
        <v>-56.854565960128127</v>
      </c>
    </row>
    <row r="30" spans="2:21" x14ac:dyDescent="0.25">
      <c r="C30" s="6">
        <f t="shared" si="5"/>
        <v>28</v>
      </c>
      <c r="D30" s="6">
        <v>16</v>
      </c>
      <c r="E30" s="12">
        <f t="shared" si="1"/>
        <v>25.749461317692919</v>
      </c>
      <c r="F30" s="12">
        <f t="shared" si="6"/>
        <v>7.1526281438035886</v>
      </c>
      <c r="G30" s="13">
        <f t="shared" si="7"/>
        <v>231.20870474845097</v>
      </c>
      <c r="H30" s="12">
        <f t="shared" si="8"/>
        <v>7.3761477732974505</v>
      </c>
      <c r="I30" s="12">
        <f t="shared" si="9"/>
        <v>-0.4470392589877239</v>
      </c>
      <c r="J30" s="6">
        <f t="shared" si="10"/>
        <v>2</v>
      </c>
      <c r="K30" s="6">
        <v>0</v>
      </c>
      <c r="L30" s="12">
        <f>('1-Specification &amp; Data'!B$22*'1-Specification &amp; Data'!B$10*'1-Specification &amp; Data'!B$20*('1-Simulation'!F30^2-'1-Specification &amp; Data'!B$21^2))/2</f>
        <v>21.713796277359986</v>
      </c>
      <c r="M30" s="6">
        <f t="shared" si="2"/>
        <v>-315.10401104555046</v>
      </c>
      <c r="N30" s="12">
        <f>'1-Specification &amp; Data'!B$23*'1-Specification &amp; Data'!B$18*8.91</f>
        <v>76.055205797999989</v>
      </c>
      <c r="O30" s="12">
        <f t="shared" si="3"/>
        <v>-217.33500897019053</v>
      </c>
      <c r="P30" s="14">
        <f t="shared" si="4"/>
        <v>217.33500897019053</v>
      </c>
      <c r="Q30" s="12">
        <f>IF(J30=1,'1-Specification &amp; Data'!B$52,IF('1-Simulation'!J30=2,'1-Specification &amp; Data'!B$53,IF('1-Simulation'!J30=3,'1-Specification &amp; Data'!B$54)))</f>
        <v>704.8687664682343</v>
      </c>
      <c r="R30" s="12">
        <f>(0.5*'1-Specification &amp; Data'!B$18*'1-Simulation'!F30^2)/1000</f>
        <v>16.79612848652091</v>
      </c>
      <c r="S30" s="6">
        <f t="shared" si="0"/>
        <v>0</v>
      </c>
      <c r="T30" s="12">
        <v>0</v>
      </c>
      <c r="U30" s="14">
        <f>O30*'1-Specification &amp; Data'!B$14*0.9</f>
        <v>-57.677367765165947</v>
      </c>
    </row>
    <row r="31" spans="2:21" x14ac:dyDescent="0.25">
      <c r="C31" s="6">
        <f t="shared" si="5"/>
        <v>29</v>
      </c>
      <c r="D31" s="6">
        <v>15</v>
      </c>
      <c r="E31" s="12">
        <f t="shared" si="1"/>
        <v>24.140119985337112</v>
      </c>
      <c r="F31" s="12">
        <f t="shared" si="6"/>
        <v>6.7055888848158638</v>
      </c>
      <c r="G31" s="13">
        <f t="shared" si="7"/>
        <v>238.13781326276069</v>
      </c>
      <c r="H31" s="12">
        <f t="shared" si="8"/>
        <v>6.9291085143097266</v>
      </c>
      <c r="I31" s="12">
        <f t="shared" si="9"/>
        <v>-0.4470392589877239</v>
      </c>
      <c r="J31" s="6">
        <f t="shared" si="10"/>
        <v>2</v>
      </c>
      <c r="K31" s="6">
        <v>0</v>
      </c>
      <c r="L31" s="12">
        <f>('1-Specification &amp; Data'!B$22*'1-Specification &amp; Data'!B$10*'1-Specification &amp; Data'!B$20*('1-Simulation'!F31^2-'1-Specification &amp; Data'!B$21^2))/2</f>
        <v>18.801287472525743</v>
      </c>
      <c r="M31" s="6">
        <f t="shared" si="2"/>
        <v>-315.10401104555046</v>
      </c>
      <c r="N31" s="12">
        <f>'1-Specification &amp; Data'!B$23*'1-Specification &amp; Data'!B$18*8.91</f>
        <v>76.055205797999989</v>
      </c>
      <c r="O31" s="12">
        <f t="shared" si="3"/>
        <v>-220.24751777502473</v>
      </c>
      <c r="P31" s="14">
        <f t="shared" si="4"/>
        <v>220.24751777502473</v>
      </c>
      <c r="Q31" s="12">
        <f>IF(J31=1,'1-Specification &amp; Data'!B$52,IF('1-Simulation'!J31=2,'1-Specification &amp; Data'!B$53,IF('1-Simulation'!J31=3,'1-Specification &amp; Data'!B$54)))</f>
        <v>704.8687664682343</v>
      </c>
      <c r="R31" s="12">
        <f>(0.5*'1-Specification &amp; Data'!B$18*'1-Simulation'!F31^2)/1000</f>
        <v>14.762222302606265</v>
      </c>
      <c r="S31" s="6">
        <f t="shared" si="0"/>
        <v>0</v>
      </c>
      <c r="T31" s="12">
        <v>0</v>
      </c>
      <c r="U31" s="14">
        <f>O31*'1-Specification &amp; Data'!B$14*0.9</f>
        <v>-58.450302794141187</v>
      </c>
    </row>
    <row r="32" spans="2:21" x14ac:dyDescent="0.25">
      <c r="B32" s="17" t="s">
        <v>95</v>
      </c>
      <c r="C32" s="6">
        <f t="shared" si="5"/>
        <v>30</v>
      </c>
      <c r="D32" s="6">
        <v>14</v>
      </c>
      <c r="E32" s="12">
        <f t="shared" si="1"/>
        <v>22.530778652981304</v>
      </c>
      <c r="F32" s="12">
        <f t="shared" si="6"/>
        <v>6.2585496258281399</v>
      </c>
      <c r="G32" s="13">
        <f t="shared" si="7"/>
        <v>244.61988251808268</v>
      </c>
      <c r="H32" s="12">
        <f t="shared" si="8"/>
        <v>6.4820692553220018</v>
      </c>
      <c r="I32" s="12">
        <f t="shared" si="9"/>
        <v>-0.4470392589877239</v>
      </c>
      <c r="J32" s="6">
        <f t="shared" si="10"/>
        <v>2</v>
      </c>
      <c r="K32" s="6">
        <v>0</v>
      </c>
      <c r="L32" s="12">
        <f>('1-Specification &amp; Data'!B$22*'1-Specification &amp; Data'!B$10*'1-Specification &amp; Data'!B$20*('1-Simulation'!F32^2-'1-Specification &amp; Data'!B$21^2))/2</f>
        <v>16.076682461551783</v>
      </c>
      <c r="M32" s="6">
        <f t="shared" si="2"/>
        <v>-315.10401104555046</v>
      </c>
      <c r="N32" s="12">
        <f>'1-Specification &amp; Data'!B$23*'1-Specification &amp; Data'!B$18*8.91</f>
        <v>76.055205797999989</v>
      </c>
      <c r="O32" s="12">
        <f t="shared" si="3"/>
        <v>-222.97212278599869</v>
      </c>
      <c r="P32" s="14">
        <f t="shared" si="4"/>
        <v>222.97212278599869</v>
      </c>
      <c r="Q32" s="12">
        <f>IF(J32=1,'1-Specification &amp; Data'!B$52,IF('1-Simulation'!J32=2,'1-Specification &amp; Data'!B$53,IF('1-Simulation'!J32=3,'1-Specification &amp; Data'!B$54)))</f>
        <v>704.8687664682343</v>
      </c>
      <c r="R32" s="12">
        <f>(0.5*'1-Specification &amp; Data'!B$18*'1-Simulation'!F32^2)/1000</f>
        <v>12.85953587249257</v>
      </c>
      <c r="S32" s="6">
        <f t="shared" si="0"/>
        <v>0</v>
      </c>
      <c r="T32" s="12">
        <v>0</v>
      </c>
      <c r="U32" s="14">
        <f>O32*'1-Specification &amp; Data'!B$14*0.9</f>
        <v>-59.173371047053507</v>
      </c>
    </row>
    <row r="33" spans="2:21" x14ac:dyDescent="0.25">
      <c r="C33" s="6">
        <f t="shared" si="5"/>
        <v>31</v>
      </c>
      <c r="D33" s="6">
        <v>14</v>
      </c>
      <c r="E33" s="12">
        <f t="shared" si="1"/>
        <v>22.530778652981304</v>
      </c>
      <c r="F33" s="12">
        <f t="shared" si="6"/>
        <v>6.2585496258281399</v>
      </c>
      <c r="G33" s="13">
        <f t="shared" si="7"/>
        <v>250.87843214391083</v>
      </c>
      <c r="H33" s="12">
        <f t="shared" si="8"/>
        <v>6.2585496258281399</v>
      </c>
      <c r="I33" s="12">
        <f t="shared" si="9"/>
        <v>0</v>
      </c>
      <c r="J33" s="6">
        <f t="shared" si="10"/>
        <v>2</v>
      </c>
      <c r="K33" s="6">
        <v>0</v>
      </c>
      <c r="L33" s="12">
        <f>('1-Specification &amp; Data'!B$22*'1-Specification &amp; Data'!B$10*'1-Specification &amp; Data'!B$20*('1-Simulation'!F33^2-'1-Specification &amp; Data'!B$21^2))/2</f>
        <v>16.076682461551783</v>
      </c>
      <c r="M33" s="6">
        <f t="shared" si="2"/>
        <v>0</v>
      </c>
      <c r="N33" s="12">
        <f>'1-Specification &amp; Data'!B$23*'1-Specification &amp; Data'!B$18*8.91</f>
        <v>76.055205797999989</v>
      </c>
      <c r="O33" s="12">
        <f t="shared" si="3"/>
        <v>92.131888259551772</v>
      </c>
      <c r="P33" s="14">
        <f t="shared" si="4"/>
        <v>92.131888259551772</v>
      </c>
      <c r="Q33" s="12">
        <f>IF(J33=1,'1-Specification &amp; Data'!B$52,IF('1-Simulation'!J33=2,'1-Specification &amp; Data'!B$53,IF('1-Simulation'!J33=3,'1-Specification &amp; Data'!B$54)))</f>
        <v>704.8687664682343</v>
      </c>
      <c r="R33" s="12">
        <f>(0.5*'1-Specification &amp; Data'!B$18*'1-Simulation'!F33^2)/1000</f>
        <v>12.85953587249257</v>
      </c>
      <c r="S33" s="6">
        <f t="shared" si="0"/>
        <v>0</v>
      </c>
      <c r="T33" s="12">
        <v>0</v>
      </c>
      <c r="U33" s="14">
        <f>O33*'1-Specification &amp; Data'!B$14*0.9</f>
        <v>24.450385730419512</v>
      </c>
    </row>
    <row r="34" spans="2:21" x14ac:dyDescent="0.25">
      <c r="C34" s="6">
        <f t="shared" si="5"/>
        <v>32</v>
      </c>
      <c r="D34" s="6">
        <v>14</v>
      </c>
      <c r="E34" s="12">
        <f t="shared" si="1"/>
        <v>22.530778652981304</v>
      </c>
      <c r="F34" s="12">
        <f t="shared" si="6"/>
        <v>6.2585496258281399</v>
      </c>
      <c r="G34" s="13">
        <f t="shared" si="7"/>
        <v>257.13698176973895</v>
      </c>
      <c r="H34" s="12">
        <f t="shared" si="8"/>
        <v>6.2585496258281399</v>
      </c>
      <c r="I34" s="12">
        <f t="shared" si="9"/>
        <v>0</v>
      </c>
      <c r="J34" s="6">
        <f t="shared" si="10"/>
        <v>2</v>
      </c>
      <c r="K34" s="6">
        <v>0</v>
      </c>
      <c r="L34" s="12">
        <f>('1-Specification &amp; Data'!B$22*'1-Specification &amp; Data'!B$10*'1-Specification &amp; Data'!B$20*('1-Simulation'!F34^2-'1-Specification &amp; Data'!B$21^2))/2</f>
        <v>16.076682461551783</v>
      </c>
      <c r="M34" s="6">
        <f t="shared" si="2"/>
        <v>0</v>
      </c>
      <c r="N34" s="12">
        <f>'1-Specification &amp; Data'!B$23*'1-Specification &amp; Data'!B$18*8.91</f>
        <v>76.055205797999989</v>
      </c>
      <c r="O34" s="12">
        <f t="shared" si="3"/>
        <v>92.131888259551772</v>
      </c>
      <c r="P34" s="14">
        <f t="shared" si="4"/>
        <v>92.131888259551772</v>
      </c>
      <c r="Q34" s="12">
        <f>IF(J34=1,'1-Specification &amp; Data'!B$52,IF('1-Simulation'!J34=2,'1-Specification &amp; Data'!B$53,IF('1-Simulation'!J34=3,'1-Specification &amp; Data'!B$54)))</f>
        <v>704.8687664682343</v>
      </c>
      <c r="R34" s="12">
        <f>(0.5*'1-Specification &amp; Data'!B$18*'1-Simulation'!F34^2)/1000</f>
        <v>12.85953587249257</v>
      </c>
      <c r="S34" s="6">
        <f t="shared" si="0"/>
        <v>0</v>
      </c>
      <c r="T34" s="12">
        <v>0</v>
      </c>
      <c r="U34" s="14">
        <f>O34*'1-Specification &amp; Data'!B$14*0.9</f>
        <v>24.450385730419512</v>
      </c>
    </row>
    <row r="35" spans="2:21" x14ac:dyDescent="0.25">
      <c r="C35" s="6">
        <f t="shared" si="5"/>
        <v>33</v>
      </c>
      <c r="D35" s="6">
        <v>14</v>
      </c>
      <c r="E35" s="12">
        <f t="shared" si="1"/>
        <v>22.530778652981304</v>
      </c>
      <c r="F35" s="12">
        <f t="shared" si="6"/>
        <v>6.2585496258281399</v>
      </c>
      <c r="G35" s="13">
        <f t="shared" si="7"/>
        <v>263.3955313955671</v>
      </c>
      <c r="H35" s="12">
        <f t="shared" si="8"/>
        <v>6.2585496258281399</v>
      </c>
      <c r="I35" s="12">
        <f t="shared" si="9"/>
        <v>0</v>
      </c>
      <c r="J35" s="6">
        <f t="shared" si="10"/>
        <v>2</v>
      </c>
      <c r="K35" s="6">
        <v>0</v>
      </c>
      <c r="L35" s="12">
        <f>('1-Specification &amp; Data'!B$22*'1-Specification &amp; Data'!B$10*'1-Specification &amp; Data'!B$20*('1-Simulation'!F35^2-'1-Specification &amp; Data'!B$21^2))/2</f>
        <v>16.076682461551783</v>
      </c>
      <c r="M35" s="6">
        <f t="shared" si="2"/>
        <v>0</v>
      </c>
      <c r="N35" s="12">
        <f>'1-Specification &amp; Data'!B$23*'1-Specification &amp; Data'!B$18*8.91</f>
        <v>76.055205797999989</v>
      </c>
      <c r="O35" s="12">
        <f t="shared" si="3"/>
        <v>92.131888259551772</v>
      </c>
      <c r="P35" s="14">
        <f t="shared" si="4"/>
        <v>92.131888259551772</v>
      </c>
      <c r="Q35" s="12">
        <f>IF(J35=1,'1-Specification &amp; Data'!B$52,IF('1-Simulation'!J35=2,'1-Specification &amp; Data'!B$53,IF('1-Simulation'!J35=3,'1-Specification &amp; Data'!B$54)))</f>
        <v>704.8687664682343</v>
      </c>
      <c r="R35" s="12">
        <f>(0.5*'1-Specification &amp; Data'!B$18*'1-Simulation'!F35^2)/1000</f>
        <v>12.85953587249257</v>
      </c>
      <c r="S35" s="6">
        <f t="shared" si="0"/>
        <v>0</v>
      </c>
      <c r="T35" s="12">
        <v>0</v>
      </c>
      <c r="U35" s="14">
        <f>O35*'1-Specification &amp; Data'!B$14*0.9</f>
        <v>24.450385730419512</v>
      </c>
    </row>
    <row r="36" spans="2:21" x14ac:dyDescent="0.25">
      <c r="C36" s="6">
        <f t="shared" si="5"/>
        <v>34</v>
      </c>
      <c r="D36" s="6">
        <v>14</v>
      </c>
      <c r="E36" s="12">
        <f t="shared" si="1"/>
        <v>22.530778652981304</v>
      </c>
      <c r="F36" s="12">
        <f t="shared" si="6"/>
        <v>6.2585496258281399</v>
      </c>
      <c r="G36" s="13">
        <f t="shared" si="7"/>
        <v>269.65408102139526</v>
      </c>
      <c r="H36" s="12">
        <f t="shared" si="8"/>
        <v>6.2585496258281399</v>
      </c>
      <c r="I36" s="12">
        <f t="shared" si="9"/>
        <v>0</v>
      </c>
      <c r="J36" s="6">
        <f t="shared" si="10"/>
        <v>2</v>
      </c>
      <c r="K36" s="6">
        <v>0</v>
      </c>
      <c r="L36" s="12">
        <f>('1-Specification &amp; Data'!B$22*'1-Specification &amp; Data'!B$10*'1-Specification &amp; Data'!B$20*('1-Simulation'!F36^2-'1-Specification &amp; Data'!B$21^2))/2</f>
        <v>16.076682461551783</v>
      </c>
      <c r="M36" s="6">
        <f t="shared" si="2"/>
        <v>0</v>
      </c>
      <c r="N36" s="12">
        <f>'1-Specification &amp; Data'!B$23*'1-Specification &amp; Data'!B$18*8.91</f>
        <v>76.055205797999989</v>
      </c>
      <c r="O36" s="12">
        <f t="shared" si="3"/>
        <v>92.131888259551772</v>
      </c>
      <c r="P36" s="14">
        <f t="shared" si="4"/>
        <v>92.131888259551772</v>
      </c>
      <c r="Q36" s="12">
        <f>IF(J36=1,'1-Specification &amp; Data'!B$52,IF('1-Simulation'!J36=2,'1-Specification &amp; Data'!B$53,IF('1-Simulation'!J36=3,'1-Specification &amp; Data'!B$54)))</f>
        <v>704.8687664682343</v>
      </c>
      <c r="R36" s="12">
        <f>(0.5*'1-Specification &amp; Data'!B$18*'1-Simulation'!F36^2)/1000</f>
        <v>12.85953587249257</v>
      </c>
      <c r="S36" s="6">
        <f t="shared" si="0"/>
        <v>0</v>
      </c>
      <c r="T36" s="12">
        <v>0</v>
      </c>
      <c r="U36" s="14">
        <f>O36*'1-Specification &amp; Data'!B$14*0.9</f>
        <v>24.450385730419512</v>
      </c>
    </row>
    <row r="37" spans="2:21" x14ac:dyDescent="0.25">
      <c r="C37" s="6">
        <f t="shared" si="5"/>
        <v>35</v>
      </c>
      <c r="D37" s="6">
        <v>14</v>
      </c>
      <c r="E37" s="12">
        <f t="shared" si="1"/>
        <v>22.530778652981304</v>
      </c>
      <c r="F37" s="12">
        <f t="shared" si="6"/>
        <v>6.2585496258281399</v>
      </c>
      <c r="G37" s="13">
        <f t="shared" si="7"/>
        <v>275.91263064722341</v>
      </c>
      <c r="H37" s="12">
        <f t="shared" si="8"/>
        <v>6.2585496258281399</v>
      </c>
      <c r="I37" s="12">
        <f t="shared" si="9"/>
        <v>0</v>
      </c>
      <c r="J37" s="6">
        <f t="shared" si="10"/>
        <v>2</v>
      </c>
      <c r="K37" s="6">
        <v>0</v>
      </c>
      <c r="L37" s="12">
        <f>('1-Specification &amp; Data'!B$22*'1-Specification &amp; Data'!B$10*'1-Specification &amp; Data'!B$20*('1-Simulation'!F37^2-'1-Specification &amp; Data'!B$21^2))/2</f>
        <v>16.076682461551783</v>
      </c>
      <c r="M37" s="6">
        <f t="shared" si="2"/>
        <v>0</v>
      </c>
      <c r="N37" s="12">
        <f>'1-Specification &amp; Data'!B$23*'1-Specification &amp; Data'!B$18*8.91</f>
        <v>76.055205797999989</v>
      </c>
      <c r="O37" s="12">
        <f t="shared" si="3"/>
        <v>92.131888259551772</v>
      </c>
      <c r="P37" s="14">
        <f t="shared" si="4"/>
        <v>92.131888259551772</v>
      </c>
      <c r="Q37" s="12">
        <f>IF(J37=1,'1-Specification &amp; Data'!B$52,IF('1-Simulation'!J37=2,'1-Specification &amp; Data'!B$53,IF('1-Simulation'!J37=3,'1-Specification &amp; Data'!B$54)))</f>
        <v>704.8687664682343</v>
      </c>
      <c r="R37" s="12">
        <f>(0.5*'1-Specification &amp; Data'!B$18*'1-Simulation'!F37^2)/1000</f>
        <v>12.85953587249257</v>
      </c>
      <c r="S37" s="6">
        <f t="shared" si="0"/>
        <v>0</v>
      </c>
      <c r="T37" s="12">
        <v>0</v>
      </c>
      <c r="U37" s="14">
        <f>O37*'1-Specification &amp; Data'!B$14*0.9</f>
        <v>24.450385730419512</v>
      </c>
    </row>
    <row r="38" spans="2:21" x14ac:dyDescent="0.25">
      <c r="C38" s="6">
        <f t="shared" si="5"/>
        <v>36</v>
      </c>
      <c r="D38" s="6">
        <v>14</v>
      </c>
      <c r="E38" s="12">
        <f t="shared" si="1"/>
        <v>22.530778652981304</v>
      </c>
      <c r="F38" s="12">
        <f t="shared" si="6"/>
        <v>6.2585496258281399</v>
      </c>
      <c r="G38" s="13">
        <f t="shared" si="7"/>
        <v>282.17118027305156</v>
      </c>
      <c r="H38" s="12">
        <f t="shared" si="8"/>
        <v>6.2585496258281399</v>
      </c>
      <c r="I38" s="12">
        <f t="shared" si="9"/>
        <v>0</v>
      </c>
      <c r="J38" s="6">
        <f t="shared" si="10"/>
        <v>2</v>
      </c>
      <c r="K38" s="6">
        <v>0</v>
      </c>
      <c r="L38" s="12">
        <f>('1-Specification &amp; Data'!B$22*'1-Specification &amp; Data'!B$10*'1-Specification &amp; Data'!B$20*('1-Simulation'!F38^2-'1-Specification &amp; Data'!B$21^2))/2</f>
        <v>16.076682461551783</v>
      </c>
      <c r="M38" s="6">
        <f t="shared" si="2"/>
        <v>0</v>
      </c>
      <c r="N38" s="12">
        <f>'1-Specification &amp; Data'!B$23*'1-Specification &amp; Data'!B$18*8.91</f>
        <v>76.055205797999989</v>
      </c>
      <c r="O38" s="12">
        <f t="shared" si="3"/>
        <v>92.131888259551772</v>
      </c>
      <c r="P38" s="14">
        <f t="shared" si="4"/>
        <v>92.131888259551772</v>
      </c>
      <c r="Q38" s="12">
        <f>IF(J38=1,'1-Specification &amp; Data'!B$52,IF('1-Simulation'!J38=2,'1-Specification &amp; Data'!B$53,IF('1-Simulation'!J38=3,'1-Specification &amp; Data'!B$54)))</f>
        <v>704.8687664682343</v>
      </c>
      <c r="R38" s="12">
        <f>(0.5*'1-Specification &amp; Data'!B$18*'1-Simulation'!F38^2)/1000</f>
        <v>12.85953587249257</v>
      </c>
      <c r="S38" s="6">
        <f t="shared" si="0"/>
        <v>0</v>
      </c>
      <c r="T38" s="12">
        <v>0</v>
      </c>
      <c r="U38" s="14">
        <f>O38*'1-Specification &amp; Data'!B$14*0.9</f>
        <v>24.450385730419512</v>
      </c>
    </row>
    <row r="39" spans="2:21" x14ac:dyDescent="0.25">
      <c r="C39" s="6">
        <f t="shared" si="5"/>
        <v>37</v>
      </c>
      <c r="D39" s="6">
        <v>14</v>
      </c>
      <c r="E39" s="12">
        <f t="shared" si="1"/>
        <v>22.530778652981304</v>
      </c>
      <c r="F39" s="12">
        <f t="shared" si="6"/>
        <v>6.2585496258281399</v>
      </c>
      <c r="G39" s="13">
        <f t="shared" si="7"/>
        <v>288.42972989887971</v>
      </c>
      <c r="H39" s="12">
        <f t="shared" si="8"/>
        <v>6.2585496258281399</v>
      </c>
      <c r="I39" s="12">
        <f t="shared" si="9"/>
        <v>0</v>
      </c>
      <c r="J39" s="6">
        <f t="shared" si="10"/>
        <v>2</v>
      </c>
      <c r="K39" s="6">
        <v>0</v>
      </c>
      <c r="L39" s="12">
        <f>('1-Specification &amp; Data'!B$22*'1-Specification &amp; Data'!B$10*'1-Specification &amp; Data'!B$20*('1-Simulation'!F39^2-'1-Specification &amp; Data'!B$21^2))/2</f>
        <v>16.076682461551783</v>
      </c>
      <c r="M39" s="6">
        <f t="shared" si="2"/>
        <v>0</v>
      </c>
      <c r="N39" s="12">
        <f>'1-Specification &amp; Data'!B$23*'1-Specification &amp; Data'!B$18*8.91</f>
        <v>76.055205797999989</v>
      </c>
      <c r="O39" s="12">
        <f t="shared" si="3"/>
        <v>92.131888259551772</v>
      </c>
      <c r="P39" s="14">
        <f t="shared" si="4"/>
        <v>92.131888259551772</v>
      </c>
      <c r="Q39" s="12">
        <f>IF(J39=1,'1-Specification &amp; Data'!B$52,IF('1-Simulation'!J39=2,'1-Specification &amp; Data'!B$53,IF('1-Simulation'!J39=3,'1-Specification &amp; Data'!B$54)))</f>
        <v>704.8687664682343</v>
      </c>
      <c r="R39" s="12">
        <f>(0.5*'1-Specification &amp; Data'!B$18*'1-Simulation'!F39^2)/1000</f>
        <v>12.85953587249257</v>
      </c>
      <c r="S39" s="6">
        <f t="shared" si="0"/>
        <v>0</v>
      </c>
      <c r="T39" s="12">
        <v>0</v>
      </c>
      <c r="U39" s="14">
        <f>O39*'1-Specification &amp; Data'!B$14*0.9</f>
        <v>24.450385730419512</v>
      </c>
    </row>
    <row r="40" spans="2:21" x14ac:dyDescent="0.25">
      <c r="C40" s="6">
        <f t="shared" si="5"/>
        <v>38</v>
      </c>
      <c r="D40" s="6">
        <v>14</v>
      </c>
      <c r="E40" s="12">
        <f t="shared" si="1"/>
        <v>22.530778652981304</v>
      </c>
      <c r="F40" s="12">
        <f t="shared" si="6"/>
        <v>6.2585496258281399</v>
      </c>
      <c r="G40" s="13">
        <f t="shared" si="7"/>
        <v>294.68827952470787</v>
      </c>
      <c r="H40" s="12">
        <f t="shared" si="8"/>
        <v>6.2585496258281399</v>
      </c>
      <c r="I40" s="12">
        <f t="shared" si="9"/>
        <v>0</v>
      </c>
      <c r="J40" s="6">
        <f t="shared" si="10"/>
        <v>2</v>
      </c>
      <c r="K40" s="6">
        <v>0</v>
      </c>
      <c r="L40" s="12">
        <f>('1-Specification &amp; Data'!B$22*'1-Specification &amp; Data'!B$10*'1-Specification &amp; Data'!B$20*('1-Simulation'!F40^2-'1-Specification &amp; Data'!B$21^2))/2</f>
        <v>16.076682461551783</v>
      </c>
      <c r="M40" s="6">
        <f t="shared" si="2"/>
        <v>0</v>
      </c>
      <c r="N40" s="12">
        <f>'1-Specification &amp; Data'!B$23*'1-Specification &amp; Data'!B$18*8.91</f>
        <v>76.055205797999989</v>
      </c>
      <c r="O40" s="12">
        <f t="shared" si="3"/>
        <v>92.131888259551772</v>
      </c>
      <c r="P40" s="14">
        <f t="shared" si="4"/>
        <v>92.131888259551772</v>
      </c>
      <c r="Q40" s="12">
        <f>IF(J40=1,'1-Specification &amp; Data'!B$52,IF('1-Simulation'!J40=2,'1-Specification &amp; Data'!B$53,IF('1-Simulation'!J40=3,'1-Specification &amp; Data'!B$54)))</f>
        <v>704.8687664682343</v>
      </c>
      <c r="R40" s="12">
        <f>(0.5*'1-Specification &amp; Data'!B$18*'1-Simulation'!F40^2)/1000</f>
        <v>12.85953587249257</v>
      </c>
      <c r="S40" s="6">
        <f t="shared" si="0"/>
        <v>0</v>
      </c>
      <c r="T40" s="12">
        <v>0</v>
      </c>
      <c r="U40" s="14">
        <f>O40*'1-Specification &amp; Data'!B$14*0.9</f>
        <v>24.450385730419512</v>
      </c>
    </row>
    <row r="41" spans="2:21" x14ac:dyDescent="0.25">
      <c r="C41" s="6">
        <f t="shared" si="5"/>
        <v>39</v>
      </c>
      <c r="D41" s="6">
        <v>14</v>
      </c>
      <c r="E41" s="12">
        <f t="shared" si="1"/>
        <v>22.530778652981304</v>
      </c>
      <c r="F41" s="12">
        <f t="shared" si="6"/>
        <v>6.2585496258281399</v>
      </c>
      <c r="G41" s="13">
        <f t="shared" si="7"/>
        <v>300.94682915053602</v>
      </c>
      <c r="H41" s="12">
        <f t="shared" si="8"/>
        <v>6.2585496258281399</v>
      </c>
      <c r="I41" s="12">
        <f t="shared" si="9"/>
        <v>0</v>
      </c>
      <c r="J41" s="6">
        <f t="shared" si="10"/>
        <v>2</v>
      </c>
      <c r="K41" s="6">
        <v>0</v>
      </c>
      <c r="L41" s="12">
        <f>('1-Specification &amp; Data'!B$22*'1-Specification &amp; Data'!B$10*'1-Specification &amp; Data'!B$20*('1-Simulation'!F41^2-'1-Specification &amp; Data'!B$21^2))/2</f>
        <v>16.076682461551783</v>
      </c>
      <c r="M41" s="6">
        <f t="shared" si="2"/>
        <v>0</v>
      </c>
      <c r="N41" s="12">
        <f>'1-Specification &amp; Data'!B$23*'1-Specification &amp; Data'!B$18*8.91</f>
        <v>76.055205797999989</v>
      </c>
      <c r="O41" s="12">
        <f t="shared" si="3"/>
        <v>92.131888259551772</v>
      </c>
      <c r="P41" s="14">
        <f t="shared" si="4"/>
        <v>92.131888259551772</v>
      </c>
      <c r="Q41" s="12">
        <f>IF(J41=1,'1-Specification &amp; Data'!B$52,IF('1-Simulation'!J41=2,'1-Specification &amp; Data'!B$53,IF('1-Simulation'!J41=3,'1-Specification &amp; Data'!B$54)))</f>
        <v>704.8687664682343</v>
      </c>
      <c r="R41" s="12">
        <f>(0.5*'1-Specification &amp; Data'!B$18*'1-Simulation'!F41^2)/1000</f>
        <v>12.85953587249257</v>
      </c>
      <c r="S41" s="6">
        <f t="shared" si="0"/>
        <v>0</v>
      </c>
      <c r="T41" s="12">
        <v>0</v>
      </c>
      <c r="U41" s="14">
        <f>O41*'1-Specification &amp; Data'!B$14*0.9</f>
        <v>24.450385730419512</v>
      </c>
    </row>
    <row r="42" spans="2:21" x14ac:dyDescent="0.25">
      <c r="C42" s="6">
        <f t="shared" si="5"/>
        <v>40</v>
      </c>
      <c r="D42" s="6">
        <v>14</v>
      </c>
      <c r="E42" s="12">
        <f t="shared" si="1"/>
        <v>22.530778652981304</v>
      </c>
      <c r="F42" s="12">
        <f t="shared" si="6"/>
        <v>6.2585496258281399</v>
      </c>
      <c r="G42" s="13">
        <f t="shared" si="7"/>
        <v>307.20537877636417</v>
      </c>
      <c r="H42" s="12">
        <f t="shared" si="8"/>
        <v>6.2585496258281399</v>
      </c>
      <c r="I42" s="12">
        <f t="shared" si="9"/>
        <v>0</v>
      </c>
      <c r="J42" s="6">
        <f t="shared" si="10"/>
        <v>2</v>
      </c>
      <c r="K42" s="6">
        <v>0</v>
      </c>
      <c r="L42" s="12">
        <f>('1-Specification &amp; Data'!B$22*'1-Specification &amp; Data'!B$10*'1-Specification &amp; Data'!B$20*('1-Simulation'!F42^2-'1-Specification &amp; Data'!B$21^2))/2</f>
        <v>16.076682461551783</v>
      </c>
      <c r="M42" s="6">
        <f t="shared" si="2"/>
        <v>0</v>
      </c>
      <c r="N42" s="12">
        <f>'1-Specification &amp; Data'!B$23*'1-Specification &amp; Data'!B$18*8.91</f>
        <v>76.055205797999989</v>
      </c>
      <c r="O42" s="12">
        <f t="shared" si="3"/>
        <v>92.131888259551772</v>
      </c>
      <c r="P42" s="14">
        <f t="shared" si="4"/>
        <v>92.131888259551772</v>
      </c>
      <c r="Q42" s="12">
        <f>IF(J42=1,'1-Specification &amp; Data'!B$52,IF('1-Simulation'!J42=2,'1-Specification &amp; Data'!B$53,IF('1-Simulation'!J42=3,'1-Specification &amp; Data'!B$54)))</f>
        <v>704.8687664682343</v>
      </c>
      <c r="R42" s="12">
        <f>(0.5*'1-Specification &amp; Data'!B$18*'1-Simulation'!F42^2)/1000</f>
        <v>12.85953587249257</v>
      </c>
      <c r="S42" s="6">
        <f t="shared" si="0"/>
        <v>0</v>
      </c>
      <c r="T42" s="12">
        <v>0</v>
      </c>
      <c r="U42" s="14">
        <f>O42*'1-Specification &amp; Data'!B$14*0.9</f>
        <v>24.450385730419512</v>
      </c>
    </row>
    <row r="43" spans="2:21" x14ac:dyDescent="0.25">
      <c r="C43" s="6">
        <f t="shared" si="5"/>
        <v>41</v>
      </c>
      <c r="D43" s="6">
        <v>14</v>
      </c>
      <c r="E43" s="12">
        <f t="shared" si="1"/>
        <v>22.530778652981304</v>
      </c>
      <c r="F43" s="12">
        <f t="shared" si="6"/>
        <v>6.2585496258281399</v>
      </c>
      <c r="G43" s="13">
        <f t="shared" si="7"/>
        <v>313.46392840219232</v>
      </c>
      <c r="H43" s="12">
        <f t="shared" si="8"/>
        <v>6.2585496258281399</v>
      </c>
      <c r="I43" s="12">
        <f t="shared" si="9"/>
        <v>0</v>
      </c>
      <c r="J43" s="6">
        <f t="shared" si="10"/>
        <v>2</v>
      </c>
      <c r="K43" s="6">
        <v>0</v>
      </c>
      <c r="L43" s="12">
        <f>('1-Specification &amp; Data'!B$22*'1-Specification &amp; Data'!B$10*'1-Specification &amp; Data'!B$20*('1-Simulation'!F43^2-'1-Specification &amp; Data'!B$21^2))/2</f>
        <v>16.076682461551783</v>
      </c>
      <c r="M43" s="6">
        <f t="shared" si="2"/>
        <v>0</v>
      </c>
      <c r="N43" s="12">
        <f>'1-Specification &amp; Data'!B$23*'1-Specification &amp; Data'!B$18*8.91</f>
        <v>76.055205797999989</v>
      </c>
      <c r="O43" s="12">
        <f t="shared" si="3"/>
        <v>92.131888259551772</v>
      </c>
      <c r="P43" s="14">
        <f t="shared" si="4"/>
        <v>92.131888259551772</v>
      </c>
      <c r="Q43" s="12">
        <f>IF(J43=1,'1-Specification &amp; Data'!B$52,IF('1-Simulation'!J43=2,'1-Specification &amp; Data'!B$53,IF('1-Simulation'!J43=3,'1-Specification &amp; Data'!B$54)))</f>
        <v>704.8687664682343</v>
      </c>
      <c r="R43" s="12">
        <f>(0.5*'1-Specification &amp; Data'!B$18*'1-Simulation'!F43^2)/1000</f>
        <v>12.85953587249257</v>
      </c>
      <c r="S43" s="6">
        <f t="shared" si="0"/>
        <v>0</v>
      </c>
      <c r="T43" s="12">
        <v>0</v>
      </c>
      <c r="U43" s="14">
        <f>O43*'1-Specification &amp; Data'!B$14*0.9</f>
        <v>24.450385730419512</v>
      </c>
    </row>
    <row r="44" spans="2:21" x14ac:dyDescent="0.25">
      <c r="C44" s="6">
        <f t="shared" si="5"/>
        <v>42</v>
      </c>
      <c r="D44" s="6">
        <v>14</v>
      </c>
      <c r="E44" s="12">
        <f t="shared" si="1"/>
        <v>22.530778652981304</v>
      </c>
      <c r="F44" s="12">
        <f t="shared" si="6"/>
        <v>6.2585496258281399</v>
      </c>
      <c r="G44" s="13">
        <f t="shared" si="7"/>
        <v>319.72247802802048</v>
      </c>
      <c r="H44" s="12">
        <f t="shared" si="8"/>
        <v>6.2585496258281399</v>
      </c>
      <c r="I44" s="12">
        <f t="shared" si="9"/>
        <v>0</v>
      </c>
      <c r="J44" s="6">
        <f t="shared" si="10"/>
        <v>2</v>
      </c>
      <c r="K44" s="6">
        <v>0</v>
      </c>
      <c r="L44" s="12">
        <f>('1-Specification &amp; Data'!B$22*'1-Specification &amp; Data'!B$10*'1-Specification &amp; Data'!B$20*('1-Simulation'!F44^2-'1-Specification &amp; Data'!B$21^2))/2</f>
        <v>16.076682461551783</v>
      </c>
      <c r="M44" s="6">
        <f t="shared" si="2"/>
        <v>0</v>
      </c>
      <c r="N44" s="12">
        <f>'1-Specification &amp; Data'!B$23*'1-Specification &amp; Data'!B$18*8.91</f>
        <v>76.055205797999989</v>
      </c>
      <c r="O44" s="12">
        <f t="shared" si="3"/>
        <v>92.131888259551772</v>
      </c>
      <c r="P44" s="14">
        <f t="shared" si="4"/>
        <v>92.131888259551772</v>
      </c>
      <c r="Q44" s="12">
        <f>IF(J44=1,'1-Specification &amp; Data'!B$52,IF('1-Simulation'!J44=2,'1-Specification &amp; Data'!B$53,IF('1-Simulation'!J44=3,'1-Specification &amp; Data'!B$54)))</f>
        <v>704.8687664682343</v>
      </c>
      <c r="R44" s="12">
        <f>(0.5*'1-Specification &amp; Data'!B$18*'1-Simulation'!F44^2)/1000</f>
        <v>12.85953587249257</v>
      </c>
      <c r="S44" s="6">
        <f t="shared" si="0"/>
        <v>0</v>
      </c>
      <c r="T44" s="12">
        <v>0</v>
      </c>
      <c r="U44" s="14">
        <f>O44*'1-Specification &amp; Data'!B$14*0.9</f>
        <v>24.450385730419512</v>
      </c>
    </row>
    <row r="45" spans="2:21" x14ac:dyDescent="0.25">
      <c r="C45" s="6">
        <f t="shared" si="5"/>
        <v>43</v>
      </c>
      <c r="D45" s="6">
        <v>14</v>
      </c>
      <c r="E45" s="12">
        <f t="shared" si="1"/>
        <v>22.530778652981304</v>
      </c>
      <c r="F45" s="12">
        <f t="shared" si="6"/>
        <v>6.2585496258281399</v>
      </c>
      <c r="G45" s="13">
        <f t="shared" si="7"/>
        <v>325.98102765384863</v>
      </c>
      <c r="H45" s="12">
        <f t="shared" si="8"/>
        <v>6.2585496258281399</v>
      </c>
      <c r="I45" s="12">
        <f t="shared" si="9"/>
        <v>0</v>
      </c>
      <c r="J45" s="6">
        <f t="shared" si="10"/>
        <v>2</v>
      </c>
      <c r="K45" s="6">
        <v>0</v>
      </c>
      <c r="L45" s="12">
        <f>('1-Specification &amp; Data'!B$22*'1-Specification &amp; Data'!B$10*'1-Specification &amp; Data'!B$20*('1-Simulation'!F45^2-'1-Specification &amp; Data'!B$21^2))/2</f>
        <v>16.076682461551783</v>
      </c>
      <c r="M45" s="6">
        <f t="shared" si="2"/>
        <v>0</v>
      </c>
      <c r="N45" s="12">
        <f>'1-Specification &amp; Data'!B$23*'1-Specification &amp; Data'!B$18*8.91</f>
        <v>76.055205797999989</v>
      </c>
      <c r="O45" s="12">
        <f t="shared" si="3"/>
        <v>92.131888259551772</v>
      </c>
      <c r="P45" s="14">
        <f t="shared" si="4"/>
        <v>92.131888259551772</v>
      </c>
      <c r="Q45" s="12">
        <f>IF(J45=1,'1-Specification &amp; Data'!B$52,IF('1-Simulation'!J45=2,'1-Specification &amp; Data'!B$53,IF('1-Simulation'!J45=3,'1-Specification &amp; Data'!B$54)))</f>
        <v>704.8687664682343</v>
      </c>
      <c r="R45" s="12">
        <f>(0.5*'1-Specification &amp; Data'!B$18*'1-Simulation'!F45^2)/1000</f>
        <v>12.85953587249257</v>
      </c>
      <c r="S45" s="6">
        <f t="shared" si="0"/>
        <v>0</v>
      </c>
      <c r="T45" s="12">
        <v>0</v>
      </c>
      <c r="U45" s="14">
        <f>O45*'1-Specification &amp; Data'!B$14*0.9</f>
        <v>24.450385730419512</v>
      </c>
    </row>
    <row r="46" spans="2:21" x14ac:dyDescent="0.25">
      <c r="B46" s="17" t="s">
        <v>96</v>
      </c>
      <c r="C46" s="6">
        <f t="shared" si="5"/>
        <v>44</v>
      </c>
      <c r="D46" s="6">
        <v>14</v>
      </c>
      <c r="E46" s="12">
        <f t="shared" si="1"/>
        <v>22.530778652981304</v>
      </c>
      <c r="F46" s="12">
        <f t="shared" si="6"/>
        <v>6.2585496258281399</v>
      </c>
      <c r="G46" s="13">
        <f t="shared" si="7"/>
        <v>332.23957727967678</v>
      </c>
      <c r="H46" s="12">
        <f t="shared" si="8"/>
        <v>6.2585496258281399</v>
      </c>
      <c r="I46" s="12">
        <f t="shared" si="9"/>
        <v>0</v>
      </c>
      <c r="J46" s="6">
        <f t="shared" si="10"/>
        <v>2</v>
      </c>
      <c r="K46" s="6">
        <v>0</v>
      </c>
      <c r="L46" s="12">
        <f>('1-Specification &amp; Data'!B$22*'1-Specification &amp; Data'!B$10*'1-Specification &amp; Data'!B$20*('1-Simulation'!F46^2-'1-Specification &amp; Data'!B$21^2))/2</f>
        <v>16.076682461551783</v>
      </c>
      <c r="M46" s="6">
        <f t="shared" si="2"/>
        <v>0</v>
      </c>
      <c r="N46" s="12">
        <f>'1-Specification &amp; Data'!B$23*'1-Specification &amp; Data'!B$18*8.91</f>
        <v>76.055205797999989</v>
      </c>
      <c r="O46" s="12">
        <f t="shared" si="3"/>
        <v>92.131888259551772</v>
      </c>
      <c r="P46" s="14">
        <f t="shared" si="4"/>
        <v>92.131888259551772</v>
      </c>
      <c r="Q46" s="12">
        <f>IF(J46=1,'1-Specification &amp; Data'!B$52,IF('1-Simulation'!J46=2,'1-Specification &amp; Data'!B$53,IF('1-Simulation'!J46=3,'1-Specification &amp; Data'!B$54)))</f>
        <v>704.8687664682343</v>
      </c>
      <c r="R46" s="12">
        <f>(0.5*'1-Specification &amp; Data'!B$18*'1-Simulation'!F46^2)/1000</f>
        <v>12.85953587249257</v>
      </c>
      <c r="S46" s="6">
        <f t="shared" si="0"/>
        <v>0</v>
      </c>
      <c r="T46" s="12">
        <v>0</v>
      </c>
      <c r="U46" s="14">
        <f>O46*'1-Specification &amp; Data'!B$14*0.9</f>
        <v>24.450385730419512</v>
      </c>
    </row>
    <row r="47" spans="2:21" x14ac:dyDescent="0.25">
      <c r="C47" s="6">
        <f t="shared" si="5"/>
        <v>45</v>
      </c>
      <c r="D47" s="6">
        <v>15</v>
      </c>
      <c r="E47" s="12">
        <f t="shared" si="1"/>
        <v>24.140119985337112</v>
      </c>
      <c r="F47" s="12">
        <f t="shared" si="6"/>
        <v>6.7055888848158638</v>
      </c>
      <c r="G47" s="13">
        <f t="shared" si="7"/>
        <v>338.7216465349988</v>
      </c>
      <c r="H47" s="12">
        <f t="shared" si="8"/>
        <v>6.4820692553220018</v>
      </c>
      <c r="I47" s="12">
        <f t="shared" si="9"/>
        <v>0.4470392589877239</v>
      </c>
      <c r="J47" s="6">
        <f t="shared" si="10"/>
        <v>2</v>
      </c>
      <c r="K47" s="6">
        <v>0</v>
      </c>
      <c r="L47" s="12">
        <f>('1-Specification &amp; Data'!B$22*'1-Specification &amp; Data'!B$10*'1-Specification &amp; Data'!B$20*('1-Simulation'!F47^2-'1-Specification &amp; Data'!B$21^2))/2</f>
        <v>18.801287472525743</v>
      </c>
      <c r="M47" s="6">
        <f t="shared" si="2"/>
        <v>315.10401104555046</v>
      </c>
      <c r="N47" s="12">
        <f>'1-Specification &amp; Data'!B$23*'1-Specification &amp; Data'!B$18*8.91</f>
        <v>76.055205797999989</v>
      </c>
      <c r="O47" s="12">
        <f t="shared" si="3"/>
        <v>409.9605043160762</v>
      </c>
      <c r="P47" s="14">
        <f t="shared" si="4"/>
        <v>409.9605043160762</v>
      </c>
      <c r="Q47" s="12">
        <f>IF(J47=1,'1-Specification &amp; Data'!B$52,IF('1-Simulation'!J47=2,'1-Specification &amp; Data'!B$53,IF('1-Simulation'!J47=3,'1-Specification &amp; Data'!B$54)))</f>
        <v>704.8687664682343</v>
      </c>
      <c r="R47" s="12">
        <f>(0.5*'1-Specification &amp; Data'!B$18*'1-Simulation'!F47^2)/1000</f>
        <v>14.762222302606265</v>
      </c>
      <c r="S47" s="6">
        <f t="shared" si="0"/>
        <v>0</v>
      </c>
      <c r="T47" s="12">
        <v>0</v>
      </c>
      <c r="U47" s="14">
        <f>O47*'1-Specification &amp; Data'!B$14*0.9</f>
        <v>108.79721076080484</v>
      </c>
    </row>
    <row r="48" spans="2:21" x14ac:dyDescent="0.25">
      <c r="C48" s="6">
        <f t="shared" si="5"/>
        <v>46</v>
      </c>
      <c r="D48" s="6">
        <v>16.5</v>
      </c>
      <c r="E48" s="12">
        <f t="shared" si="1"/>
        <v>26.554131983870821</v>
      </c>
      <c r="F48" s="12">
        <f t="shared" si="6"/>
        <v>7.3761477732974505</v>
      </c>
      <c r="G48" s="13">
        <f t="shared" si="7"/>
        <v>345.76251486405545</v>
      </c>
      <c r="H48" s="12">
        <f t="shared" si="8"/>
        <v>7.0408683290566572</v>
      </c>
      <c r="I48" s="12">
        <f t="shared" si="9"/>
        <v>0.67055888848158673</v>
      </c>
      <c r="J48" s="6">
        <f t="shared" si="10"/>
        <v>2</v>
      </c>
      <c r="K48" s="6">
        <v>0</v>
      </c>
      <c r="L48" s="12">
        <f>('1-Specification &amp; Data'!B$22*'1-Specification &amp; Data'!B$10*'1-Specification &amp; Data'!B$20*('1-Simulation'!F48^2-'1-Specification &amp; Data'!B$21^2))/2</f>
        <v>23.240514602474704</v>
      </c>
      <c r="M48" s="6">
        <f t="shared" si="2"/>
        <v>472.65601656832632</v>
      </c>
      <c r="N48" s="12">
        <f>'1-Specification &amp; Data'!B$23*'1-Specification &amp; Data'!B$18*8.91</f>
        <v>76.055205797999989</v>
      </c>
      <c r="O48" s="12">
        <f t="shared" si="3"/>
        <v>571.95173696880101</v>
      </c>
      <c r="P48" s="14">
        <f t="shared" si="4"/>
        <v>571.95173696880101</v>
      </c>
      <c r="Q48" s="12">
        <f>IF(J48=1,'1-Specification &amp; Data'!B$52,IF('1-Simulation'!J48=2,'1-Specification &amp; Data'!B$53,IF('1-Simulation'!J48=3,'1-Specification &amp; Data'!B$54)))</f>
        <v>704.8687664682343</v>
      </c>
      <c r="R48" s="12">
        <f>(0.5*'1-Specification &amp; Data'!B$18*'1-Simulation'!F48^2)/1000</f>
        <v>17.86228898615358</v>
      </c>
      <c r="S48" s="6">
        <f t="shared" si="0"/>
        <v>0</v>
      </c>
      <c r="T48" s="12">
        <v>0</v>
      </c>
      <c r="U48" s="14">
        <f>O48*'1-Specification &amp; Data'!B$14*0.9</f>
        <v>151.78719173402797</v>
      </c>
    </row>
    <row r="49" spans="2:21" x14ac:dyDescent="0.25">
      <c r="C49" s="6">
        <f t="shared" si="5"/>
        <v>47</v>
      </c>
      <c r="D49" s="6">
        <v>18</v>
      </c>
      <c r="E49" s="12">
        <f t="shared" si="1"/>
        <v>28.968143982404534</v>
      </c>
      <c r="F49" s="12">
        <f t="shared" si="6"/>
        <v>8.0467066617790373</v>
      </c>
      <c r="G49" s="13">
        <f t="shared" si="7"/>
        <v>353.47394208159369</v>
      </c>
      <c r="H49" s="12">
        <f t="shared" si="8"/>
        <v>7.7114272175382439</v>
      </c>
      <c r="I49" s="12">
        <f t="shared" si="9"/>
        <v>0.67055888848158673</v>
      </c>
      <c r="J49" s="6">
        <f t="shared" si="10"/>
        <v>2</v>
      </c>
      <c r="K49" s="6">
        <v>0</v>
      </c>
      <c r="L49" s="12">
        <f>('1-Specification &amp; Data'!B$22*'1-Specification &amp; Data'!B$10*'1-Specification &amp; Data'!B$20*('1-Simulation'!F49^2-'1-Specification &amp; Data'!B$21^2))/2</f>
        <v>28.102525268609277</v>
      </c>
      <c r="M49" s="6">
        <f t="shared" si="2"/>
        <v>472.65601656832632</v>
      </c>
      <c r="N49" s="12">
        <f>'1-Specification &amp; Data'!B$23*'1-Specification &amp; Data'!B$18*8.91</f>
        <v>76.055205797999989</v>
      </c>
      <c r="O49" s="12">
        <f t="shared" si="3"/>
        <v>576.81374763493557</v>
      </c>
      <c r="P49" s="14">
        <f t="shared" si="4"/>
        <v>576.81374763493557</v>
      </c>
      <c r="Q49" s="12">
        <f>IF(J49=1,'1-Specification &amp; Data'!B$52,IF('1-Simulation'!J49=2,'1-Specification &amp; Data'!B$53,IF('1-Simulation'!J49=3,'1-Specification &amp; Data'!B$54)))</f>
        <v>704.8687664682343</v>
      </c>
      <c r="R49" s="12">
        <f>(0.5*'1-Specification &amp; Data'!B$18*'1-Simulation'!F49^2)/1000</f>
        <v>21.257600115753025</v>
      </c>
      <c r="S49" s="6">
        <f t="shared" si="0"/>
        <v>0</v>
      </c>
      <c r="T49" s="12">
        <v>0</v>
      </c>
      <c r="U49" s="14">
        <f>O49*'1-Specification &amp; Data'!B$14*0.9</f>
        <v>153.07749456465598</v>
      </c>
    </row>
    <row r="50" spans="2:21" x14ac:dyDescent="0.25">
      <c r="C50" s="6">
        <f t="shared" si="5"/>
        <v>48</v>
      </c>
      <c r="D50" s="6">
        <v>20</v>
      </c>
      <c r="E50" s="12">
        <f t="shared" si="1"/>
        <v>32.186826647116149</v>
      </c>
      <c r="F50" s="12">
        <f t="shared" si="6"/>
        <v>8.9407851797544851</v>
      </c>
      <c r="G50" s="13">
        <f t="shared" si="7"/>
        <v>361.96768800236043</v>
      </c>
      <c r="H50" s="12">
        <f t="shared" si="8"/>
        <v>8.4937459207667612</v>
      </c>
      <c r="I50" s="12">
        <f t="shared" si="9"/>
        <v>0.8940785179754478</v>
      </c>
      <c r="J50" s="6">
        <f t="shared" si="10"/>
        <v>2</v>
      </c>
      <c r="K50" s="6">
        <v>0</v>
      </c>
      <c r="L50" s="12">
        <f>('1-Specification &amp; Data'!B$22*'1-Specification &amp; Data'!B$10*'1-Specification &amp; Data'!B$20*('1-Simulation'!F50^2-'1-Specification &amp; Data'!B$21^2))/2</f>
        <v>35.24286943529966</v>
      </c>
      <c r="M50" s="6">
        <f t="shared" si="2"/>
        <v>630.20802209110093</v>
      </c>
      <c r="N50" s="12">
        <f>'1-Specification &amp; Data'!B$23*'1-Specification &amp; Data'!B$18*8.91</f>
        <v>76.055205797999989</v>
      </c>
      <c r="O50" s="12">
        <f t="shared" si="3"/>
        <v>741.50609732440057</v>
      </c>
      <c r="P50" s="14">
        <f t="shared" si="4"/>
        <v>741.50609732440057</v>
      </c>
      <c r="Q50" s="12">
        <f>IF(J50=1,'1-Specification &amp; Data'!B$52,IF('1-Simulation'!J50=2,'1-Specification &amp; Data'!B$53,IF('1-Simulation'!J50=3,'1-Specification &amp; Data'!B$54)))</f>
        <v>704.8687664682343</v>
      </c>
      <c r="R50" s="12">
        <f>(0.5*'1-Specification &amp; Data'!B$18*'1-Simulation'!F50^2)/1000</f>
        <v>26.243950760188916</v>
      </c>
      <c r="S50" s="6">
        <f t="shared" si="0"/>
        <v>0</v>
      </c>
      <c r="T50" s="12">
        <v>0</v>
      </c>
      <c r="U50" s="14">
        <f>O50*'1-Specification &amp; Data'!B$14*0.9</f>
        <v>196.78431044378323</v>
      </c>
    </row>
    <row r="51" spans="2:21" x14ac:dyDescent="0.25">
      <c r="C51" s="6">
        <f t="shared" si="5"/>
        <v>49</v>
      </c>
      <c r="D51" s="6">
        <v>20.2</v>
      </c>
      <c r="E51" s="12">
        <f t="shared" si="1"/>
        <v>32.508694913587306</v>
      </c>
      <c r="F51" s="12">
        <f t="shared" si="6"/>
        <v>9.0301930315520291</v>
      </c>
      <c r="G51" s="13">
        <f t="shared" si="7"/>
        <v>370.95317710801368</v>
      </c>
      <c r="H51" s="12">
        <f t="shared" si="8"/>
        <v>8.985489105653258</v>
      </c>
      <c r="I51" s="12">
        <f t="shared" si="9"/>
        <v>8.9407851797545845E-2</v>
      </c>
      <c r="J51" s="6">
        <f t="shared" si="10"/>
        <v>3</v>
      </c>
      <c r="K51" s="6">
        <v>0</v>
      </c>
      <c r="L51" s="12">
        <f>('1-Specification &amp; Data'!B$22*'1-Specification &amp; Data'!B$10*'1-Specification &amp; Data'!B$20*('1-Simulation'!F51^2-'1-Specification &amp; Data'!B$21^2))/2</f>
        <v>35.998242686617957</v>
      </c>
      <c r="M51" s="6">
        <f t="shared" si="2"/>
        <v>62.5992371119696</v>
      </c>
      <c r="N51" s="12">
        <f>'1-Specification &amp; Data'!B$23*'1-Specification &amp; Data'!B$18*8.91</f>
        <v>76.055205797999989</v>
      </c>
      <c r="O51" s="12">
        <f t="shared" si="3"/>
        <v>174.65268559658756</v>
      </c>
      <c r="P51" s="14">
        <f t="shared" si="4"/>
        <v>174.65268559658756</v>
      </c>
      <c r="Q51" s="12">
        <f>IF(J51=1,'1-Specification &amp; Data'!B$52,IF('1-Simulation'!J51=2,'1-Specification &amp; Data'!B$53,IF('1-Simulation'!J51=3,'1-Specification &amp; Data'!B$54)))</f>
        <v>700.1536873262387</v>
      </c>
      <c r="R51" s="12">
        <f>(0.5*'1-Specification &amp; Data'!B$18*'1-Simulation'!F51^2)/1000</f>
        <v>26.771454170468708</v>
      </c>
      <c r="S51" s="6">
        <f t="shared" si="0"/>
        <v>0</v>
      </c>
      <c r="T51" s="12">
        <v>0</v>
      </c>
      <c r="U51" s="14">
        <f>O51*'1-Specification &amp; Data'!B$14*0.9</f>
        <v>46.350135792940549</v>
      </c>
    </row>
    <row r="52" spans="2:21" x14ac:dyDescent="0.25">
      <c r="C52" s="6">
        <f t="shared" si="5"/>
        <v>50</v>
      </c>
      <c r="D52" s="6">
        <v>21.5</v>
      </c>
      <c r="E52" s="12">
        <f t="shared" si="1"/>
        <v>34.600838645649858</v>
      </c>
      <c r="F52" s="12">
        <f t="shared" si="6"/>
        <v>9.6113440682360718</v>
      </c>
      <c r="G52" s="13">
        <f t="shared" si="7"/>
        <v>380.27394565790775</v>
      </c>
      <c r="H52" s="12">
        <f t="shared" si="8"/>
        <v>9.3207685498940513</v>
      </c>
      <c r="I52" s="12">
        <f t="shared" si="9"/>
        <v>0.58115103668404444</v>
      </c>
      <c r="J52" s="6">
        <f t="shared" si="10"/>
        <v>3</v>
      </c>
      <c r="K52" s="6">
        <v>0</v>
      </c>
      <c r="L52" s="12">
        <f>('1-Specification &amp; Data'!B$22*'1-Specification &amp; Data'!B$10*'1-Specification &amp; Data'!B$20*('1-Simulation'!F52^2-'1-Specification &amp; Data'!B$21^2))/2</f>
        <v>41.091375019200676</v>
      </c>
      <c r="M52" s="6">
        <f t="shared" si="2"/>
        <v>406.89504122779994</v>
      </c>
      <c r="N52" s="12">
        <f>'1-Specification &amp; Data'!B$23*'1-Specification &amp; Data'!B$18*8.91</f>
        <v>76.055205797999989</v>
      </c>
      <c r="O52" s="12">
        <f t="shared" si="3"/>
        <v>524.04162204500062</v>
      </c>
      <c r="P52" s="14">
        <f t="shared" si="4"/>
        <v>524.04162204500062</v>
      </c>
      <c r="Q52" s="12">
        <f>IF(J52=1,'1-Specification &amp; Data'!B$52,IF('1-Simulation'!J52=2,'1-Specification &amp; Data'!B$53,IF('1-Simulation'!J52=3,'1-Specification &amp; Data'!B$54)))</f>
        <v>700.1536873262387</v>
      </c>
      <c r="R52" s="12">
        <f>(0.5*'1-Specification &amp; Data'!B$18*'1-Simulation'!F52^2)/1000</f>
        <v>30.32816559724332</v>
      </c>
      <c r="S52" s="6">
        <f t="shared" si="0"/>
        <v>0</v>
      </c>
      <c r="T52" s="12">
        <v>0</v>
      </c>
      <c r="U52" s="14">
        <f>O52*'1-Specification &amp; Data'!B$14*0.9</f>
        <v>139.07258431194248</v>
      </c>
    </row>
    <row r="53" spans="2:21" x14ac:dyDescent="0.25">
      <c r="C53" s="6">
        <f t="shared" si="5"/>
        <v>51</v>
      </c>
      <c r="D53" s="6">
        <v>22.5</v>
      </c>
      <c r="E53" s="12">
        <f t="shared" si="1"/>
        <v>36.210179978005662</v>
      </c>
      <c r="F53" s="12">
        <f t="shared" si="6"/>
        <v>10.058383327223796</v>
      </c>
      <c r="G53" s="13">
        <f t="shared" si="7"/>
        <v>390.10880935563767</v>
      </c>
      <c r="H53" s="12">
        <f t="shared" si="8"/>
        <v>9.8348636977299329</v>
      </c>
      <c r="I53" s="12">
        <f t="shared" si="9"/>
        <v>0.44703925898772212</v>
      </c>
      <c r="J53" s="6">
        <f t="shared" si="10"/>
        <v>3</v>
      </c>
      <c r="K53" s="6">
        <v>0</v>
      </c>
      <c r="L53" s="12">
        <f>('1-Specification &amp; Data'!B$22*'1-Specification &amp; Data'!B$10*'1-Specification &amp; Data'!B$20*('1-Simulation'!F53^2-'1-Specification &amp; Data'!B$21^2))/2</f>
        <v>45.225258484126684</v>
      </c>
      <c r="M53" s="6">
        <f t="shared" si="2"/>
        <v>312.99618555984301</v>
      </c>
      <c r="N53" s="12">
        <f>'1-Specification &amp; Data'!B$23*'1-Specification &amp; Data'!B$18*8.91</f>
        <v>76.055205797999989</v>
      </c>
      <c r="O53" s="12">
        <f t="shared" si="3"/>
        <v>434.27664984196969</v>
      </c>
      <c r="P53" s="14">
        <f t="shared" si="4"/>
        <v>434.27664984196969</v>
      </c>
      <c r="Q53" s="12">
        <f>IF(J53=1,'1-Specification &amp; Data'!B$52,IF('1-Simulation'!J53=2,'1-Specification &amp; Data'!B$53,IF('1-Simulation'!J53=3,'1-Specification &amp; Data'!B$54)))</f>
        <v>700.1536873262387</v>
      </c>
      <c r="R53" s="12">
        <f>(0.5*'1-Specification &amp; Data'!B$18*'1-Simulation'!F53^2)/1000</f>
        <v>33.215000180864095</v>
      </c>
      <c r="S53" s="6">
        <f t="shared" si="0"/>
        <v>0</v>
      </c>
      <c r="T53" s="12">
        <v>0</v>
      </c>
      <c r="U53" s="14">
        <f>O53*'1-Specification &amp; Data'!B$14*0.9</f>
        <v>115.25034168883042</v>
      </c>
    </row>
    <row r="54" spans="2:21" x14ac:dyDescent="0.25">
      <c r="C54" s="6">
        <f t="shared" si="5"/>
        <v>52</v>
      </c>
      <c r="D54" s="6">
        <v>24</v>
      </c>
      <c r="E54" s="12">
        <f t="shared" si="1"/>
        <v>38.624191976539379</v>
      </c>
      <c r="F54" s="12">
        <f t="shared" si="6"/>
        <v>10.728942215705382</v>
      </c>
      <c r="G54" s="13">
        <f t="shared" si="7"/>
        <v>400.50247212710224</v>
      </c>
      <c r="H54" s="12">
        <f t="shared" si="8"/>
        <v>10.393662771464589</v>
      </c>
      <c r="I54" s="12">
        <f t="shared" si="9"/>
        <v>0.67055888848158673</v>
      </c>
      <c r="J54" s="6">
        <f t="shared" si="10"/>
        <v>3</v>
      </c>
      <c r="K54" s="6">
        <v>0</v>
      </c>
      <c r="L54" s="12">
        <f>('1-Specification &amp; Data'!B$22*'1-Specification &amp; Data'!B$10*'1-Specification &amp; Data'!B$20*('1-Simulation'!F54^2-'1-Specification &amp; Data'!B$21^2))/2</f>
        <v>51.77840329500372</v>
      </c>
      <c r="M54" s="6">
        <f t="shared" si="2"/>
        <v>469.49427833976705</v>
      </c>
      <c r="N54" s="12">
        <f>'1-Specification &amp; Data'!B$23*'1-Specification &amp; Data'!B$18*8.91</f>
        <v>76.055205797999989</v>
      </c>
      <c r="O54" s="12">
        <f t="shared" si="3"/>
        <v>597.32788743277069</v>
      </c>
      <c r="P54" s="14">
        <f t="shared" si="4"/>
        <v>597.32788743277069</v>
      </c>
      <c r="Q54" s="12">
        <f>IF(J54=1,'1-Specification &amp; Data'!B$52,IF('1-Simulation'!J54=2,'1-Specification &amp; Data'!B$53,IF('1-Simulation'!J54=3,'1-Specification &amp; Data'!B$54)))</f>
        <v>700.1536873262387</v>
      </c>
      <c r="R54" s="12">
        <f>(0.5*'1-Specification &amp; Data'!B$18*'1-Simulation'!F54^2)/1000</f>
        <v>37.791289094672045</v>
      </c>
      <c r="S54" s="6">
        <f t="shared" si="0"/>
        <v>0</v>
      </c>
      <c r="T54" s="12">
        <v>0</v>
      </c>
      <c r="U54" s="14">
        <f>O54*'1-Specification &amp; Data'!B$14*0.9</f>
        <v>158.5216316648507</v>
      </c>
    </row>
    <row r="55" spans="2:21" x14ac:dyDescent="0.25">
      <c r="C55" s="6">
        <f t="shared" si="5"/>
        <v>53</v>
      </c>
      <c r="D55" s="6">
        <v>26</v>
      </c>
      <c r="E55" s="12">
        <f t="shared" si="1"/>
        <v>41.842874641250987</v>
      </c>
      <c r="F55" s="12">
        <f t="shared" si="6"/>
        <v>11.62302073368083</v>
      </c>
      <c r="G55" s="13">
        <f t="shared" si="7"/>
        <v>411.67845360179535</v>
      </c>
      <c r="H55" s="12">
        <f t="shared" si="8"/>
        <v>11.175981474693106</v>
      </c>
      <c r="I55" s="12">
        <f t="shared" si="9"/>
        <v>0.8940785179754478</v>
      </c>
      <c r="J55" s="6">
        <f t="shared" si="10"/>
        <v>3</v>
      </c>
      <c r="K55" s="6">
        <v>0</v>
      </c>
      <c r="L55" s="12">
        <f>('1-Specification &amp; Data'!B$22*'1-Specification &amp; Data'!B$10*'1-Specification &amp; Data'!B$20*('1-Simulation'!F55^2-'1-Specification &amp; Data'!B$21^2))/2</f>
        <v>61.173592988017361</v>
      </c>
      <c r="M55" s="6">
        <f t="shared" si="2"/>
        <v>625.99237111968853</v>
      </c>
      <c r="N55" s="12">
        <f>'1-Specification &amp; Data'!B$23*'1-Specification &amp; Data'!B$18*8.91</f>
        <v>76.055205797999989</v>
      </c>
      <c r="O55" s="12">
        <f t="shared" si="3"/>
        <v>763.22116990570589</v>
      </c>
      <c r="P55" s="14">
        <f t="shared" si="4"/>
        <v>763.22116990570589</v>
      </c>
      <c r="Q55" s="12">
        <f>IF(J55=1,'1-Specification &amp; Data'!B$52,IF('1-Simulation'!J55=2,'1-Specification &amp; Data'!B$53,IF('1-Simulation'!J55=3,'1-Specification &amp; Data'!B$54)))</f>
        <v>700.1536873262387</v>
      </c>
      <c r="R55" s="12">
        <f>(0.5*'1-Specification &amp; Data'!B$18*'1-Simulation'!F55^2)/1000</f>
        <v>44.352276784719258</v>
      </c>
      <c r="S55" s="6">
        <f t="shared" si="0"/>
        <v>0</v>
      </c>
      <c r="T55" s="12">
        <v>0</v>
      </c>
      <c r="U55" s="14">
        <f>O55*'1-Specification &amp; Data'!B$14*0.9</f>
        <v>202.54715662882197</v>
      </c>
    </row>
    <row r="56" spans="2:21" x14ac:dyDescent="0.25">
      <c r="C56" s="6">
        <f t="shared" si="5"/>
        <v>54</v>
      </c>
      <c r="D56" s="6">
        <v>26.5</v>
      </c>
      <c r="E56" s="12">
        <f t="shared" si="1"/>
        <v>42.647545307428899</v>
      </c>
      <c r="F56" s="12">
        <f t="shared" si="6"/>
        <v>11.846540363174693</v>
      </c>
      <c r="G56" s="13">
        <f t="shared" si="7"/>
        <v>423.4132341502231</v>
      </c>
      <c r="H56" s="12">
        <f t="shared" si="8"/>
        <v>11.734780548427761</v>
      </c>
      <c r="I56" s="12">
        <f t="shared" si="9"/>
        <v>0.22351962949386106</v>
      </c>
      <c r="J56" s="6">
        <f t="shared" si="10"/>
        <v>3</v>
      </c>
      <c r="K56" s="6">
        <v>0</v>
      </c>
      <c r="L56" s="12">
        <f>('1-Specification &amp; Data'!B$22*'1-Specification &amp; Data'!B$10*'1-Specification &amp; Data'!B$20*('1-Simulation'!F56^2-'1-Specification &amp; Data'!B$21^2))/2</f>
        <v>63.639830282433465</v>
      </c>
      <c r="M56" s="6">
        <f t="shared" si="2"/>
        <v>156.49809277992151</v>
      </c>
      <c r="N56" s="12">
        <f>'1-Specification &amp; Data'!B$23*'1-Specification &amp; Data'!B$18*8.91</f>
        <v>76.055205797999989</v>
      </c>
      <c r="O56" s="12">
        <f t="shared" si="3"/>
        <v>296.19312886035493</v>
      </c>
      <c r="P56" s="14">
        <f t="shared" si="4"/>
        <v>296.19312886035493</v>
      </c>
      <c r="Q56" s="12">
        <f>IF(J56=1,'1-Specification &amp; Data'!B$52,IF('1-Simulation'!J56=2,'1-Specification &amp; Data'!B$53,IF('1-Simulation'!J56=3,'1-Specification &amp; Data'!B$54)))</f>
        <v>700.1536873262387</v>
      </c>
      <c r="R56" s="12">
        <f>(0.5*'1-Specification &amp; Data'!B$18*'1-Simulation'!F56^2)/1000</f>
        <v>46.074536053356674</v>
      </c>
      <c r="S56" s="6">
        <f t="shared" si="0"/>
        <v>0</v>
      </c>
      <c r="T56" s="12">
        <v>0</v>
      </c>
      <c r="U56" s="14">
        <f>O56*'1-Specification &amp; Data'!B$14*0.9</f>
        <v>78.605099582171121</v>
      </c>
    </row>
    <row r="57" spans="2:21" x14ac:dyDescent="0.25">
      <c r="B57" s="17" t="s">
        <v>97</v>
      </c>
      <c r="C57" s="6">
        <f t="shared" si="5"/>
        <v>55</v>
      </c>
      <c r="D57" s="6">
        <v>25.3</v>
      </c>
      <c r="E57" s="12">
        <f t="shared" si="1"/>
        <v>40.716335708601932</v>
      </c>
      <c r="F57" s="12">
        <f t="shared" si="6"/>
        <v>11.310093252389425</v>
      </c>
      <c r="G57" s="13">
        <f t="shared" si="7"/>
        <v>434.99155095800518</v>
      </c>
      <c r="H57" s="12">
        <f t="shared" si="8"/>
        <v>11.578316807782059</v>
      </c>
      <c r="I57" s="12">
        <f t="shared" si="9"/>
        <v>-0.53644711078526797</v>
      </c>
      <c r="J57" s="6">
        <f t="shared" si="10"/>
        <v>3</v>
      </c>
      <c r="K57" s="6">
        <v>0</v>
      </c>
      <c r="L57" s="12">
        <f>('1-Specification &amp; Data'!B$22*'1-Specification &amp; Data'!B$10*'1-Specification &amp; Data'!B$20*('1-Simulation'!F57^2-'1-Specification &amp; Data'!B$21^2))/2</f>
        <v>57.79978036925619</v>
      </c>
      <c r="M57" s="6">
        <f t="shared" si="2"/>
        <v>-375.59542267181263</v>
      </c>
      <c r="N57" s="12">
        <f>'1-Specification &amp; Data'!B$25*'1-Specification &amp; Data'!B$18*8.91</f>
        <v>906.81206912999994</v>
      </c>
      <c r="O57" s="12">
        <f t="shared" si="3"/>
        <v>589.01642682744352</v>
      </c>
      <c r="P57" s="14">
        <f t="shared" si="4"/>
        <v>589.01642682744352</v>
      </c>
      <c r="Q57" s="12">
        <f>IF(J57=1,'1-Specification &amp; Data'!B$52,IF('1-Simulation'!J57=2,'1-Specification &amp; Data'!B$53,IF('1-Simulation'!J57=3,'1-Specification &amp; Data'!B$54)))</f>
        <v>700.1536873262387</v>
      </c>
      <c r="R57" s="12">
        <f>(0.5*'1-Specification &amp; Data'!B$18*'1-Simulation'!F57^2)/1000</f>
        <v>41.996226105223322</v>
      </c>
      <c r="S57" s="6">
        <f t="shared" si="0"/>
        <v>0</v>
      </c>
      <c r="T57" s="12">
        <v>0</v>
      </c>
      <c r="U57" s="14">
        <f>O57*'1-Specification &amp; Data'!B$14*0.9</f>
        <v>156.31589788882155</v>
      </c>
    </row>
    <row r="58" spans="2:21" x14ac:dyDescent="0.25">
      <c r="C58" s="6">
        <f t="shared" si="5"/>
        <v>56</v>
      </c>
      <c r="D58" s="6">
        <v>23</v>
      </c>
      <c r="E58" s="12">
        <f t="shared" si="1"/>
        <v>37.014850644183575</v>
      </c>
      <c r="F58" s="12">
        <f t="shared" si="6"/>
        <v>10.281902956717659</v>
      </c>
      <c r="G58" s="13">
        <f t="shared" si="7"/>
        <v>445.7875490625587</v>
      </c>
      <c r="H58" s="12">
        <f t="shared" si="8"/>
        <v>10.795998104553542</v>
      </c>
      <c r="I58" s="12">
        <f t="shared" si="9"/>
        <v>-1.0281902956717666</v>
      </c>
      <c r="J58" s="6">
        <f t="shared" si="10"/>
        <v>3</v>
      </c>
      <c r="K58" s="6">
        <v>0</v>
      </c>
      <c r="L58" s="12">
        <f>('1-Specification &amp; Data'!B$22*'1-Specification &amp; Data'!B$10*'1-Specification &amp; Data'!B$20*('1-Simulation'!F58^2-'1-Specification &amp; Data'!B$21^2))/2</f>
        <v>47.362664139287297</v>
      </c>
      <c r="M58" s="6">
        <f t="shared" si="2"/>
        <v>-719.89122678764295</v>
      </c>
      <c r="N58" s="12">
        <f>'1-Specification &amp; Data'!B$25*'1-Specification &amp; Data'!B$18*8.91</f>
        <v>906.81206912999994</v>
      </c>
      <c r="O58" s="12">
        <f t="shared" si="3"/>
        <v>234.28350648164428</v>
      </c>
      <c r="P58" s="14">
        <f t="shared" si="4"/>
        <v>234.28350648164428</v>
      </c>
      <c r="Q58" s="12">
        <f>IF(J58=1,'1-Specification &amp; Data'!B$52,IF('1-Simulation'!J58=2,'1-Specification &amp; Data'!B$53,IF('1-Simulation'!J58=3,'1-Specification &amp; Data'!B$54)))</f>
        <v>700.1536873262387</v>
      </c>
      <c r="R58" s="12">
        <f>(0.5*'1-Specification &amp; Data'!B$18*'1-Simulation'!F58^2)/1000</f>
        <v>34.707624880349847</v>
      </c>
      <c r="S58" s="6">
        <f t="shared" si="0"/>
        <v>0</v>
      </c>
      <c r="T58" s="12">
        <v>0</v>
      </c>
      <c r="U58" s="14">
        <f>O58*'1-Specification &amp; Data'!B$14*0.9</f>
        <v>62.175238258590213</v>
      </c>
    </row>
    <row r="59" spans="2:21" x14ac:dyDescent="0.25">
      <c r="C59" s="6">
        <f t="shared" si="5"/>
        <v>57</v>
      </c>
      <c r="D59" s="6">
        <v>21.5</v>
      </c>
      <c r="E59" s="12">
        <f t="shared" si="1"/>
        <v>34.600838645649858</v>
      </c>
      <c r="F59" s="12">
        <f t="shared" si="6"/>
        <v>9.6113440682360718</v>
      </c>
      <c r="G59" s="13">
        <f t="shared" si="7"/>
        <v>455.73417257503559</v>
      </c>
      <c r="H59" s="12">
        <f t="shared" si="8"/>
        <v>9.9466235124768652</v>
      </c>
      <c r="I59" s="12">
        <f t="shared" si="9"/>
        <v>-0.67055888848158673</v>
      </c>
      <c r="J59" s="6">
        <f t="shared" si="10"/>
        <v>3</v>
      </c>
      <c r="K59" s="6">
        <v>0</v>
      </c>
      <c r="L59" s="12">
        <f>('1-Specification &amp; Data'!B$22*'1-Specification &amp; Data'!B$10*'1-Specification &amp; Data'!B$20*('1-Simulation'!F59^2-'1-Specification &amp; Data'!B$21^2))/2</f>
        <v>41.091375019200676</v>
      </c>
      <c r="M59" s="6">
        <f t="shared" si="2"/>
        <v>-469.49427833976705</v>
      </c>
      <c r="N59" s="12">
        <f>'1-Specification &amp; Data'!B$25*'1-Specification &amp; Data'!B$18*8.91</f>
        <v>906.81206912999994</v>
      </c>
      <c r="O59" s="12">
        <f t="shared" si="3"/>
        <v>478.40916580943355</v>
      </c>
      <c r="P59" s="14">
        <f t="shared" si="4"/>
        <v>478.40916580943355</v>
      </c>
      <c r="Q59" s="12">
        <f>IF(J59=1,'1-Specification &amp; Data'!B$52,IF('1-Simulation'!J59=2,'1-Specification &amp; Data'!B$53,IF('1-Simulation'!J59=3,'1-Specification &amp; Data'!B$54)))</f>
        <v>700.1536873262387</v>
      </c>
      <c r="R59" s="12">
        <f>(0.5*'1-Specification &amp; Data'!B$18*'1-Simulation'!F59^2)/1000</f>
        <v>30.32816559724332</v>
      </c>
      <c r="S59" s="6">
        <f t="shared" si="0"/>
        <v>0</v>
      </c>
      <c r="T59" s="12">
        <v>0</v>
      </c>
      <c r="U59" s="14">
        <f>O59*'1-Specification &amp; Data'!B$14*0.9</f>
        <v>126.9624324648112</v>
      </c>
    </row>
    <row r="60" spans="2:21" x14ac:dyDescent="0.25">
      <c r="C60" s="6">
        <f t="shared" si="5"/>
        <v>58</v>
      </c>
      <c r="D60" s="6">
        <v>20</v>
      </c>
      <c r="E60" s="12">
        <f t="shared" si="1"/>
        <v>32.186826647116149</v>
      </c>
      <c r="F60" s="12">
        <f t="shared" si="6"/>
        <v>8.9407851797544851</v>
      </c>
      <c r="G60" s="13">
        <f t="shared" si="7"/>
        <v>465.01023719903088</v>
      </c>
      <c r="H60" s="12">
        <f t="shared" si="8"/>
        <v>9.2760646239952784</v>
      </c>
      <c r="I60" s="12">
        <f t="shared" si="9"/>
        <v>-0.67055888848158673</v>
      </c>
      <c r="J60" s="6">
        <f t="shared" si="10"/>
        <v>2</v>
      </c>
      <c r="K60" s="6">
        <v>0</v>
      </c>
      <c r="L60" s="12">
        <f>('1-Specification &amp; Data'!B$22*'1-Specification &amp; Data'!B$10*'1-Specification &amp; Data'!B$20*('1-Simulation'!F60^2-'1-Specification &amp; Data'!B$21^2))/2</f>
        <v>35.24286943529966</v>
      </c>
      <c r="M60" s="6">
        <f t="shared" si="2"/>
        <v>-472.65601656832632</v>
      </c>
      <c r="N60" s="12">
        <f>'1-Specification &amp; Data'!B$25*'1-Specification &amp; Data'!B$18*8.91</f>
        <v>906.81206912999994</v>
      </c>
      <c r="O60" s="12">
        <f t="shared" si="3"/>
        <v>469.39892199697329</v>
      </c>
      <c r="P60" s="14">
        <f t="shared" si="4"/>
        <v>469.39892199697329</v>
      </c>
      <c r="Q60" s="12">
        <f>IF(J60=1,'1-Specification &amp; Data'!B$52,IF('1-Simulation'!J60=2,'1-Specification &amp; Data'!B$53,IF('1-Simulation'!J60=3,'1-Specification &amp; Data'!B$54)))</f>
        <v>704.8687664682343</v>
      </c>
      <c r="R60" s="12">
        <f>(0.5*'1-Specification &amp; Data'!B$18*'1-Simulation'!F60^2)/1000</f>
        <v>26.243950760188916</v>
      </c>
      <c r="S60" s="6">
        <f t="shared" si="0"/>
        <v>0</v>
      </c>
      <c r="T60" s="12">
        <v>0</v>
      </c>
      <c r="U60" s="14">
        <f>O60*'1-Specification &amp; Data'!B$14*0.9</f>
        <v>124.57125237611983</v>
      </c>
    </row>
    <row r="61" spans="2:21" x14ac:dyDescent="0.25">
      <c r="C61" s="6">
        <f t="shared" si="5"/>
        <v>59</v>
      </c>
      <c r="D61" s="6">
        <v>19.8</v>
      </c>
      <c r="E61" s="12">
        <f t="shared" si="1"/>
        <v>31.864958380644989</v>
      </c>
      <c r="F61" s="12">
        <f t="shared" si="6"/>
        <v>8.851377327956941</v>
      </c>
      <c r="G61" s="13">
        <f t="shared" si="7"/>
        <v>473.90631845288658</v>
      </c>
      <c r="H61" s="12">
        <f t="shared" si="8"/>
        <v>8.8960812538557121</v>
      </c>
      <c r="I61" s="12">
        <f t="shared" si="9"/>
        <v>-8.9407851797545845E-2</v>
      </c>
      <c r="J61" s="6">
        <f t="shared" si="10"/>
        <v>2</v>
      </c>
      <c r="K61" s="6">
        <v>0</v>
      </c>
      <c r="L61" s="12">
        <f>('1-Specification &amp; Data'!B$22*'1-Specification &amp; Data'!B$10*'1-Specification &amp; Data'!B$20*('1-Simulation'!F61^2-'1-Specification &amp; Data'!B$21^2))/2</f>
        <v>34.49501233573578</v>
      </c>
      <c r="M61" s="6">
        <f t="shared" si="2"/>
        <v>-63.020802209110848</v>
      </c>
      <c r="N61" s="12">
        <f>'1-Specification &amp; Data'!B$25*'1-Specification &amp; Data'!B$18*8.91</f>
        <v>906.81206912999994</v>
      </c>
      <c r="O61" s="12">
        <f t="shared" si="3"/>
        <v>878.28627925662488</v>
      </c>
      <c r="P61" s="14">
        <f t="shared" si="4"/>
        <v>878.28627925662488</v>
      </c>
      <c r="Q61" s="12">
        <f>IF(J61=1,'1-Specification &amp; Data'!B$52,IF('1-Simulation'!J61=2,'1-Specification &amp; Data'!B$53,IF('1-Simulation'!J61=3,'1-Specification &amp; Data'!B$54)))</f>
        <v>704.8687664682343</v>
      </c>
      <c r="R61" s="12">
        <f>(0.5*'1-Specification &amp; Data'!B$18*'1-Simulation'!F61^2)/1000</f>
        <v>25.721696140061162</v>
      </c>
      <c r="S61" s="6">
        <f t="shared" si="0"/>
        <v>0</v>
      </c>
      <c r="T61" s="12">
        <v>0</v>
      </c>
      <c r="U61" s="14">
        <f>O61*'1-Specification &amp; Data'!B$14*0.9</f>
        <v>233.08366641810431</v>
      </c>
    </row>
    <row r="62" spans="2:21" x14ac:dyDescent="0.25">
      <c r="C62" s="6">
        <f t="shared" si="5"/>
        <v>60</v>
      </c>
      <c r="D62" s="6">
        <v>19</v>
      </c>
      <c r="E62" s="12">
        <f t="shared" si="1"/>
        <v>30.577485314760342</v>
      </c>
      <c r="F62" s="12">
        <f t="shared" si="6"/>
        <v>8.4937459207667612</v>
      </c>
      <c r="G62" s="13">
        <f t="shared" si="7"/>
        <v>482.57888007724841</v>
      </c>
      <c r="H62" s="12">
        <f t="shared" si="8"/>
        <v>8.6725616243618511</v>
      </c>
      <c r="I62" s="12">
        <f t="shared" si="9"/>
        <v>-0.35763140719017983</v>
      </c>
      <c r="J62" s="6">
        <f t="shared" si="10"/>
        <v>2</v>
      </c>
      <c r="K62" s="6">
        <v>0</v>
      </c>
      <c r="L62" s="12">
        <f>('1-Specification &amp; Data'!B$22*'1-Specification &amp; Data'!B$10*'1-Specification &amp; Data'!B$20*('1-Simulation'!F62^2-'1-Specification &amp; Data'!B$21^2))/2</f>
        <v>31.578745455024336</v>
      </c>
      <c r="M62" s="6">
        <f t="shared" si="2"/>
        <v>-252.08320883644086</v>
      </c>
      <c r="N62" s="12">
        <f>'1-Specification &amp; Data'!B$25*'1-Specification &amp; Data'!B$18*8.91</f>
        <v>906.81206912999994</v>
      </c>
      <c r="O62" s="12">
        <f t="shared" si="3"/>
        <v>686.30760574858346</v>
      </c>
      <c r="P62" s="14">
        <f t="shared" si="4"/>
        <v>686.30760574858346</v>
      </c>
      <c r="Q62" s="12">
        <f>IF(J62=1,'1-Specification &amp; Data'!B$52,IF('1-Simulation'!J62=2,'1-Specification &amp; Data'!B$53,IF('1-Simulation'!J62=3,'1-Specification &amp; Data'!B$54)))</f>
        <v>704.8687664682343</v>
      </c>
      <c r="R62" s="12">
        <f>(0.5*'1-Specification &amp; Data'!B$18*'1-Simulation'!F62^2)/1000</f>
        <v>23.685165561070498</v>
      </c>
      <c r="S62" s="6">
        <f t="shared" si="0"/>
        <v>0</v>
      </c>
      <c r="T62" s="12">
        <v>0</v>
      </c>
      <c r="U62" s="14">
        <f>O62*'1-Specification &amp; Data'!B$14*0.9</f>
        <v>182.13547998712409</v>
      </c>
    </row>
    <row r="63" spans="2:21" x14ac:dyDescent="0.25">
      <c r="C63" s="6">
        <f t="shared" si="5"/>
        <v>61</v>
      </c>
      <c r="D63" s="6">
        <v>18</v>
      </c>
      <c r="E63" s="12">
        <f t="shared" si="1"/>
        <v>28.968143982404534</v>
      </c>
      <c r="F63" s="12">
        <f t="shared" si="6"/>
        <v>8.0467066617790373</v>
      </c>
      <c r="G63" s="13">
        <f t="shared" si="7"/>
        <v>490.84910636852129</v>
      </c>
      <c r="H63" s="12">
        <f t="shared" si="8"/>
        <v>8.2702262912728983</v>
      </c>
      <c r="I63" s="12">
        <f t="shared" si="9"/>
        <v>-0.44703925898772567</v>
      </c>
      <c r="J63" s="6">
        <f t="shared" si="10"/>
        <v>2</v>
      </c>
      <c r="K63" s="6">
        <v>0</v>
      </c>
      <c r="L63" s="12">
        <f>('1-Specification &amp; Data'!B$22*'1-Specification &amp; Data'!B$10*'1-Specification &amp; Data'!B$20*('1-Simulation'!F63^2-'1-Specification &amp; Data'!B$21^2))/2</f>
        <v>28.102525268609277</v>
      </c>
      <c r="M63" s="6">
        <f t="shared" si="2"/>
        <v>-315.10401104555172</v>
      </c>
      <c r="N63" s="12">
        <f>'1-Specification &amp; Data'!B$25*'1-Specification &amp; Data'!B$18*8.91</f>
        <v>906.81206912999994</v>
      </c>
      <c r="O63" s="12">
        <f t="shared" si="3"/>
        <v>619.8105833530575</v>
      </c>
      <c r="P63" s="14">
        <f t="shared" si="4"/>
        <v>619.8105833530575</v>
      </c>
      <c r="Q63" s="12">
        <f>IF(J63=1,'1-Specification &amp; Data'!B$52,IF('1-Simulation'!J63=2,'1-Specification &amp; Data'!B$53,IF('1-Simulation'!J63=3,'1-Specification &amp; Data'!B$54)))</f>
        <v>704.8687664682343</v>
      </c>
      <c r="R63" s="12">
        <f>(0.5*'1-Specification &amp; Data'!B$18*'1-Simulation'!F63^2)/1000</f>
        <v>21.257600115753025</v>
      </c>
      <c r="S63" s="6">
        <f t="shared" si="0"/>
        <v>0</v>
      </c>
      <c r="T63" s="12">
        <v>0</v>
      </c>
      <c r="U63" s="14">
        <f>O63*'1-Specification &amp; Data'!B$14*0.9</f>
        <v>164.48819327446526</v>
      </c>
    </row>
    <row r="64" spans="2:21" x14ac:dyDescent="0.25">
      <c r="B64" s="17" t="s">
        <v>98</v>
      </c>
      <c r="C64" s="6">
        <f t="shared" si="5"/>
        <v>62</v>
      </c>
      <c r="D64" s="6">
        <v>16.5</v>
      </c>
      <c r="E64" s="12">
        <f t="shared" si="1"/>
        <v>26.554131983870821</v>
      </c>
      <c r="F64" s="12">
        <f t="shared" si="6"/>
        <v>7.3761477732974505</v>
      </c>
      <c r="G64" s="13">
        <f t="shared" si="7"/>
        <v>498.56053358605953</v>
      </c>
      <c r="H64" s="12">
        <f t="shared" si="8"/>
        <v>7.7114272175382439</v>
      </c>
      <c r="I64" s="12">
        <f t="shared" si="9"/>
        <v>-0.67055888848158673</v>
      </c>
      <c r="J64" s="6">
        <f t="shared" si="10"/>
        <v>2</v>
      </c>
      <c r="K64" s="6">
        <v>0</v>
      </c>
      <c r="L64" s="12">
        <f>('1-Specification &amp; Data'!B$22*'1-Specification &amp; Data'!B$10*'1-Specification &amp; Data'!B$20*('1-Simulation'!F64^2-'1-Specification &amp; Data'!B$21^2))/2</f>
        <v>23.240514602474704</v>
      </c>
      <c r="M64" s="6">
        <f t="shared" si="2"/>
        <v>-472.65601656832632</v>
      </c>
      <c r="N64" s="12">
        <f>'1-Specification &amp; Data'!B$25*'1-Specification &amp; Data'!B$18*8.91</f>
        <v>906.81206912999994</v>
      </c>
      <c r="O64" s="12">
        <f t="shared" si="3"/>
        <v>457.39656716414834</v>
      </c>
      <c r="P64" s="14">
        <f t="shared" si="4"/>
        <v>457.39656716414834</v>
      </c>
      <c r="Q64" s="12">
        <f>IF(J64=1,'1-Specification &amp; Data'!B$52,IF('1-Simulation'!J64=2,'1-Specification &amp; Data'!B$53,IF('1-Simulation'!J64=3,'1-Specification &amp; Data'!B$54)))</f>
        <v>704.8687664682343</v>
      </c>
      <c r="R64" s="12">
        <f>(0.5*'1-Specification &amp; Data'!B$18*'1-Simulation'!F64^2)/1000</f>
        <v>17.86228898615358</v>
      </c>
      <c r="S64" s="6">
        <f t="shared" si="0"/>
        <v>0</v>
      </c>
      <c r="T64" s="12">
        <v>0</v>
      </c>
      <c r="U64" s="14">
        <f>O64*'1-Specification &amp; Data'!B$14*0.9</f>
        <v>121.38601205510091</v>
      </c>
    </row>
    <row r="65" spans="2:21" x14ac:dyDescent="0.25">
      <c r="C65" s="6">
        <f t="shared" si="5"/>
        <v>63</v>
      </c>
      <c r="D65" s="6">
        <v>16</v>
      </c>
      <c r="E65" s="12">
        <f t="shared" si="1"/>
        <v>25.749461317692919</v>
      </c>
      <c r="F65" s="12">
        <f t="shared" si="6"/>
        <v>7.1526281438035886</v>
      </c>
      <c r="G65" s="13">
        <f t="shared" si="7"/>
        <v>505.82492154461005</v>
      </c>
      <c r="H65" s="12">
        <f t="shared" si="8"/>
        <v>7.26438795855052</v>
      </c>
      <c r="I65" s="12">
        <f t="shared" si="9"/>
        <v>-0.22351962949386106</v>
      </c>
      <c r="J65" s="6">
        <f t="shared" si="10"/>
        <v>2</v>
      </c>
      <c r="K65" s="6">
        <v>0</v>
      </c>
      <c r="L65" s="12">
        <f>('1-Specification &amp; Data'!B$22*'1-Specification &amp; Data'!B$10*'1-Specification &amp; Data'!B$20*('1-Simulation'!F65^2-'1-Specification &amp; Data'!B$21^2))/2</f>
        <v>21.713796277359986</v>
      </c>
      <c r="M65" s="6">
        <f t="shared" si="2"/>
        <v>-157.55200552277461</v>
      </c>
      <c r="N65" s="12">
        <f>'1-Specification &amp; Data'!B$23*'1-Specification &amp; Data'!B$18*8.91</f>
        <v>76.055205797999989</v>
      </c>
      <c r="O65" s="12">
        <f t="shared" si="3"/>
        <v>-59.783003447414629</v>
      </c>
      <c r="P65" s="14">
        <f t="shared" si="4"/>
        <v>59.783003447414629</v>
      </c>
      <c r="Q65" s="12">
        <f>IF(J65=1,'1-Specification &amp; Data'!B$52,IF('1-Simulation'!J65=2,'1-Specification &amp; Data'!B$53,IF('1-Simulation'!J65=3,'1-Specification &amp; Data'!B$54)))</f>
        <v>704.8687664682343</v>
      </c>
      <c r="R65" s="12">
        <f>(0.5*'1-Specification &amp; Data'!B$18*'1-Simulation'!F65^2)/1000</f>
        <v>16.79612848652091</v>
      </c>
      <c r="S65" s="6">
        <f t="shared" si="0"/>
        <v>0</v>
      </c>
      <c r="T65" s="12">
        <v>0</v>
      </c>
      <c r="U65" s="14">
        <f>O65*'1-Specification &amp; Data'!B$14*0.9</f>
        <v>-15.865489376429267</v>
      </c>
    </row>
    <row r="66" spans="2:21" x14ac:dyDescent="0.25">
      <c r="C66" s="6">
        <f t="shared" si="5"/>
        <v>64</v>
      </c>
      <c r="D66" s="6">
        <v>15.5</v>
      </c>
      <c r="E66" s="12">
        <f t="shared" si="1"/>
        <v>24.944790651515017</v>
      </c>
      <c r="F66" s="12">
        <f t="shared" si="6"/>
        <v>6.9291085143097266</v>
      </c>
      <c r="G66" s="13">
        <f t="shared" si="7"/>
        <v>512.8657898736667</v>
      </c>
      <c r="H66" s="12">
        <f t="shared" si="8"/>
        <v>7.0408683290566572</v>
      </c>
      <c r="I66" s="12">
        <f t="shared" si="9"/>
        <v>-0.22351962949386284</v>
      </c>
      <c r="J66" s="6">
        <f t="shared" si="10"/>
        <v>2</v>
      </c>
      <c r="K66" s="6">
        <v>0</v>
      </c>
      <c r="L66" s="12">
        <f>('1-Specification &amp; Data'!B$22*'1-Specification &amp; Data'!B$10*'1-Specification &amp; Data'!B$20*('1-Simulation'!F66^2-'1-Specification &amp; Data'!B$21^2))/2</f>
        <v>20.234053900710336</v>
      </c>
      <c r="M66" s="6">
        <f t="shared" si="2"/>
        <v>-157.55200552277586</v>
      </c>
      <c r="N66" s="12">
        <f>'1-Specification &amp; Data'!B$23*'1-Specification &amp; Data'!B$18*8.91</f>
        <v>76.055205797999989</v>
      </c>
      <c r="O66" s="12">
        <f t="shared" si="3"/>
        <v>-61.262745824065533</v>
      </c>
      <c r="P66" s="14">
        <f t="shared" si="4"/>
        <v>61.262745824065533</v>
      </c>
      <c r="Q66" s="12">
        <f>IF(J66=1,'1-Specification &amp; Data'!B$52,IF('1-Simulation'!J66=2,'1-Specification &amp; Data'!B$53,IF('1-Simulation'!J66=3,'1-Specification &amp; Data'!B$54)))</f>
        <v>704.8687664682343</v>
      </c>
      <c r="R66" s="12">
        <f>(0.5*'1-Specification &amp; Data'!B$18*'1-Simulation'!F66^2)/1000</f>
        <v>15.762772925338471</v>
      </c>
      <c r="S66" s="6">
        <f t="shared" ref="S66:S129" si="11">(Q66*9.81*T66)/1000</f>
        <v>0</v>
      </c>
      <c r="T66" s="12">
        <v>0</v>
      </c>
      <c r="U66" s="14">
        <f>O66*'1-Specification &amp; Data'!B$14*0.9</f>
        <v>-16.258190237925085</v>
      </c>
    </row>
    <row r="67" spans="2:21" x14ac:dyDescent="0.25">
      <c r="B67" s="17" t="s">
        <v>99</v>
      </c>
      <c r="C67" s="6">
        <f t="shared" si="5"/>
        <v>65</v>
      </c>
      <c r="D67" s="6">
        <v>15</v>
      </c>
      <c r="E67" s="12">
        <f t="shared" ref="E67:E130" si="12">F67*3.6</f>
        <v>24.140119985337112</v>
      </c>
      <c r="F67" s="12">
        <f t="shared" si="6"/>
        <v>6.7055888848158638</v>
      </c>
      <c r="G67" s="13">
        <f t="shared" si="7"/>
        <v>519.68313857322948</v>
      </c>
      <c r="H67" s="12">
        <f t="shared" si="8"/>
        <v>6.8173486995627952</v>
      </c>
      <c r="I67" s="12">
        <f t="shared" si="9"/>
        <v>-0.22351962949386284</v>
      </c>
      <c r="J67" s="6">
        <f t="shared" si="10"/>
        <v>2</v>
      </c>
      <c r="K67" s="6">
        <v>0</v>
      </c>
      <c r="L67" s="12">
        <f>('1-Specification &amp; Data'!B$22*'1-Specification &amp; Data'!B$10*'1-Specification &amp; Data'!B$20*('1-Simulation'!F67^2-'1-Specification &amp; Data'!B$21^2))/2</f>
        <v>18.801287472525743</v>
      </c>
      <c r="M67" s="6">
        <f t="shared" ref="M67:M130" si="13">Q67*I67</f>
        <v>-157.55200552277586</v>
      </c>
      <c r="N67" s="12">
        <f>'1-Specification &amp; Data'!B$23*'1-Specification &amp; Data'!B$18*8.91</f>
        <v>76.055205797999989</v>
      </c>
      <c r="O67" s="12">
        <f t="shared" ref="O67:O130" si="14">K67+L67+M67+N67</f>
        <v>-62.695512252250111</v>
      </c>
      <c r="P67" s="14">
        <f t="shared" ref="P67:P130" si="15">IF(O67&gt;=0,O67,IF(O67&lt;0,-O67))</f>
        <v>62.695512252250111</v>
      </c>
      <c r="Q67" s="12">
        <f>IF(J67=1,'1-Specification &amp; Data'!B$52,IF('1-Simulation'!J67=2,'1-Specification &amp; Data'!B$53,IF('1-Simulation'!J67=3,'1-Specification &amp; Data'!B$54)))</f>
        <v>704.8687664682343</v>
      </c>
      <c r="R67" s="12">
        <f>(0.5*'1-Specification &amp; Data'!B$18*'1-Simulation'!F67^2)/1000</f>
        <v>14.762222302606265</v>
      </c>
      <c r="S67" s="6">
        <f t="shared" si="11"/>
        <v>0</v>
      </c>
      <c r="T67" s="12">
        <v>0</v>
      </c>
      <c r="U67" s="14">
        <f>O67*'1-Specification &amp; Data'!B$14*0.9</f>
        <v>-16.638424405404837</v>
      </c>
    </row>
    <row r="68" spans="2:21" x14ac:dyDescent="0.25">
      <c r="C68" s="6">
        <f t="shared" ref="C68:C131" si="16">C67+1</f>
        <v>66</v>
      </c>
      <c r="D68" s="6">
        <v>15</v>
      </c>
      <c r="E68" s="12">
        <f t="shared" si="12"/>
        <v>24.140119985337112</v>
      </c>
      <c r="F68" s="12">
        <f t="shared" ref="F68:F131" si="17">D68/2.23694</f>
        <v>6.7055888848158638</v>
      </c>
      <c r="G68" s="13">
        <f t="shared" ref="G68:G131" si="18">G67+((F68+F67)/2)</f>
        <v>526.38872745804531</v>
      </c>
      <c r="H68" s="12">
        <f t="shared" ref="H68:H131" si="19">(F68+F67)/2</f>
        <v>6.7055888848158638</v>
      </c>
      <c r="I68" s="12">
        <f t="shared" ref="I68:I131" si="20">(H68-F67)*2</f>
        <v>0</v>
      </c>
      <c r="J68" s="6">
        <f t="shared" ref="J68:J131" si="21">IF(D68&lt;=10,1,IF(AND(D68&gt;10,D68&lt;=20),2,IF(D68&gt;20,3)))</f>
        <v>2</v>
      </c>
      <c r="K68" s="6">
        <v>0</v>
      </c>
      <c r="L68" s="12">
        <f>('1-Specification &amp; Data'!B$22*'1-Specification &amp; Data'!B$10*'1-Specification &amp; Data'!B$20*('1-Simulation'!F68^2-'1-Specification &amp; Data'!B$21^2))/2</f>
        <v>18.801287472525743</v>
      </c>
      <c r="M68" s="6">
        <f t="shared" si="13"/>
        <v>0</v>
      </c>
      <c r="N68" s="12">
        <f>'1-Specification &amp; Data'!B$23*'1-Specification &amp; Data'!B$18*8.91</f>
        <v>76.055205797999989</v>
      </c>
      <c r="O68" s="12">
        <f t="shared" si="14"/>
        <v>94.856493270525732</v>
      </c>
      <c r="P68" s="14">
        <f t="shared" si="15"/>
        <v>94.856493270525732</v>
      </c>
      <c r="Q68" s="12">
        <f>IF(J68=1,'1-Specification &amp; Data'!B$52,IF('1-Simulation'!J68=2,'1-Specification &amp; Data'!B$53,IF('1-Simulation'!J68=3,'1-Specification &amp; Data'!B$54)))</f>
        <v>704.8687664682343</v>
      </c>
      <c r="R68" s="12">
        <f>(0.5*'1-Specification &amp; Data'!B$18*'1-Simulation'!F68^2)/1000</f>
        <v>14.762222302606265</v>
      </c>
      <c r="S68" s="6">
        <f t="shared" si="11"/>
        <v>0</v>
      </c>
      <c r="T68" s="12">
        <v>0</v>
      </c>
      <c r="U68" s="14">
        <f>O68*'1-Specification &amp; Data'!B$14*0.9</f>
        <v>25.173453983331829</v>
      </c>
    </row>
    <row r="69" spans="2:21" x14ac:dyDescent="0.25">
      <c r="C69" s="6">
        <f t="shared" si="16"/>
        <v>67</v>
      </c>
      <c r="D69" s="6">
        <v>15</v>
      </c>
      <c r="E69" s="12">
        <f t="shared" si="12"/>
        <v>24.140119985337112</v>
      </c>
      <c r="F69" s="12">
        <f t="shared" si="17"/>
        <v>6.7055888848158638</v>
      </c>
      <c r="G69" s="13">
        <f t="shared" si="18"/>
        <v>533.09431634286113</v>
      </c>
      <c r="H69" s="12">
        <f t="shared" si="19"/>
        <v>6.7055888848158638</v>
      </c>
      <c r="I69" s="12">
        <f t="shared" si="20"/>
        <v>0</v>
      </c>
      <c r="J69" s="6">
        <f t="shared" si="21"/>
        <v>2</v>
      </c>
      <c r="K69" s="6">
        <v>0</v>
      </c>
      <c r="L69" s="12">
        <f>('1-Specification &amp; Data'!B$22*'1-Specification &amp; Data'!B$10*'1-Specification &amp; Data'!B$20*('1-Simulation'!F69^2-'1-Specification &amp; Data'!B$21^2))/2</f>
        <v>18.801287472525743</v>
      </c>
      <c r="M69" s="6">
        <f t="shared" si="13"/>
        <v>0</v>
      </c>
      <c r="N69" s="12">
        <f>'1-Specification &amp; Data'!B$23*'1-Specification &amp; Data'!B$18*8.91</f>
        <v>76.055205797999989</v>
      </c>
      <c r="O69" s="12">
        <f t="shared" si="14"/>
        <v>94.856493270525732</v>
      </c>
      <c r="P69" s="14">
        <f t="shared" si="15"/>
        <v>94.856493270525732</v>
      </c>
      <c r="Q69" s="12">
        <f>IF(J69=1,'1-Specification &amp; Data'!B$52,IF('1-Simulation'!J69=2,'1-Specification &amp; Data'!B$53,IF('1-Simulation'!J69=3,'1-Specification &amp; Data'!B$54)))</f>
        <v>704.8687664682343</v>
      </c>
      <c r="R69" s="12">
        <f>(0.5*'1-Specification &amp; Data'!B$18*'1-Simulation'!F69^2)/1000</f>
        <v>14.762222302606265</v>
      </c>
      <c r="S69" s="6">
        <f t="shared" si="11"/>
        <v>0</v>
      </c>
      <c r="T69" s="12">
        <v>0</v>
      </c>
      <c r="U69" s="14">
        <f>O69*'1-Specification &amp; Data'!B$14*0.9</f>
        <v>25.173453983331829</v>
      </c>
    </row>
    <row r="70" spans="2:21" x14ac:dyDescent="0.25">
      <c r="C70" s="6">
        <f t="shared" si="16"/>
        <v>68</v>
      </c>
      <c r="D70" s="6">
        <v>15</v>
      </c>
      <c r="E70" s="12">
        <f t="shared" si="12"/>
        <v>24.140119985337112</v>
      </c>
      <c r="F70" s="12">
        <f t="shared" si="17"/>
        <v>6.7055888848158638</v>
      </c>
      <c r="G70" s="13">
        <f t="shared" si="18"/>
        <v>539.79990522767696</v>
      </c>
      <c r="H70" s="12">
        <f t="shared" si="19"/>
        <v>6.7055888848158638</v>
      </c>
      <c r="I70" s="12">
        <f t="shared" si="20"/>
        <v>0</v>
      </c>
      <c r="J70" s="6">
        <f t="shared" si="21"/>
        <v>2</v>
      </c>
      <c r="K70" s="6">
        <v>0</v>
      </c>
      <c r="L70" s="12">
        <f>('1-Specification &amp; Data'!B$22*'1-Specification &amp; Data'!B$10*'1-Specification &amp; Data'!B$20*('1-Simulation'!F70^2-'1-Specification &amp; Data'!B$21^2))/2</f>
        <v>18.801287472525743</v>
      </c>
      <c r="M70" s="6">
        <f t="shared" si="13"/>
        <v>0</v>
      </c>
      <c r="N70" s="12">
        <f>'1-Specification &amp; Data'!B$23*'1-Specification &amp; Data'!B$18*8.91</f>
        <v>76.055205797999989</v>
      </c>
      <c r="O70" s="12">
        <f t="shared" si="14"/>
        <v>94.856493270525732</v>
      </c>
      <c r="P70" s="14">
        <f t="shared" si="15"/>
        <v>94.856493270525732</v>
      </c>
      <c r="Q70" s="12">
        <f>IF(J70=1,'1-Specification &amp; Data'!B$52,IF('1-Simulation'!J70=2,'1-Specification &amp; Data'!B$53,IF('1-Simulation'!J70=3,'1-Specification &amp; Data'!B$54)))</f>
        <v>704.8687664682343</v>
      </c>
      <c r="R70" s="12">
        <f>(0.5*'1-Specification &amp; Data'!B$18*'1-Simulation'!F70^2)/1000</f>
        <v>14.762222302606265</v>
      </c>
      <c r="S70" s="6">
        <f t="shared" si="11"/>
        <v>0</v>
      </c>
      <c r="T70" s="12">
        <v>0</v>
      </c>
      <c r="U70" s="14">
        <f>O70*'1-Specification &amp; Data'!B$14*0.9</f>
        <v>25.173453983331829</v>
      </c>
    </row>
    <row r="71" spans="2:21" x14ac:dyDescent="0.25">
      <c r="C71" s="6">
        <f t="shared" si="16"/>
        <v>69</v>
      </c>
      <c r="D71" s="6">
        <v>15</v>
      </c>
      <c r="E71" s="12">
        <f t="shared" si="12"/>
        <v>24.140119985337112</v>
      </c>
      <c r="F71" s="12">
        <f t="shared" si="17"/>
        <v>6.7055888848158638</v>
      </c>
      <c r="G71" s="13">
        <f t="shared" si="18"/>
        <v>546.50549411249278</v>
      </c>
      <c r="H71" s="12">
        <f t="shared" si="19"/>
        <v>6.7055888848158638</v>
      </c>
      <c r="I71" s="12">
        <f t="shared" si="20"/>
        <v>0</v>
      </c>
      <c r="J71" s="6">
        <f t="shared" si="21"/>
        <v>2</v>
      </c>
      <c r="K71" s="6">
        <v>0</v>
      </c>
      <c r="L71" s="12">
        <f>('1-Specification &amp; Data'!B$22*'1-Specification &amp; Data'!B$10*'1-Specification &amp; Data'!B$20*('1-Simulation'!F71^2-'1-Specification &amp; Data'!B$21^2))/2</f>
        <v>18.801287472525743</v>
      </c>
      <c r="M71" s="6">
        <f t="shared" si="13"/>
        <v>0</v>
      </c>
      <c r="N71" s="12">
        <f>'1-Specification &amp; Data'!B$23*'1-Specification &amp; Data'!B$18*8.91</f>
        <v>76.055205797999989</v>
      </c>
      <c r="O71" s="12">
        <f t="shared" si="14"/>
        <v>94.856493270525732</v>
      </c>
      <c r="P71" s="14">
        <f t="shared" si="15"/>
        <v>94.856493270525732</v>
      </c>
      <c r="Q71" s="12">
        <f>IF(J71=1,'1-Specification &amp; Data'!B$52,IF('1-Simulation'!J71=2,'1-Specification &amp; Data'!B$53,IF('1-Simulation'!J71=3,'1-Specification &amp; Data'!B$54)))</f>
        <v>704.8687664682343</v>
      </c>
      <c r="R71" s="12">
        <f>(0.5*'1-Specification &amp; Data'!B$18*'1-Simulation'!F71^2)/1000</f>
        <v>14.762222302606265</v>
      </c>
      <c r="S71" s="6">
        <f t="shared" si="11"/>
        <v>0</v>
      </c>
      <c r="T71" s="12">
        <v>0</v>
      </c>
      <c r="U71" s="14">
        <f>O71*'1-Specification &amp; Data'!B$14*0.9</f>
        <v>25.173453983331829</v>
      </c>
    </row>
    <row r="72" spans="2:21" x14ac:dyDescent="0.25">
      <c r="C72" s="6">
        <f t="shared" si="16"/>
        <v>70</v>
      </c>
      <c r="D72" s="6">
        <v>15</v>
      </c>
      <c r="E72" s="12">
        <f t="shared" si="12"/>
        <v>24.140119985337112</v>
      </c>
      <c r="F72" s="12">
        <f t="shared" si="17"/>
        <v>6.7055888848158638</v>
      </c>
      <c r="G72" s="13">
        <f t="shared" si="18"/>
        <v>553.21108299730861</v>
      </c>
      <c r="H72" s="12">
        <f t="shared" si="19"/>
        <v>6.7055888848158638</v>
      </c>
      <c r="I72" s="12">
        <f t="shared" si="20"/>
        <v>0</v>
      </c>
      <c r="J72" s="6">
        <f t="shared" si="21"/>
        <v>2</v>
      </c>
      <c r="K72" s="6">
        <v>0</v>
      </c>
      <c r="L72" s="12">
        <f>('1-Specification &amp; Data'!B$22*'1-Specification &amp; Data'!B$10*'1-Specification &amp; Data'!B$20*('1-Simulation'!F72^2-'1-Specification &amp; Data'!B$21^2))/2</f>
        <v>18.801287472525743</v>
      </c>
      <c r="M72" s="6">
        <f t="shared" si="13"/>
        <v>0</v>
      </c>
      <c r="N72" s="12">
        <f>'1-Specification &amp; Data'!B$23*'1-Specification &amp; Data'!B$18*8.91</f>
        <v>76.055205797999989</v>
      </c>
      <c r="O72" s="12">
        <f t="shared" si="14"/>
        <v>94.856493270525732</v>
      </c>
      <c r="P72" s="14">
        <f t="shared" si="15"/>
        <v>94.856493270525732</v>
      </c>
      <c r="Q72" s="12">
        <f>IF(J72=1,'1-Specification &amp; Data'!B$52,IF('1-Simulation'!J72=2,'1-Specification &amp; Data'!B$53,IF('1-Simulation'!J72=3,'1-Specification &amp; Data'!B$54)))</f>
        <v>704.8687664682343</v>
      </c>
      <c r="R72" s="12">
        <f>(0.5*'1-Specification &amp; Data'!B$18*'1-Simulation'!F72^2)/1000</f>
        <v>14.762222302606265</v>
      </c>
      <c r="S72" s="6">
        <f t="shared" si="11"/>
        <v>0</v>
      </c>
      <c r="T72" s="12">
        <v>0</v>
      </c>
      <c r="U72" s="14">
        <f>O72*'1-Specification &amp; Data'!B$14*0.9</f>
        <v>25.173453983331829</v>
      </c>
    </row>
    <row r="73" spans="2:21" x14ac:dyDescent="0.25">
      <c r="C73" s="6">
        <f t="shared" si="16"/>
        <v>71</v>
      </c>
      <c r="D73" s="6">
        <v>15</v>
      </c>
      <c r="E73" s="12">
        <f t="shared" si="12"/>
        <v>24.140119985337112</v>
      </c>
      <c r="F73" s="12">
        <f t="shared" si="17"/>
        <v>6.7055888848158638</v>
      </c>
      <c r="G73" s="13">
        <f t="shared" si="18"/>
        <v>559.91667188212443</v>
      </c>
      <c r="H73" s="12">
        <f t="shared" si="19"/>
        <v>6.7055888848158638</v>
      </c>
      <c r="I73" s="12">
        <f t="shared" si="20"/>
        <v>0</v>
      </c>
      <c r="J73" s="6">
        <f t="shared" si="21"/>
        <v>2</v>
      </c>
      <c r="K73" s="6">
        <v>0</v>
      </c>
      <c r="L73" s="12">
        <f>('1-Specification &amp; Data'!B$22*'1-Specification &amp; Data'!B$10*'1-Specification &amp; Data'!B$20*('1-Simulation'!F73^2-'1-Specification &amp; Data'!B$21^2))/2</f>
        <v>18.801287472525743</v>
      </c>
      <c r="M73" s="6">
        <f t="shared" si="13"/>
        <v>0</v>
      </c>
      <c r="N73" s="12">
        <f>'1-Specification &amp; Data'!B$23*'1-Specification &amp; Data'!B$18*8.91</f>
        <v>76.055205797999989</v>
      </c>
      <c r="O73" s="12">
        <f t="shared" si="14"/>
        <v>94.856493270525732</v>
      </c>
      <c r="P73" s="14">
        <f t="shared" si="15"/>
        <v>94.856493270525732</v>
      </c>
      <c r="Q73" s="12">
        <f>IF(J73=1,'1-Specification &amp; Data'!B$52,IF('1-Simulation'!J73=2,'1-Specification &amp; Data'!B$53,IF('1-Simulation'!J73=3,'1-Specification &amp; Data'!B$54)))</f>
        <v>704.8687664682343</v>
      </c>
      <c r="R73" s="12">
        <f>(0.5*'1-Specification &amp; Data'!B$18*'1-Simulation'!F73^2)/1000</f>
        <v>14.762222302606265</v>
      </c>
      <c r="S73" s="6">
        <f t="shared" si="11"/>
        <v>0</v>
      </c>
      <c r="T73" s="12">
        <v>0</v>
      </c>
      <c r="U73" s="14">
        <f>O73*'1-Specification &amp; Data'!B$14*0.9</f>
        <v>25.173453983331829</v>
      </c>
    </row>
    <row r="74" spans="2:21" x14ac:dyDescent="0.25">
      <c r="C74" s="6">
        <f t="shared" si="16"/>
        <v>72</v>
      </c>
      <c r="D74" s="6">
        <v>15</v>
      </c>
      <c r="E74" s="12">
        <f t="shared" si="12"/>
        <v>24.140119985337112</v>
      </c>
      <c r="F74" s="12">
        <f t="shared" si="17"/>
        <v>6.7055888848158638</v>
      </c>
      <c r="G74" s="13">
        <f t="shared" si="18"/>
        <v>566.62226076694026</v>
      </c>
      <c r="H74" s="12">
        <f t="shared" si="19"/>
        <v>6.7055888848158638</v>
      </c>
      <c r="I74" s="12">
        <f t="shared" si="20"/>
        <v>0</v>
      </c>
      <c r="J74" s="6">
        <f t="shared" si="21"/>
        <v>2</v>
      </c>
      <c r="K74" s="6">
        <v>0</v>
      </c>
      <c r="L74" s="12">
        <f>('1-Specification &amp; Data'!B$22*'1-Specification &amp; Data'!B$10*'1-Specification &amp; Data'!B$20*('1-Simulation'!F74^2-'1-Specification &amp; Data'!B$21^2))/2</f>
        <v>18.801287472525743</v>
      </c>
      <c r="M74" s="6">
        <f t="shared" si="13"/>
        <v>0</v>
      </c>
      <c r="N74" s="12">
        <f>'1-Specification &amp; Data'!B$23*'1-Specification &amp; Data'!B$18*8.91</f>
        <v>76.055205797999989</v>
      </c>
      <c r="O74" s="12">
        <f t="shared" si="14"/>
        <v>94.856493270525732</v>
      </c>
      <c r="P74" s="14">
        <f t="shared" si="15"/>
        <v>94.856493270525732</v>
      </c>
      <c r="Q74" s="12">
        <f>IF(J74=1,'1-Specification &amp; Data'!B$52,IF('1-Simulation'!J74=2,'1-Specification &amp; Data'!B$53,IF('1-Simulation'!J74=3,'1-Specification &amp; Data'!B$54)))</f>
        <v>704.8687664682343</v>
      </c>
      <c r="R74" s="12">
        <f>(0.5*'1-Specification &amp; Data'!B$18*'1-Simulation'!F74^2)/1000</f>
        <v>14.762222302606265</v>
      </c>
      <c r="S74" s="6">
        <f t="shared" si="11"/>
        <v>0</v>
      </c>
      <c r="T74" s="12">
        <v>0</v>
      </c>
      <c r="U74" s="14">
        <f>O74*'1-Specification &amp; Data'!B$14*0.9</f>
        <v>25.173453983331829</v>
      </c>
    </row>
    <row r="75" spans="2:21" x14ac:dyDescent="0.25">
      <c r="C75" s="6">
        <f t="shared" si="16"/>
        <v>73</v>
      </c>
      <c r="D75" s="6">
        <v>15</v>
      </c>
      <c r="E75" s="12">
        <f t="shared" si="12"/>
        <v>24.140119985337112</v>
      </c>
      <c r="F75" s="12">
        <f t="shared" si="17"/>
        <v>6.7055888848158638</v>
      </c>
      <c r="G75" s="13">
        <f t="shared" si="18"/>
        <v>573.32784965175608</v>
      </c>
      <c r="H75" s="12">
        <f t="shared" si="19"/>
        <v>6.7055888848158638</v>
      </c>
      <c r="I75" s="12">
        <f t="shared" si="20"/>
        <v>0</v>
      </c>
      <c r="J75" s="6">
        <f t="shared" si="21"/>
        <v>2</v>
      </c>
      <c r="K75" s="6">
        <v>0</v>
      </c>
      <c r="L75" s="12">
        <f>('1-Specification &amp; Data'!B$22*'1-Specification &amp; Data'!B$10*'1-Specification &amp; Data'!B$20*('1-Simulation'!F75^2-'1-Specification &amp; Data'!B$21^2))/2</f>
        <v>18.801287472525743</v>
      </c>
      <c r="M75" s="6">
        <f t="shared" si="13"/>
        <v>0</v>
      </c>
      <c r="N75" s="12">
        <f>'1-Specification &amp; Data'!B$23*'1-Specification &amp; Data'!B$18*8.91</f>
        <v>76.055205797999989</v>
      </c>
      <c r="O75" s="12">
        <f t="shared" si="14"/>
        <v>94.856493270525732</v>
      </c>
      <c r="P75" s="14">
        <f t="shared" si="15"/>
        <v>94.856493270525732</v>
      </c>
      <c r="Q75" s="12">
        <f>IF(J75=1,'1-Specification &amp; Data'!B$52,IF('1-Simulation'!J75=2,'1-Specification &amp; Data'!B$53,IF('1-Simulation'!J75=3,'1-Specification &amp; Data'!B$54)))</f>
        <v>704.8687664682343</v>
      </c>
      <c r="R75" s="12">
        <f>(0.5*'1-Specification &amp; Data'!B$18*'1-Simulation'!F75^2)/1000</f>
        <v>14.762222302606265</v>
      </c>
      <c r="S75" s="6">
        <f t="shared" si="11"/>
        <v>0</v>
      </c>
      <c r="T75" s="12">
        <v>0</v>
      </c>
      <c r="U75" s="14">
        <f>O75*'1-Specification &amp; Data'!B$14*0.9</f>
        <v>25.173453983331829</v>
      </c>
    </row>
    <row r="76" spans="2:21" x14ac:dyDescent="0.25">
      <c r="C76" s="6">
        <f t="shared" si="16"/>
        <v>74</v>
      </c>
      <c r="D76" s="6">
        <v>15</v>
      </c>
      <c r="E76" s="12">
        <f t="shared" si="12"/>
        <v>24.140119985337112</v>
      </c>
      <c r="F76" s="12">
        <f t="shared" si="17"/>
        <v>6.7055888848158638</v>
      </c>
      <c r="G76" s="13">
        <f t="shared" si="18"/>
        <v>580.03343853657191</v>
      </c>
      <c r="H76" s="12">
        <f t="shared" si="19"/>
        <v>6.7055888848158638</v>
      </c>
      <c r="I76" s="12">
        <f t="shared" si="20"/>
        <v>0</v>
      </c>
      <c r="J76" s="6">
        <f t="shared" si="21"/>
        <v>2</v>
      </c>
      <c r="K76" s="6">
        <v>0</v>
      </c>
      <c r="L76" s="12">
        <f>('1-Specification &amp; Data'!B$22*'1-Specification &amp; Data'!B$10*'1-Specification &amp; Data'!B$20*('1-Simulation'!F76^2-'1-Specification &amp; Data'!B$21^2))/2</f>
        <v>18.801287472525743</v>
      </c>
      <c r="M76" s="6">
        <f t="shared" si="13"/>
        <v>0</v>
      </c>
      <c r="N76" s="12">
        <f>'1-Specification &amp; Data'!B$23*'1-Specification &amp; Data'!B$18*8.91</f>
        <v>76.055205797999989</v>
      </c>
      <c r="O76" s="12">
        <f t="shared" si="14"/>
        <v>94.856493270525732</v>
      </c>
      <c r="P76" s="14">
        <f t="shared" si="15"/>
        <v>94.856493270525732</v>
      </c>
      <c r="Q76" s="12">
        <f>IF(J76=1,'1-Specification &amp; Data'!B$52,IF('1-Simulation'!J76=2,'1-Specification &amp; Data'!B$53,IF('1-Simulation'!J76=3,'1-Specification &amp; Data'!B$54)))</f>
        <v>704.8687664682343</v>
      </c>
      <c r="R76" s="12">
        <f>(0.5*'1-Specification &amp; Data'!B$18*'1-Simulation'!F76^2)/1000</f>
        <v>14.762222302606265</v>
      </c>
      <c r="S76" s="6">
        <f t="shared" si="11"/>
        <v>0</v>
      </c>
      <c r="T76" s="12">
        <v>0</v>
      </c>
      <c r="U76" s="14">
        <f>O76*'1-Specification &amp; Data'!B$14*0.9</f>
        <v>25.173453983331829</v>
      </c>
    </row>
    <row r="77" spans="2:21" x14ac:dyDescent="0.25">
      <c r="C77" s="6">
        <f t="shared" si="16"/>
        <v>75</v>
      </c>
      <c r="D77" s="6">
        <v>15</v>
      </c>
      <c r="E77" s="12">
        <f t="shared" si="12"/>
        <v>24.140119985337112</v>
      </c>
      <c r="F77" s="12">
        <f t="shared" si="17"/>
        <v>6.7055888848158638</v>
      </c>
      <c r="G77" s="13">
        <f t="shared" si="18"/>
        <v>586.73902742138773</v>
      </c>
      <c r="H77" s="12">
        <f t="shared" si="19"/>
        <v>6.7055888848158638</v>
      </c>
      <c r="I77" s="12">
        <f t="shared" si="20"/>
        <v>0</v>
      </c>
      <c r="J77" s="6">
        <f t="shared" si="21"/>
        <v>2</v>
      </c>
      <c r="K77" s="6">
        <v>0</v>
      </c>
      <c r="L77" s="12">
        <f>('1-Specification &amp; Data'!B$22*'1-Specification &amp; Data'!B$10*'1-Specification &amp; Data'!B$20*('1-Simulation'!F77^2-'1-Specification &amp; Data'!B$21^2))/2</f>
        <v>18.801287472525743</v>
      </c>
      <c r="M77" s="6">
        <f t="shared" si="13"/>
        <v>0</v>
      </c>
      <c r="N77" s="12">
        <f>'1-Specification &amp; Data'!B$23*'1-Specification &amp; Data'!B$18*8.91</f>
        <v>76.055205797999989</v>
      </c>
      <c r="O77" s="12">
        <f t="shared" si="14"/>
        <v>94.856493270525732</v>
      </c>
      <c r="P77" s="14">
        <f t="shared" si="15"/>
        <v>94.856493270525732</v>
      </c>
      <c r="Q77" s="12">
        <f>IF(J77=1,'1-Specification &amp; Data'!B$52,IF('1-Simulation'!J77=2,'1-Specification &amp; Data'!B$53,IF('1-Simulation'!J77=3,'1-Specification &amp; Data'!B$54)))</f>
        <v>704.8687664682343</v>
      </c>
      <c r="R77" s="12">
        <f>(0.5*'1-Specification &amp; Data'!B$18*'1-Simulation'!F77^2)/1000</f>
        <v>14.762222302606265</v>
      </c>
      <c r="S77" s="6">
        <f t="shared" si="11"/>
        <v>0</v>
      </c>
      <c r="T77" s="12">
        <v>0</v>
      </c>
      <c r="U77" s="14">
        <f>O77*'1-Specification &amp; Data'!B$14*0.9</f>
        <v>25.173453983331829</v>
      </c>
    </row>
    <row r="78" spans="2:21" x14ac:dyDescent="0.25">
      <c r="C78" s="6">
        <f t="shared" si="16"/>
        <v>76</v>
      </c>
      <c r="D78" s="6">
        <v>15</v>
      </c>
      <c r="E78" s="12">
        <f t="shared" si="12"/>
        <v>24.140119985337112</v>
      </c>
      <c r="F78" s="12">
        <f t="shared" si="17"/>
        <v>6.7055888848158638</v>
      </c>
      <c r="G78" s="13">
        <f t="shared" si="18"/>
        <v>593.44461630620356</v>
      </c>
      <c r="H78" s="12">
        <f t="shared" si="19"/>
        <v>6.7055888848158638</v>
      </c>
      <c r="I78" s="12">
        <f t="shared" si="20"/>
        <v>0</v>
      </c>
      <c r="J78" s="6">
        <f t="shared" si="21"/>
        <v>2</v>
      </c>
      <c r="K78" s="6">
        <v>0</v>
      </c>
      <c r="L78" s="12">
        <f>('1-Specification &amp; Data'!B$22*'1-Specification &amp; Data'!B$10*'1-Specification &amp; Data'!B$20*('1-Simulation'!F78^2-'1-Specification &amp; Data'!B$21^2))/2</f>
        <v>18.801287472525743</v>
      </c>
      <c r="M78" s="6">
        <f t="shared" si="13"/>
        <v>0</v>
      </c>
      <c r="N78" s="12">
        <f>'1-Specification &amp; Data'!B$23*'1-Specification &amp; Data'!B$18*8.91</f>
        <v>76.055205797999989</v>
      </c>
      <c r="O78" s="12">
        <f t="shared" si="14"/>
        <v>94.856493270525732</v>
      </c>
      <c r="P78" s="14">
        <f t="shared" si="15"/>
        <v>94.856493270525732</v>
      </c>
      <c r="Q78" s="12">
        <f>IF(J78=1,'1-Specification &amp; Data'!B$52,IF('1-Simulation'!J78=2,'1-Specification &amp; Data'!B$53,IF('1-Simulation'!J78=3,'1-Specification &amp; Data'!B$54)))</f>
        <v>704.8687664682343</v>
      </c>
      <c r="R78" s="12">
        <f>(0.5*'1-Specification &amp; Data'!B$18*'1-Simulation'!F78^2)/1000</f>
        <v>14.762222302606265</v>
      </c>
      <c r="S78" s="6">
        <f t="shared" si="11"/>
        <v>0</v>
      </c>
      <c r="T78" s="12">
        <v>0</v>
      </c>
      <c r="U78" s="14">
        <f>O78*'1-Specification &amp; Data'!B$14*0.9</f>
        <v>25.173453983331829</v>
      </c>
    </row>
    <row r="79" spans="2:21" x14ac:dyDescent="0.25">
      <c r="C79" s="6">
        <f t="shared" si="16"/>
        <v>77</v>
      </c>
      <c r="D79" s="6">
        <v>15</v>
      </c>
      <c r="E79" s="12">
        <f t="shared" si="12"/>
        <v>24.140119985337112</v>
      </c>
      <c r="F79" s="12">
        <f t="shared" si="17"/>
        <v>6.7055888848158638</v>
      </c>
      <c r="G79" s="13">
        <f t="shared" si="18"/>
        <v>600.15020519101938</v>
      </c>
      <c r="H79" s="12">
        <f t="shared" si="19"/>
        <v>6.7055888848158638</v>
      </c>
      <c r="I79" s="12">
        <f t="shared" si="20"/>
        <v>0</v>
      </c>
      <c r="J79" s="6">
        <f t="shared" si="21"/>
        <v>2</v>
      </c>
      <c r="K79" s="6">
        <v>0</v>
      </c>
      <c r="L79" s="12">
        <f>('1-Specification &amp; Data'!B$22*'1-Specification &amp; Data'!B$10*'1-Specification &amp; Data'!B$20*('1-Simulation'!F79^2-'1-Specification &amp; Data'!B$21^2))/2</f>
        <v>18.801287472525743</v>
      </c>
      <c r="M79" s="6">
        <f t="shared" si="13"/>
        <v>0</v>
      </c>
      <c r="N79" s="12">
        <f>'1-Specification &amp; Data'!B$23*'1-Specification &amp; Data'!B$18*8.91</f>
        <v>76.055205797999989</v>
      </c>
      <c r="O79" s="12">
        <f t="shared" si="14"/>
        <v>94.856493270525732</v>
      </c>
      <c r="P79" s="14">
        <f t="shared" si="15"/>
        <v>94.856493270525732</v>
      </c>
      <c r="Q79" s="12">
        <f>IF(J79=1,'1-Specification &amp; Data'!B$52,IF('1-Simulation'!J79=2,'1-Specification &amp; Data'!B$53,IF('1-Simulation'!J79=3,'1-Specification &amp; Data'!B$54)))</f>
        <v>704.8687664682343</v>
      </c>
      <c r="R79" s="12">
        <f>(0.5*'1-Specification &amp; Data'!B$18*'1-Simulation'!F79^2)/1000</f>
        <v>14.762222302606265</v>
      </c>
      <c r="S79" s="6">
        <f t="shared" si="11"/>
        <v>0</v>
      </c>
      <c r="T79" s="12">
        <v>0</v>
      </c>
      <c r="U79" s="14">
        <f>O79*'1-Specification &amp; Data'!B$14*0.9</f>
        <v>25.173453983331829</v>
      </c>
    </row>
    <row r="80" spans="2:21" x14ac:dyDescent="0.25">
      <c r="C80" s="6">
        <f t="shared" si="16"/>
        <v>78</v>
      </c>
      <c r="D80" s="6">
        <v>15</v>
      </c>
      <c r="E80" s="12">
        <f t="shared" si="12"/>
        <v>24.140119985337112</v>
      </c>
      <c r="F80" s="12">
        <f t="shared" si="17"/>
        <v>6.7055888848158638</v>
      </c>
      <c r="G80" s="13">
        <f t="shared" si="18"/>
        <v>606.85579407583521</v>
      </c>
      <c r="H80" s="12">
        <f t="shared" si="19"/>
        <v>6.7055888848158638</v>
      </c>
      <c r="I80" s="12">
        <f t="shared" si="20"/>
        <v>0</v>
      </c>
      <c r="J80" s="6">
        <f t="shared" si="21"/>
        <v>2</v>
      </c>
      <c r="K80" s="6">
        <v>0</v>
      </c>
      <c r="L80" s="12">
        <f>('1-Specification &amp; Data'!B$22*'1-Specification &amp; Data'!B$10*'1-Specification &amp; Data'!B$20*('1-Simulation'!F80^2-'1-Specification &amp; Data'!B$21^2))/2</f>
        <v>18.801287472525743</v>
      </c>
      <c r="M80" s="6">
        <f t="shared" si="13"/>
        <v>0</v>
      </c>
      <c r="N80" s="12">
        <f>'1-Specification &amp; Data'!B$23*'1-Specification &amp; Data'!B$18*8.91</f>
        <v>76.055205797999989</v>
      </c>
      <c r="O80" s="12">
        <f t="shared" si="14"/>
        <v>94.856493270525732</v>
      </c>
      <c r="P80" s="14">
        <f t="shared" si="15"/>
        <v>94.856493270525732</v>
      </c>
      <c r="Q80" s="12">
        <f>IF(J80=1,'1-Specification &amp; Data'!B$52,IF('1-Simulation'!J80=2,'1-Specification &amp; Data'!B$53,IF('1-Simulation'!J80=3,'1-Specification &amp; Data'!B$54)))</f>
        <v>704.8687664682343</v>
      </c>
      <c r="R80" s="12">
        <f>(0.5*'1-Specification &amp; Data'!B$18*'1-Simulation'!F80^2)/1000</f>
        <v>14.762222302606265</v>
      </c>
      <c r="S80" s="6">
        <f t="shared" si="11"/>
        <v>0</v>
      </c>
      <c r="T80" s="12">
        <v>0</v>
      </c>
      <c r="U80" s="14">
        <f>O80*'1-Specification &amp; Data'!B$14*0.9</f>
        <v>25.173453983331829</v>
      </c>
    </row>
    <row r="81" spans="2:21" x14ac:dyDescent="0.25">
      <c r="C81" s="6">
        <f t="shared" si="16"/>
        <v>79</v>
      </c>
      <c r="D81" s="6">
        <v>15</v>
      </c>
      <c r="E81" s="12">
        <f t="shared" si="12"/>
        <v>24.140119985337112</v>
      </c>
      <c r="F81" s="12">
        <f t="shared" si="17"/>
        <v>6.7055888848158638</v>
      </c>
      <c r="G81" s="13">
        <f t="shared" si="18"/>
        <v>613.56138296065103</v>
      </c>
      <c r="H81" s="12">
        <f t="shared" si="19"/>
        <v>6.7055888848158638</v>
      </c>
      <c r="I81" s="12">
        <f t="shared" si="20"/>
        <v>0</v>
      </c>
      <c r="J81" s="6">
        <f t="shared" si="21"/>
        <v>2</v>
      </c>
      <c r="K81" s="6">
        <v>0</v>
      </c>
      <c r="L81" s="12">
        <f>('1-Specification &amp; Data'!B$22*'1-Specification &amp; Data'!B$10*'1-Specification &amp; Data'!B$20*('1-Simulation'!F81^2-'1-Specification &amp; Data'!B$21^2))/2</f>
        <v>18.801287472525743</v>
      </c>
      <c r="M81" s="6">
        <f t="shared" si="13"/>
        <v>0</v>
      </c>
      <c r="N81" s="12">
        <f>'1-Specification &amp; Data'!B$23*'1-Specification &amp; Data'!B$18*8.91</f>
        <v>76.055205797999989</v>
      </c>
      <c r="O81" s="12">
        <f t="shared" si="14"/>
        <v>94.856493270525732</v>
      </c>
      <c r="P81" s="14">
        <f t="shared" si="15"/>
        <v>94.856493270525732</v>
      </c>
      <c r="Q81" s="12">
        <f>IF(J81=1,'1-Specification &amp; Data'!B$52,IF('1-Simulation'!J81=2,'1-Specification &amp; Data'!B$53,IF('1-Simulation'!J81=3,'1-Specification &amp; Data'!B$54)))</f>
        <v>704.8687664682343</v>
      </c>
      <c r="R81" s="12">
        <f>(0.5*'1-Specification &amp; Data'!B$18*'1-Simulation'!F81^2)/1000</f>
        <v>14.762222302606265</v>
      </c>
      <c r="S81" s="6">
        <f t="shared" si="11"/>
        <v>0</v>
      </c>
      <c r="T81" s="12">
        <v>0</v>
      </c>
      <c r="U81" s="14">
        <f>O81*'1-Specification &amp; Data'!B$14*0.9</f>
        <v>25.173453983331829</v>
      </c>
    </row>
    <row r="82" spans="2:21" x14ac:dyDescent="0.25">
      <c r="B82" s="17" t="s">
        <v>100</v>
      </c>
      <c r="C82" s="6">
        <f t="shared" si="16"/>
        <v>80</v>
      </c>
      <c r="D82" s="6">
        <v>15</v>
      </c>
      <c r="E82" s="12">
        <f t="shared" si="12"/>
        <v>24.140119985337112</v>
      </c>
      <c r="F82" s="12">
        <f t="shared" si="17"/>
        <v>6.7055888848158638</v>
      </c>
      <c r="G82" s="13">
        <f t="shared" si="18"/>
        <v>620.26697184546686</v>
      </c>
      <c r="H82" s="12">
        <f t="shared" si="19"/>
        <v>6.7055888848158638</v>
      </c>
      <c r="I82" s="12">
        <f t="shared" si="20"/>
        <v>0</v>
      </c>
      <c r="J82" s="6">
        <f t="shared" si="21"/>
        <v>2</v>
      </c>
      <c r="K82" s="6">
        <v>0</v>
      </c>
      <c r="L82" s="12">
        <f>('1-Specification &amp; Data'!B$22*'1-Specification &amp; Data'!B$10*'1-Specification &amp; Data'!B$20*('1-Simulation'!F82^2-'1-Specification &amp; Data'!B$21^2))/2</f>
        <v>18.801287472525743</v>
      </c>
      <c r="M82" s="6">
        <f t="shared" si="13"/>
        <v>0</v>
      </c>
      <c r="N82" s="12">
        <f>'1-Specification &amp; Data'!B$23*'1-Specification &amp; Data'!B$18*8.91</f>
        <v>76.055205797999989</v>
      </c>
      <c r="O82" s="12">
        <f t="shared" si="14"/>
        <v>94.856493270525732</v>
      </c>
      <c r="P82" s="14">
        <f t="shared" si="15"/>
        <v>94.856493270525732</v>
      </c>
      <c r="Q82" s="12">
        <f>IF(J82=1,'1-Specification &amp; Data'!B$52,IF('1-Simulation'!J82=2,'1-Specification &amp; Data'!B$53,IF('1-Simulation'!J82=3,'1-Specification &amp; Data'!B$54)))</f>
        <v>704.8687664682343</v>
      </c>
      <c r="R82" s="12">
        <f>(0.5*'1-Specification &amp; Data'!B$18*'1-Simulation'!F82^2)/1000</f>
        <v>14.762222302606265</v>
      </c>
      <c r="S82" s="6">
        <f t="shared" si="11"/>
        <v>0</v>
      </c>
      <c r="T82" s="12">
        <v>0</v>
      </c>
      <c r="U82" s="14">
        <f>O82*'1-Specification &amp; Data'!B$14*0.9</f>
        <v>25.173453983331829</v>
      </c>
    </row>
    <row r="83" spans="2:21" x14ac:dyDescent="0.25">
      <c r="C83" s="6">
        <f t="shared" si="16"/>
        <v>81</v>
      </c>
      <c r="D83" s="6">
        <v>17</v>
      </c>
      <c r="E83" s="12">
        <f t="shared" si="12"/>
        <v>27.358802650048727</v>
      </c>
      <c r="F83" s="12">
        <f t="shared" si="17"/>
        <v>7.5996674027913125</v>
      </c>
      <c r="G83" s="13">
        <f t="shared" si="18"/>
        <v>627.41959998927041</v>
      </c>
      <c r="H83" s="12">
        <f t="shared" si="19"/>
        <v>7.1526281438035877</v>
      </c>
      <c r="I83" s="12">
        <f t="shared" si="20"/>
        <v>0.8940785179754478</v>
      </c>
      <c r="J83" s="6">
        <f t="shared" si="21"/>
        <v>2</v>
      </c>
      <c r="K83" s="6">
        <v>0</v>
      </c>
      <c r="L83" s="12">
        <f>('1-Specification &amp; Data'!B$22*'1-Specification &amp; Data'!B$10*'1-Specification &amp; Data'!B$20*('1-Simulation'!F83^2-'1-Specification &amp; Data'!B$21^2))/2</f>
        <v>24.81420887605449</v>
      </c>
      <c r="M83" s="6">
        <f t="shared" si="13"/>
        <v>630.20802209110093</v>
      </c>
      <c r="N83" s="12">
        <f>'1-Specification &amp; Data'!B$23*'1-Specification &amp; Data'!B$18*8.91</f>
        <v>76.055205797999989</v>
      </c>
      <c r="O83" s="12">
        <f t="shared" si="14"/>
        <v>731.07743676515543</v>
      </c>
      <c r="P83" s="14">
        <f t="shared" si="15"/>
        <v>731.07743676515543</v>
      </c>
      <c r="Q83" s="12">
        <f>IF(J83=1,'1-Specification &amp; Data'!B$52,IF('1-Simulation'!J83=2,'1-Specification &amp; Data'!B$53,IF('1-Simulation'!J83=3,'1-Specification &amp; Data'!B$54)))</f>
        <v>704.8687664682343</v>
      </c>
      <c r="R83" s="12">
        <f>(0.5*'1-Specification &amp; Data'!B$18*'1-Simulation'!F83^2)/1000</f>
        <v>18.961254424236493</v>
      </c>
      <c r="S83" s="6">
        <f t="shared" si="11"/>
        <v>0</v>
      </c>
      <c r="T83" s="12">
        <v>0</v>
      </c>
      <c r="U83" s="14">
        <f>O83*'1-Specification &amp; Data'!B$14*0.9</f>
        <v>194.01670437229126</v>
      </c>
    </row>
    <row r="84" spans="2:21" x14ac:dyDescent="0.25">
      <c r="C84" s="6">
        <f t="shared" si="16"/>
        <v>82</v>
      </c>
      <c r="D84" s="6">
        <v>18.5</v>
      </c>
      <c r="E84" s="12">
        <f t="shared" si="12"/>
        <v>29.772814648582436</v>
      </c>
      <c r="F84" s="12">
        <f t="shared" si="17"/>
        <v>8.2702262912728983</v>
      </c>
      <c r="G84" s="13">
        <f t="shared" si="18"/>
        <v>635.35454683630246</v>
      </c>
      <c r="H84" s="12">
        <f t="shared" si="19"/>
        <v>7.934946847032105</v>
      </c>
      <c r="I84" s="12">
        <f t="shared" si="20"/>
        <v>0.67055888848158496</v>
      </c>
      <c r="J84" s="6">
        <f t="shared" si="21"/>
        <v>2</v>
      </c>
      <c r="K84" s="6">
        <v>0</v>
      </c>
      <c r="L84" s="12">
        <f>('1-Specification &amp; Data'!B$22*'1-Specification &amp; Data'!B$10*'1-Specification &amp; Data'!B$20*('1-Simulation'!F84^2-'1-Specification &amp; Data'!B$21^2))/2</f>
        <v>29.817147387584267</v>
      </c>
      <c r="M84" s="6">
        <f t="shared" si="13"/>
        <v>472.65601656832507</v>
      </c>
      <c r="N84" s="12">
        <f>'1-Specification &amp; Data'!B$23*'1-Specification &amp; Data'!B$18*8.91</f>
        <v>76.055205797999989</v>
      </c>
      <c r="O84" s="12">
        <f t="shared" si="14"/>
        <v>578.52836975390937</v>
      </c>
      <c r="P84" s="14">
        <f t="shared" si="15"/>
        <v>578.52836975390937</v>
      </c>
      <c r="Q84" s="12">
        <f>IF(J84=1,'1-Specification &amp; Data'!B$52,IF('1-Simulation'!J84=2,'1-Specification &amp; Data'!B$53,IF('1-Simulation'!J84=3,'1-Specification &amp; Data'!B$54)))</f>
        <v>704.8687664682343</v>
      </c>
      <c r="R84" s="12">
        <f>(0.5*'1-Specification &amp; Data'!B$18*'1-Simulation'!F84^2)/1000</f>
        <v>22.454980369186639</v>
      </c>
      <c r="S84" s="6">
        <f t="shared" si="11"/>
        <v>0</v>
      </c>
      <c r="T84" s="12">
        <v>0</v>
      </c>
      <c r="U84" s="14">
        <f>O84*'1-Specification &amp; Data'!B$14*0.9</f>
        <v>153.53252889622979</v>
      </c>
    </row>
    <row r="85" spans="2:21" x14ac:dyDescent="0.25">
      <c r="C85" s="6">
        <f t="shared" si="16"/>
        <v>83</v>
      </c>
      <c r="D85" s="6">
        <v>20</v>
      </c>
      <c r="E85" s="12">
        <f t="shared" si="12"/>
        <v>32.186826647116149</v>
      </c>
      <c r="F85" s="12">
        <f t="shared" si="17"/>
        <v>8.9407851797544851</v>
      </c>
      <c r="G85" s="13">
        <f t="shared" si="18"/>
        <v>643.96005257181616</v>
      </c>
      <c r="H85" s="12">
        <f t="shared" si="19"/>
        <v>8.6055057355136917</v>
      </c>
      <c r="I85" s="12">
        <f t="shared" si="20"/>
        <v>0.67055888848158673</v>
      </c>
      <c r="J85" s="6">
        <f t="shared" si="21"/>
        <v>2</v>
      </c>
      <c r="K85" s="6">
        <v>0</v>
      </c>
      <c r="L85" s="12">
        <f>('1-Specification &amp; Data'!B$22*'1-Specification &amp; Data'!B$10*'1-Specification &amp; Data'!B$20*('1-Simulation'!F85^2-'1-Specification &amp; Data'!B$21^2))/2</f>
        <v>35.24286943529966</v>
      </c>
      <c r="M85" s="6">
        <f t="shared" si="13"/>
        <v>472.65601656832632</v>
      </c>
      <c r="N85" s="12">
        <f>'1-Specification &amp; Data'!B$23*'1-Specification &amp; Data'!B$18*8.91</f>
        <v>76.055205797999989</v>
      </c>
      <c r="O85" s="12">
        <f t="shared" si="14"/>
        <v>583.95409180162596</v>
      </c>
      <c r="P85" s="14">
        <f t="shared" si="15"/>
        <v>583.95409180162596</v>
      </c>
      <c r="Q85" s="12">
        <f>IF(J85=1,'1-Specification &amp; Data'!B$52,IF('1-Simulation'!J85=2,'1-Specification &amp; Data'!B$53,IF('1-Simulation'!J85=3,'1-Specification &amp; Data'!B$54)))</f>
        <v>704.8687664682343</v>
      </c>
      <c r="R85" s="12">
        <f>(0.5*'1-Specification &amp; Data'!B$18*'1-Simulation'!F85^2)/1000</f>
        <v>26.243950760188916</v>
      </c>
      <c r="S85" s="6">
        <f t="shared" si="11"/>
        <v>0</v>
      </c>
      <c r="T85" s="12">
        <v>0</v>
      </c>
      <c r="U85" s="14">
        <f>O85*'1-Specification &amp; Data'!B$14*0.9</f>
        <v>154.97243205504688</v>
      </c>
    </row>
    <row r="86" spans="2:21" x14ac:dyDescent="0.25">
      <c r="C86" s="6">
        <f t="shared" si="16"/>
        <v>84</v>
      </c>
      <c r="D86" s="6">
        <v>20.2</v>
      </c>
      <c r="E86" s="12">
        <f t="shared" si="12"/>
        <v>32.508694913587306</v>
      </c>
      <c r="F86" s="12">
        <f t="shared" si="17"/>
        <v>9.0301930315520291</v>
      </c>
      <c r="G86" s="13">
        <f t="shared" si="18"/>
        <v>652.94554167746946</v>
      </c>
      <c r="H86" s="12">
        <f t="shared" si="19"/>
        <v>8.985489105653258</v>
      </c>
      <c r="I86" s="12">
        <f t="shared" si="20"/>
        <v>8.9407851797545845E-2</v>
      </c>
      <c r="J86" s="6">
        <f t="shared" si="21"/>
        <v>3</v>
      </c>
      <c r="K86" s="6">
        <v>0</v>
      </c>
      <c r="L86" s="12">
        <f>('1-Specification &amp; Data'!B$22*'1-Specification &amp; Data'!B$10*'1-Specification &amp; Data'!B$20*('1-Simulation'!F86^2-'1-Specification &amp; Data'!B$21^2))/2</f>
        <v>35.998242686617957</v>
      </c>
      <c r="M86" s="6">
        <f t="shared" si="13"/>
        <v>62.5992371119696</v>
      </c>
      <c r="N86" s="12">
        <f>'1-Specification &amp; Data'!B$23*'1-Specification &amp; Data'!B$18*8.91</f>
        <v>76.055205797999989</v>
      </c>
      <c r="O86" s="12">
        <f t="shared" si="14"/>
        <v>174.65268559658756</v>
      </c>
      <c r="P86" s="14">
        <f t="shared" si="15"/>
        <v>174.65268559658756</v>
      </c>
      <c r="Q86" s="12">
        <f>IF(J86=1,'1-Specification &amp; Data'!B$52,IF('1-Simulation'!J86=2,'1-Specification &amp; Data'!B$53,IF('1-Simulation'!J86=3,'1-Specification &amp; Data'!B$54)))</f>
        <v>700.1536873262387</v>
      </c>
      <c r="R86" s="12">
        <f>(0.5*'1-Specification &amp; Data'!B$18*'1-Simulation'!F86^2)/1000</f>
        <v>26.771454170468708</v>
      </c>
      <c r="S86" s="6">
        <f t="shared" si="11"/>
        <v>0</v>
      </c>
      <c r="T86" s="12">
        <v>0</v>
      </c>
      <c r="U86" s="14">
        <f>O86*'1-Specification &amp; Data'!B$14*0.9</f>
        <v>46.350135792940549</v>
      </c>
    </row>
    <row r="87" spans="2:21" x14ac:dyDescent="0.25">
      <c r="C87" s="6">
        <f t="shared" si="16"/>
        <v>85</v>
      </c>
      <c r="D87" s="6">
        <v>21</v>
      </c>
      <c r="E87" s="12">
        <f t="shared" si="12"/>
        <v>33.796167979471953</v>
      </c>
      <c r="F87" s="12">
        <f t="shared" si="17"/>
        <v>9.387824438742209</v>
      </c>
      <c r="G87" s="13">
        <f t="shared" si="18"/>
        <v>662.15455041261657</v>
      </c>
      <c r="H87" s="12">
        <f t="shared" si="19"/>
        <v>9.209008735147119</v>
      </c>
      <c r="I87" s="12">
        <f t="shared" si="20"/>
        <v>0.35763140719017983</v>
      </c>
      <c r="J87" s="6">
        <f t="shared" si="21"/>
        <v>3</v>
      </c>
      <c r="K87" s="6">
        <v>0</v>
      </c>
      <c r="L87" s="12">
        <f>('1-Specification &amp; Data'!B$22*'1-Specification &amp; Data'!B$10*'1-Specification &amp; Data'!B$20*('1-Simulation'!F87^2-'1-Specification &amp; Data'!B$21^2))/2</f>
        <v>39.094897209435267</v>
      </c>
      <c r="M87" s="6">
        <f t="shared" si="13"/>
        <v>250.39694844787593</v>
      </c>
      <c r="N87" s="12">
        <f>'1-Specification &amp; Data'!B$23*'1-Specification &amp; Data'!B$18*8.91</f>
        <v>76.055205797999989</v>
      </c>
      <c r="O87" s="12">
        <f t="shared" si="14"/>
        <v>365.54705145531119</v>
      </c>
      <c r="P87" s="14">
        <f t="shared" si="15"/>
        <v>365.54705145531119</v>
      </c>
      <c r="Q87" s="12">
        <f>IF(J87=1,'1-Specification &amp; Data'!B$52,IF('1-Simulation'!J87=2,'1-Specification &amp; Data'!B$53,IF('1-Simulation'!J87=3,'1-Specification &amp; Data'!B$54)))</f>
        <v>700.1536873262387</v>
      </c>
      <c r="R87" s="12">
        <f>(0.5*'1-Specification &amp; Data'!B$18*'1-Simulation'!F87^2)/1000</f>
        <v>28.933955713108279</v>
      </c>
      <c r="S87" s="6">
        <f t="shared" si="11"/>
        <v>0</v>
      </c>
      <c r="T87" s="12">
        <v>0</v>
      </c>
      <c r="U87" s="14">
        <f>O87*'1-Specification &amp; Data'!B$14*0.9</f>
        <v>97.010563655447982</v>
      </c>
    </row>
    <row r="88" spans="2:21" x14ac:dyDescent="0.25">
      <c r="C88" s="6">
        <f t="shared" si="16"/>
        <v>86</v>
      </c>
      <c r="D88" s="6">
        <v>22</v>
      </c>
      <c r="E88" s="12">
        <f t="shared" si="12"/>
        <v>35.405509311827764</v>
      </c>
      <c r="F88" s="12">
        <f t="shared" si="17"/>
        <v>9.8348636977299346</v>
      </c>
      <c r="G88" s="13">
        <f t="shared" si="18"/>
        <v>671.76589448085269</v>
      </c>
      <c r="H88" s="12">
        <f t="shared" si="19"/>
        <v>9.6113440682360718</v>
      </c>
      <c r="I88" s="12">
        <f t="shared" si="20"/>
        <v>0.44703925898772567</v>
      </c>
      <c r="J88" s="6">
        <f t="shared" si="21"/>
        <v>3</v>
      </c>
      <c r="K88" s="6">
        <v>0</v>
      </c>
      <c r="L88" s="12">
        <f>('1-Specification &amp; Data'!B$22*'1-Specification &amp; Data'!B$10*'1-Specification &amp; Data'!B$20*('1-Simulation'!F88^2-'1-Specification &amp; Data'!B$21^2))/2</f>
        <v>43.134828777431153</v>
      </c>
      <c r="M88" s="6">
        <f t="shared" si="13"/>
        <v>312.99618555984551</v>
      </c>
      <c r="N88" s="12">
        <f>'1-Specification &amp; Data'!B$23*'1-Specification &amp; Data'!B$18*8.91</f>
        <v>76.055205797999989</v>
      </c>
      <c r="O88" s="12">
        <f t="shared" si="14"/>
        <v>432.18622013527664</v>
      </c>
      <c r="P88" s="14">
        <f t="shared" si="15"/>
        <v>432.18622013527664</v>
      </c>
      <c r="Q88" s="12">
        <f>IF(J88=1,'1-Specification &amp; Data'!B$52,IF('1-Simulation'!J88=2,'1-Specification &amp; Data'!B$53,IF('1-Simulation'!J88=3,'1-Specification &amp; Data'!B$54)))</f>
        <v>700.1536873262387</v>
      </c>
      <c r="R88" s="12">
        <f>(0.5*'1-Specification &amp; Data'!B$18*'1-Simulation'!F88^2)/1000</f>
        <v>31.755180419828598</v>
      </c>
      <c r="S88" s="6">
        <f t="shared" si="11"/>
        <v>0</v>
      </c>
      <c r="T88" s="12">
        <v>0</v>
      </c>
      <c r="U88" s="14">
        <f>O88*'1-Specification &amp; Data'!B$14*0.9</f>
        <v>114.69557380513112</v>
      </c>
    </row>
    <row r="89" spans="2:21" x14ac:dyDescent="0.25">
      <c r="C89" s="6">
        <f t="shared" si="16"/>
        <v>87</v>
      </c>
      <c r="D89" s="6">
        <v>23</v>
      </c>
      <c r="E89" s="12">
        <f t="shared" si="12"/>
        <v>37.014850644183575</v>
      </c>
      <c r="F89" s="12">
        <f t="shared" si="17"/>
        <v>10.281902956717659</v>
      </c>
      <c r="G89" s="13">
        <f t="shared" si="18"/>
        <v>681.82427780807654</v>
      </c>
      <c r="H89" s="12">
        <f t="shared" si="19"/>
        <v>10.058383327223797</v>
      </c>
      <c r="I89" s="12">
        <f t="shared" si="20"/>
        <v>0.44703925898772567</v>
      </c>
      <c r="J89" s="6">
        <f t="shared" si="21"/>
        <v>3</v>
      </c>
      <c r="K89" s="6">
        <v>0</v>
      </c>
      <c r="L89" s="12">
        <f>('1-Specification &amp; Data'!B$22*'1-Specification &amp; Data'!B$10*'1-Specification &amp; Data'!B$20*('1-Simulation'!F89^2-'1-Specification &amp; Data'!B$21^2))/2</f>
        <v>47.362664139287297</v>
      </c>
      <c r="M89" s="6">
        <f t="shared" si="13"/>
        <v>312.99618555984551</v>
      </c>
      <c r="N89" s="12">
        <f>'1-Specification &amp; Data'!B$23*'1-Specification &amp; Data'!B$18*8.91</f>
        <v>76.055205797999989</v>
      </c>
      <c r="O89" s="12">
        <f t="shared" si="14"/>
        <v>436.41405549713278</v>
      </c>
      <c r="P89" s="14">
        <f t="shared" si="15"/>
        <v>436.41405549713278</v>
      </c>
      <c r="Q89" s="12">
        <f>IF(J89=1,'1-Specification &amp; Data'!B$52,IF('1-Simulation'!J89=2,'1-Specification &amp; Data'!B$53,IF('1-Simulation'!J89=3,'1-Specification &amp; Data'!B$54)))</f>
        <v>700.1536873262387</v>
      </c>
      <c r="R89" s="12">
        <f>(0.5*'1-Specification &amp; Data'!B$18*'1-Simulation'!F89^2)/1000</f>
        <v>34.707624880349847</v>
      </c>
      <c r="S89" s="6">
        <f t="shared" si="11"/>
        <v>0</v>
      </c>
      <c r="T89" s="12">
        <v>0</v>
      </c>
      <c r="U89" s="14">
        <f>O89*'1-Specification &amp; Data'!B$14*0.9</f>
        <v>115.81757626654679</v>
      </c>
    </row>
    <row r="90" spans="2:21" x14ac:dyDescent="0.25">
      <c r="B90" s="17" t="s">
        <v>101</v>
      </c>
      <c r="C90" s="6">
        <f t="shared" si="16"/>
        <v>88</v>
      </c>
      <c r="D90" s="6">
        <v>23</v>
      </c>
      <c r="E90" s="12">
        <f t="shared" si="12"/>
        <v>37.014850644183575</v>
      </c>
      <c r="F90" s="12">
        <f t="shared" si="17"/>
        <v>10.281902956717659</v>
      </c>
      <c r="G90" s="13">
        <f t="shared" si="18"/>
        <v>692.1061807647942</v>
      </c>
      <c r="H90" s="12">
        <f t="shared" si="19"/>
        <v>10.281902956717659</v>
      </c>
      <c r="I90" s="12">
        <f t="shared" si="20"/>
        <v>0</v>
      </c>
      <c r="J90" s="6">
        <f t="shared" si="21"/>
        <v>3</v>
      </c>
      <c r="K90" s="6">
        <f>'1-Specification &amp; Data'!B$18*9.81*'1-Specification &amp; Data'!L$13</f>
        <v>893.0287620590401</v>
      </c>
      <c r="L90" s="12">
        <f>('1-Specification &amp; Data'!B$22*'1-Specification &amp; Data'!B$10*'1-Specification &amp; Data'!B$20*('1-Simulation'!F90^2-'1-Specification &amp; Data'!B$21^2))/2</f>
        <v>47.362664139287297</v>
      </c>
      <c r="M90" s="6">
        <f t="shared" si="13"/>
        <v>0</v>
      </c>
      <c r="N90" s="12">
        <f>'1-Specification &amp; Data'!B$23*'1-Specification &amp; Data'!B$18*8.91</f>
        <v>76.055205797999989</v>
      </c>
      <c r="O90" s="12">
        <f t="shared" si="14"/>
        <v>1016.4466319963274</v>
      </c>
      <c r="P90" s="14">
        <f t="shared" si="15"/>
        <v>1016.4466319963274</v>
      </c>
      <c r="Q90" s="12">
        <f>IF(J90=1,'1-Specification &amp; Data'!B$52,IF('1-Simulation'!J90=2,'1-Specification &amp; Data'!B$53,IF('1-Simulation'!J90=3,'1-Specification &amp; Data'!B$54)))</f>
        <v>700.1536873262387</v>
      </c>
      <c r="R90" s="12">
        <f>(0.5*'1-Specification &amp; Data'!B$18*'1-Simulation'!F90^2)/1000</f>
        <v>34.707624880349847</v>
      </c>
      <c r="S90" s="6">
        <f t="shared" si="11"/>
        <v>0</v>
      </c>
      <c r="T90" s="12">
        <v>0</v>
      </c>
      <c r="U90" s="14">
        <f>O90*'1-Specification &amp; Data'!B$14*0.9</f>
        <v>269.74929849133304</v>
      </c>
    </row>
    <row r="91" spans="2:21" x14ac:dyDescent="0.25">
      <c r="B91" s="17" t="s">
        <v>101</v>
      </c>
      <c r="C91" s="6">
        <f t="shared" si="16"/>
        <v>89</v>
      </c>
      <c r="D91" s="6">
        <v>23</v>
      </c>
      <c r="E91" s="12">
        <f t="shared" si="12"/>
        <v>37.014850644183575</v>
      </c>
      <c r="F91" s="12">
        <f t="shared" si="17"/>
        <v>10.281902956717659</v>
      </c>
      <c r="G91" s="13">
        <f t="shared" si="18"/>
        <v>702.38808372151186</v>
      </c>
      <c r="H91" s="12">
        <f t="shared" si="19"/>
        <v>10.281902956717659</v>
      </c>
      <c r="I91" s="12">
        <f t="shared" si="20"/>
        <v>0</v>
      </c>
      <c r="J91" s="6">
        <f t="shared" si="21"/>
        <v>3</v>
      </c>
      <c r="K91" s="6">
        <f>'1-Specification &amp; Data'!B$18*9.81*'1-Specification &amp; Data'!L$13</f>
        <v>893.0287620590401</v>
      </c>
      <c r="L91" s="12">
        <f>('1-Specification &amp; Data'!B$22*'1-Specification &amp; Data'!B$10*'1-Specification &amp; Data'!B$20*('1-Simulation'!F91^2-'1-Specification &amp; Data'!B$21^2))/2</f>
        <v>47.362664139287297</v>
      </c>
      <c r="M91" s="6">
        <f t="shared" si="13"/>
        <v>0</v>
      </c>
      <c r="N91" s="12">
        <f>'1-Specification &amp; Data'!B$23*'1-Specification &amp; Data'!B$18*8.91</f>
        <v>76.055205797999989</v>
      </c>
      <c r="O91" s="12">
        <f t="shared" si="14"/>
        <v>1016.4466319963274</v>
      </c>
      <c r="P91" s="14">
        <f t="shared" si="15"/>
        <v>1016.4466319963274</v>
      </c>
      <c r="Q91" s="12">
        <f>IF(J91=1,'1-Specification &amp; Data'!B$52,IF('1-Simulation'!J91=2,'1-Specification &amp; Data'!B$53,IF('1-Simulation'!J91=3,'1-Specification &amp; Data'!B$54)))</f>
        <v>700.1536873262387</v>
      </c>
      <c r="R91" s="12">
        <f>(0.5*'1-Specification &amp; Data'!B$18*'1-Simulation'!F91^2)/1000</f>
        <v>34.707624880349847</v>
      </c>
      <c r="S91" s="6">
        <f t="shared" si="11"/>
        <v>7.0264833491418202</v>
      </c>
      <c r="T91" s="12">
        <v>1.0229999999999999</v>
      </c>
      <c r="U91" s="14">
        <f>O91*'1-Specification &amp; Data'!B$14*0.9</f>
        <v>269.74929849133304</v>
      </c>
    </row>
    <row r="92" spans="2:21" x14ac:dyDescent="0.25">
      <c r="B92" s="17" t="s">
        <v>101</v>
      </c>
      <c r="C92" s="6">
        <f t="shared" si="16"/>
        <v>90</v>
      </c>
      <c r="D92" s="6">
        <v>23</v>
      </c>
      <c r="E92" s="12">
        <f t="shared" si="12"/>
        <v>37.014850644183575</v>
      </c>
      <c r="F92" s="12">
        <f t="shared" si="17"/>
        <v>10.281902956717659</v>
      </c>
      <c r="G92" s="13">
        <f t="shared" si="18"/>
        <v>712.66998667822952</v>
      </c>
      <c r="H92" s="12">
        <f t="shared" si="19"/>
        <v>10.281902956717659</v>
      </c>
      <c r="I92" s="12">
        <f t="shared" si="20"/>
        <v>0</v>
      </c>
      <c r="J92" s="6">
        <f t="shared" si="21"/>
        <v>3</v>
      </c>
      <c r="K92" s="6">
        <f>'1-Specification &amp; Data'!B$18*9.81*'1-Specification &amp; Data'!L$13</f>
        <v>893.0287620590401</v>
      </c>
      <c r="L92" s="12">
        <f>('1-Specification &amp; Data'!B$22*'1-Specification &amp; Data'!B$10*'1-Specification &amp; Data'!B$20*('1-Simulation'!F92^2-'1-Specification &amp; Data'!B$21^2))/2</f>
        <v>47.362664139287297</v>
      </c>
      <c r="M92" s="6">
        <f t="shared" si="13"/>
        <v>0</v>
      </c>
      <c r="N92" s="12">
        <f>'1-Specification &amp; Data'!B$23*'1-Specification &amp; Data'!B$18*8.91</f>
        <v>76.055205797999989</v>
      </c>
      <c r="O92" s="12">
        <f t="shared" si="14"/>
        <v>1016.4466319963274</v>
      </c>
      <c r="P92" s="14">
        <f t="shared" si="15"/>
        <v>1016.4466319963274</v>
      </c>
      <c r="Q92" s="12">
        <f>IF(J92=1,'1-Specification &amp; Data'!B$52,IF('1-Simulation'!J92=2,'1-Specification &amp; Data'!B$53,IF('1-Simulation'!J92=3,'1-Specification &amp; Data'!B$54)))</f>
        <v>700.1536873262387</v>
      </c>
      <c r="R92" s="12">
        <f>(0.5*'1-Specification &amp; Data'!B$18*'1-Simulation'!F92^2)/1000</f>
        <v>34.707624880349847</v>
      </c>
      <c r="S92" s="6">
        <f t="shared" si="11"/>
        <v>14.05296669828364</v>
      </c>
      <c r="T92" s="12">
        <f>T91*2</f>
        <v>2.0459999999999998</v>
      </c>
      <c r="U92" s="14">
        <f>O92*'1-Specification &amp; Data'!B$14*0.9</f>
        <v>269.74929849133304</v>
      </c>
    </row>
    <row r="93" spans="2:21" x14ac:dyDescent="0.25">
      <c r="B93" s="17" t="s">
        <v>101</v>
      </c>
      <c r="C93" s="6">
        <f t="shared" si="16"/>
        <v>91</v>
      </c>
      <c r="D93" s="6">
        <v>23</v>
      </c>
      <c r="E93" s="12">
        <f t="shared" si="12"/>
        <v>37.014850644183575</v>
      </c>
      <c r="F93" s="12">
        <f t="shared" si="17"/>
        <v>10.281902956717659</v>
      </c>
      <c r="G93" s="13">
        <f t="shared" si="18"/>
        <v>722.95188963494718</v>
      </c>
      <c r="H93" s="12">
        <f t="shared" si="19"/>
        <v>10.281902956717659</v>
      </c>
      <c r="I93" s="12">
        <f t="shared" si="20"/>
        <v>0</v>
      </c>
      <c r="J93" s="6">
        <f t="shared" si="21"/>
        <v>3</v>
      </c>
      <c r="K93" s="6">
        <f>'1-Specification &amp; Data'!B$18*9.81*'1-Specification &amp; Data'!L$13</f>
        <v>893.0287620590401</v>
      </c>
      <c r="L93" s="12">
        <f>('1-Specification &amp; Data'!B$22*'1-Specification &amp; Data'!B$10*'1-Specification &amp; Data'!B$20*('1-Simulation'!F93^2-'1-Specification &amp; Data'!B$21^2))/2</f>
        <v>47.362664139287297</v>
      </c>
      <c r="M93" s="6">
        <f t="shared" si="13"/>
        <v>0</v>
      </c>
      <c r="N93" s="12">
        <f>'1-Specification &amp; Data'!B$23*'1-Specification &amp; Data'!B$18*8.91</f>
        <v>76.055205797999989</v>
      </c>
      <c r="O93" s="12">
        <f t="shared" si="14"/>
        <v>1016.4466319963274</v>
      </c>
      <c r="P93" s="14">
        <f t="shared" si="15"/>
        <v>1016.4466319963274</v>
      </c>
      <c r="Q93" s="12">
        <f>IF(J93=1,'1-Specification &amp; Data'!B$52,IF('1-Simulation'!J93=2,'1-Specification &amp; Data'!B$53,IF('1-Simulation'!J93=3,'1-Specification &amp; Data'!B$54)))</f>
        <v>700.1536873262387</v>
      </c>
      <c r="R93" s="12">
        <f>(0.5*'1-Specification &amp; Data'!B$18*'1-Simulation'!F93^2)/1000</f>
        <v>34.707624880349847</v>
      </c>
      <c r="S93" s="6">
        <f t="shared" si="11"/>
        <v>21.079450047425464</v>
      </c>
      <c r="T93" s="12">
        <f>T91*3</f>
        <v>3.069</v>
      </c>
      <c r="U93" s="14">
        <f>O93*'1-Specification &amp; Data'!B$14*0.9</f>
        <v>269.74929849133304</v>
      </c>
    </row>
    <row r="94" spans="2:21" x14ac:dyDescent="0.25">
      <c r="B94" s="17" t="s">
        <v>101</v>
      </c>
      <c r="C94" s="6">
        <f t="shared" si="16"/>
        <v>92</v>
      </c>
      <c r="D94" s="6">
        <v>23</v>
      </c>
      <c r="E94" s="12">
        <f t="shared" si="12"/>
        <v>37.014850644183575</v>
      </c>
      <c r="F94" s="12">
        <f t="shared" si="17"/>
        <v>10.281902956717659</v>
      </c>
      <c r="G94" s="13">
        <f t="shared" si="18"/>
        <v>733.23379259166484</v>
      </c>
      <c r="H94" s="12">
        <f t="shared" si="19"/>
        <v>10.281902956717659</v>
      </c>
      <c r="I94" s="12">
        <f t="shared" si="20"/>
        <v>0</v>
      </c>
      <c r="J94" s="6">
        <f t="shared" si="21"/>
        <v>3</v>
      </c>
      <c r="K94" s="6">
        <f>'1-Specification &amp; Data'!B$18*9.81*'1-Specification &amp; Data'!L$13</f>
        <v>893.0287620590401</v>
      </c>
      <c r="L94" s="12">
        <f>('1-Specification &amp; Data'!B$22*'1-Specification &amp; Data'!B$10*'1-Specification &amp; Data'!B$20*('1-Simulation'!F94^2-'1-Specification &amp; Data'!B$21^2))/2</f>
        <v>47.362664139287297</v>
      </c>
      <c r="M94" s="6">
        <f t="shared" si="13"/>
        <v>0</v>
      </c>
      <c r="N94" s="12">
        <f>'1-Specification &amp; Data'!B$23*'1-Specification &amp; Data'!B$18*8.91</f>
        <v>76.055205797999989</v>
      </c>
      <c r="O94" s="12">
        <f t="shared" si="14"/>
        <v>1016.4466319963274</v>
      </c>
      <c r="P94" s="14">
        <f t="shared" si="15"/>
        <v>1016.4466319963274</v>
      </c>
      <c r="Q94" s="12">
        <f>IF(J94=1,'1-Specification &amp; Data'!B$52,IF('1-Simulation'!J94=2,'1-Specification &amp; Data'!B$53,IF('1-Simulation'!J94=3,'1-Specification &amp; Data'!B$54)))</f>
        <v>700.1536873262387</v>
      </c>
      <c r="R94" s="12">
        <f>(0.5*'1-Specification &amp; Data'!B$18*'1-Simulation'!F94^2)/1000</f>
        <v>34.707624880349847</v>
      </c>
      <c r="S94" s="6">
        <f t="shared" si="11"/>
        <v>28.105933396567281</v>
      </c>
      <c r="T94" s="12">
        <f>T91*4</f>
        <v>4.0919999999999996</v>
      </c>
      <c r="U94" s="14">
        <f>O94*'1-Specification &amp; Data'!B$14*0.9</f>
        <v>269.74929849133304</v>
      </c>
    </row>
    <row r="95" spans="2:21" x14ac:dyDescent="0.25">
      <c r="C95" s="6">
        <f t="shared" si="16"/>
        <v>93</v>
      </c>
      <c r="D95" s="6">
        <v>22</v>
      </c>
      <c r="E95" s="12">
        <f t="shared" si="12"/>
        <v>35.405509311827764</v>
      </c>
      <c r="F95" s="12">
        <f t="shared" si="17"/>
        <v>9.8348636977299346</v>
      </c>
      <c r="G95" s="13">
        <f t="shared" si="18"/>
        <v>743.29217591888869</v>
      </c>
      <c r="H95" s="12">
        <f t="shared" si="19"/>
        <v>10.058383327223797</v>
      </c>
      <c r="I95" s="12">
        <f t="shared" si="20"/>
        <v>-0.44703925898772212</v>
      </c>
      <c r="J95" s="6">
        <f t="shared" si="21"/>
        <v>3</v>
      </c>
      <c r="K95" s="6">
        <v>0</v>
      </c>
      <c r="L95" s="12">
        <f>('1-Specification &amp; Data'!B$22*'1-Specification &amp; Data'!B$10*'1-Specification &amp; Data'!B$20*('1-Simulation'!F95^2-'1-Specification &amp; Data'!B$21^2))/2</f>
        <v>43.134828777431153</v>
      </c>
      <c r="M95" s="6">
        <f t="shared" si="13"/>
        <v>-312.99618555984301</v>
      </c>
      <c r="N95" s="12">
        <f>'1-Specification &amp; Data'!B$23*'1-Specification &amp; Data'!B$18*8.91</f>
        <v>76.055205797999989</v>
      </c>
      <c r="O95" s="12">
        <f t="shared" si="14"/>
        <v>-193.80615098441189</v>
      </c>
      <c r="P95" s="14">
        <f t="shared" si="15"/>
        <v>193.80615098441189</v>
      </c>
      <c r="Q95" s="12">
        <f>IF(J95=1,'1-Specification &amp; Data'!B$52,IF('1-Simulation'!J95=2,'1-Specification &amp; Data'!B$53,IF('1-Simulation'!J95=3,'1-Specification &amp; Data'!B$54)))</f>
        <v>700.1536873262387</v>
      </c>
      <c r="R95" s="12">
        <f>(0.5*'1-Specification &amp; Data'!B$18*'1-Simulation'!F95^2)/1000</f>
        <v>31.755180419828598</v>
      </c>
      <c r="S95" s="6">
        <f t="shared" si="11"/>
        <v>28.105933396567281</v>
      </c>
      <c r="T95" s="12">
        <v>4.0919999999999996</v>
      </c>
      <c r="U95" s="14">
        <f>O95*'1-Specification &amp; Data'!B$14*0.9</f>
        <v>-51.433170838170845</v>
      </c>
    </row>
    <row r="96" spans="2:21" x14ac:dyDescent="0.25">
      <c r="C96" s="6">
        <f t="shared" si="16"/>
        <v>94</v>
      </c>
      <c r="D96" s="6">
        <v>21</v>
      </c>
      <c r="E96" s="12">
        <f t="shared" si="12"/>
        <v>33.796167979471953</v>
      </c>
      <c r="F96" s="12">
        <f t="shared" si="17"/>
        <v>9.387824438742209</v>
      </c>
      <c r="G96" s="13">
        <f t="shared" si="18"/>
        <v>752.90351998712481</v>
      </c>
      <c r="H96" s="12">
        <f t="shared" si="19"/>
        <v>9.6113440682360718</v>
      </c>
      <c r="I96" s="12">
        <f t="shared" si="20"/>
        <v>-0.44703925898772567</v>
      </c>
      <c r="J96" s="6">
        <f t="shared" si="21"/>
        <v>3</v>
      </c>
      <c r="K96" s="6">
        <v>0</v>
      </c>
      <c r="L96" s="12">
        <f>('1-Specification &amp; Data'!B$22*'1-Specification &amp; Data'!B$10*'1-Specification &amp; Data'!B$20*('1-Simulation'!F96^2-'1-Specification &amp; Data'!B$21^2))/2</f>
        <v>39.094897209435267</v>
      </c>
      <c r="M96" s="6">
        <f t="shared" si="13"/>
        <v>-312.99618555984551</v>
      </c>
      <c r="N96" s="12">
        <f>'1-Specification &amp; Data'!B$23*'1-Specification &amp; Data'!B$18*8.91</f>
        <v>76.055205797999989</v>
      </c>
      <c r="O96" s="12">
        <f t="shared" si="14"/>
        <v>-197.84608255241028</v>
      </c>
      <c r="P96" s="14">
        <f t="shared" si="15"/>
        <v>197.84608255241028</v>
      </c>
      <c r="Q96" s="12">
        <f>IF(J96=1,'1-Specification &amp; Data'!B$52,IF('1-Simulation'!J96=2,'1-Specification &amp; Data'!B$53,IF('1-Simulation'!J96=3,'1-Specification &amp; Data'!B$54)))</f>
        <v>700.1536873262387</v>
      </c>
      <c r="R96" s="12">
        <f>(0.5*'1-Specification &amp; Data'!B$18*'1-Simulation'!F96^2)/1000</f>
        <v>28.933955713108279</v>
      </c>
      <c r="S96" s="6">
        <f t="shared" si="11"/>
        <v>28.105933396567281</v>
      </c>
      <c r="T96" s="12">
        <v>4.0919999999999996</v>
      </c>
      <c r="U96" s="14">
        <f>O96*'1-Specification &amp; Data'!B$14*0.9</f>
        <v>-52.505306523524268</v>
      </c>
    </row>
    <row r="97" spans="2:21" x14ac:dyDescent="0.25">
      <c r="C97" s="6">
        <f t="shared" si="16"/>
        <v>95</v>
      </c>
      <c r="D97" s="6">
        <v>20</v>
      </c>
      <c r="E97" s="12">
        <f t="shared" si="12"/>
        <v>32.186826647116149</v>
      </c>
      <c r="F97" s="12">
        <f t="shared" si="17"/>
        <v>8.9407851797544851</v>
      </c>
      <c r="G97" s="13">
        <f t="shared" si="18"/>
        <v>762.0678247963732</v>
      </c>
      <c r="H97" s="12">
        <f t="shared" si="19"/>
        <v>9.1643048092483461</v>
      </c>
      <c r="I97" s="12">
        <f t="shared" si="20"/>
        <v>-0.44703925898772567</v>
      </c>
      <c r="J97" s="6">
        <f t="shared" si="21"/>
        <v>2</v>
      </c>
      <c r="K97" s="6">
        <v>0</v>
      </c>
      <c r="L97" s="12">
        <f>('1-Specification &amp; Data'!B$22*'1-Specification &amp; Data'!B$10*'1-Specification &amp; Data'!B$20*('1-Simulation'!F97^2-'1-Specification &amp; Data'!B$21^2))/2</f>
        <v>35.24286943529966</v>
      </c>
      <c r="M97" s="6">
        <f t="shared" si="13"/>
        <v>-315.10401104555172</v>
      </c>
      <c r="N97" s="12">
        <f>'1-Specification &amp; Data'!B$23*'1-Specification &amp; Data'!B$18*8.91</f>
        <v>76.055205797999989</v>
      </c>
      <c r="O97" s="12">
        <f t="shared" si="14"/>
        <v>-203.80593581225207</v>
      </c>
      <c r="P97" s="14">
        <f t="shared" si="15"/>
        <v>203.80593581225207</v>
      </c>
      <c r="Q97" s="12">
        <f>IF(J97=1,'1-Specification &amp; Data'!B$52,IF('1-Simulation'!J97=2,'1-Specification &amp; Data'!B$53,IF('1-Simulation'!J97=3,'1-Specification &amp; Data'!B$54)))</f>
        <v>704.8687664682343</v>
      </c>
      <c r="R97" s="12">
        <f>(0.5*'1-Specification &amp; Data'!B$18*'1-Simulation'!F97^2)/1000</f>
        <v>26.243950760188916</v>
      </c>
      <c r="S97" s="6">
        <f t="shared" si="11"/>
        <v>28.295208555326422</v>
      </c>
      <c r="T97" s="12">
        <v>4.0919999999999996</v>
      </c>
      <c r="U97" s="14">
        <f>O97*'1-Specification &amp; Data'!B$14*0.9</f>
        <v>-54.08695988863613</v>
      </c>
    </row>
    <row r="98" spans="2:21" x14ac:dyDescent="0.25">
      <c r="C98" s="6">
        <f t="shared" si="16"/>
        <v>96</v>
      </c>
      <c r="D98" s="6">
        <v>19.8</v>
      </c>
      <c r="E98" s="12">
        <f t="shared" si="12"/>
        <v>31.864958380644989</v>
      </c>
      <c r="F98" s="12">
        <f t="shared" si="17"/>
        <v>8.851377327956941</v>
      </c>
      <c r="G98" s="13">
        <f t="shared" si="18"/>
        <v>770.96390605022896</v>
      </c>
      <c r="H98" s="12">
        <f t="shared" si="19"/>
        <v>8.8960812538557121</v>
      </c>
      <c r="I98" s="12">
        <f t="shared" si="20"/>
        <v>-8.9407851797545845E-2</v>
      </c>
      <c r="J98" s="6">
        <f t="shared" si="21"/>
        <v>2</v>
      </c>
      <c r="K98" s="6">
        <v>0</v>
      </c>
      <c r="L98" s="12">
        <f>('1-Specification &amp; Data'!B$22*'1-Specification &amp; Data'!B$10*'1-Specification &amp; Data'!B$20*('1-Simulation'!F98^2-'1-Specification &amp; Data'!B$21^2))/2</f>
        <v>34.49501233573578</v>
      </c>
      <c r="M98" s="6">
        <f t="shared" si="13"/>
        <v>-63.020802209110848</v>
      </c>
      <c r="N98" s="12">
        <f>'1-Specification &amp; Data'!B$23*'1-Specification &amp; Data'!B$18*8.91</f>
        <v>76.055205797999989</v>
      </c>
      <c r="O98" s="12">
        <f t="shared" si="14"/>
        <v>47.529415924624921</v>
      </c>
      <c r="P98" s="14">
        <f t="shared" si="15"/>
        <v>47.529415924624921</v>
      </c>
      <c r="Q98" s="12">
        <f>IF(J98=1,'1-Specification &amp; Data'!B$52,IF('1-Simulation'!J98=2,'1-Specification &amp; Data'!B$53,IF('1-Simulation'!J98=3,'1-Specification &amp; Data'!B$54)))</f>
        <v>704.8687664682343</v>
      </c>
      <c r="R98" s="12">
        <f>(0.5*'1-Specification &amp; Data'!B$18*'1-Simulation'!F98^2)/1000</f>
        <v>25.721696140061162</v>
      </c>
      <c r="S98" s="6">
        <f t="shared" si="11"/>
        <v>28.295208555326422</v>
      </c>
      <c r="T98" s="12">
        <v>4.0919999999999996</v>
      </c>
      <c r="U98" s="14">
        <f>O98*'1-Specification &amp; Data'!B$14*0.9</f>
        <v>12.613575764611999</v>
      </c>
    </row>
    <row r="99" spans="2:21" x14ac:dyDescent="0.25">
      <c r="C99" s="6">
        <f t="shared" si="16"/>
        <v>97</v>
      </c>
      <c r="D99" s="6">
        <v>19</v>
      </c>
      <c r="E99" s="12">
        <f t="shared" si="12"/>
        <v>30.577485314760342</v>
      </c>
      <c r="F99" s="12">
        <f t="shared" si="17"/>
        <v>8.4937459207667612</v>
      </c>
      <c r="G99" s="13">
        <f t="shared" si="18"/>
        <v>779.63646767459079</v>
      </c>
      <c r="H99" s="12">
        <f t="shared" si="19"/>
        <v>8.6725616243618511</v>
      </c>
      <c r="I99" s="12">
        <f t="shared" si="20"/>
        <v>-0.35763140719017983</v>
      </c>
      <c r="J99" s="6">
        <f t="shared" si="21"/>
        <v>2</v>
      </c>
      <c r="K99" s="6">
        <v>0</v>
      </c>
      <c r="L99" s="12">
        <f>('1-Specification &amp; Data'!B$22*'1-Specification &amp; Data'!B$10*'1-Specification &amp; Data'!B$20*('1-Simulation'!F99^2-'1-Specification &amp; Data'!B$21^2))/2</f>
        <v>31.578745455024336</v>
      </c>
      <c r="M99" s="6">
        <f t="shared" si="13"/>
        <v>-252.08320883644086</v>
      </c>
      <c r="N99" s="12">
        <f>'1-Specification &amp; Data'!B$23*'1-Specification &amp; Data'!B$18*8.91</f>
        <v>76.055205797999989</v>
      </c>
      <c r="O99" s="12">
        <f t="shared" si="14"/>
        <v>-144.44925758341651</v>
      </c>
      <c r="P99" s="14">
        <f t="shared" si="15"/>
        <v>144.44925758341651</v>
      </c>
      <c r="Q99" s="12">
        <f>IF(J99=1,'1-Specification &amp; Data'!B$52,IF('1-Simulation'!J99=2,'1-Specification &amp; Data'!B$53,IF('1-Simulation'!J99=3,'1-Specification &amp; Data'!B$54)))</f>
        <v>704.8687664682343</v>
      </c>
      <c r="R99" s="12">
        <f>(0.5*'1-Specification &amp; Data'!B$18*'1-Simulation'!F99^2)/1000</f>
        <v>23.685165561070498</v>
      </c>
      <c r="S99" s="6">
        <f t="shared" si="11"/>
        <v>28.295208555326422</v>
      </c>
      <c r="T99" s="12">
        <v>4.0919999999999996</v>
      </c>
      <c r="U99" s="14">
        <f>O99*'1-Specification &amp; Data'!B$14*0.9</f>
        <v>-38.334610666368235</v>
      </c>
    </row>
    <row r="100" spans="2:21" x14ac:dyDescent="0.25">
      <c r="C100" s="6">
        <f t="shared" si="16"/>
        <v>98</v>
      </c>
      <c r="D100" s="6">
        <v>18</v>
      </c>
      <c r="E100" s="12">
        <f t="shared" si="12"/>
        <v>28.968143982404534</v>
      </c>
      <c r="F100" s="12">
        <f t="shared" si="17"/>
        <v>8.0467066617790373</v>
      </c>
      <c r="G100" s="13">
        <f t="shared" si="18"/>
        <v>787.90669396586372</v>
      </c>
      <c r="H100" s="12">
        <f t="shared" si="19"/>
        <v>8.2702262912728983</v>
      </c>
      <c r="I100" s="12">
        <f t="shared" si="20"/>
        <v>-0.44703925898772567</v>
      </c>
      <c r="J100" s="6">
        <f t="shared" si="21"/>
        <v>2</v>
      </c>
      <c r="K100" s="6">
        <v>0</v>
      </c>
      <c r="L100" s="12">
        <f>('1-Specification &amp; Data'!B$22*'1-Specification &amp; Data'!B$10*'1-Specification &amp; Data'!B$20*('1-Simulation'!F100^2-'1-Specification &amp; Data'!B$21^2))/2</f>
        <v>28.102525268609277</v>
      </c>
      <c r="M100" s="6">
        <f t="shared" si="13"/>
        <v>-315.10401104555172</v>
      </c>
      <c r="N100" s="12">
        <f>'1-Specification &amp; Data'!B$23*'1-Specification &amp; Data'!B$18*8.91</f>
        <v>76.055205797999989</v>
      </c>
      <c r="O100" s="12">
        <f t="shared" si="14"/>
        <v>-210.94627997894247</v>
      </c>
      <c r="P100" s="14">
        <f t="shared" si="15"/>
        <v>210.94627997894247</v>
      </c>
      <c r="Q100" s="12">
        <f>IF(J100=1,'1-Specification &amp; Data'!B$52,IF('1-Simulation'!J100=2,'1-Specification &amp; Data'!B$53,IF('1-Simulation'!J100=3,'1-Specification &amp; Data'!B$54)))</f>
        <v>704.8687664682343</v>
      </c>
      <c r="R100" s="12">
        <f>(0.5*'1-Specification &amp; Data'!B$18*'1-Simulation'!F100^2)/1000</f>
        <v>21.257600115753025</v>
      </c>
      <c r="S100" s="6">
        <f t="shared" si="11"/>
        <v>28.295208555326422</v>
      </c>
      <c r="T100" s="12">
        <v>4.0919999999999996</v>
      </c>
      <c r="U100" s="14">
        <f>O100*'1-Specification &amp; Data'!B$14*0.9</f>
        <v>-55.981897379027046</v>
      </c>
    </row>
    <row r="101" spans="2:21" x14ac:dyDescent="0.25">
      <c r="C101" s="6">
        <f t="shared" si="16"/>
        <v>99</v>
      </c>
      <c r="D101" s="6">
        <v>16.5</v>
      </c>
      <c r="E101" s="12">
        <f t="shared" si="12"/>
        <v>26.554131983870821</v>
      </c>
      <c r="F101" s="12">
        <f t="shared" si="17"/>
        <v>7.3761477732974505</v>
      </c>
      <c r="G101" s="13">
        <f t="shared" si="18"/>
        <v>795.61812118340197</v>
      </c>
      <c r="H101" s="12">
        <f t="shared" si="19"/>
        <v>7.7114272175382439</v>
      </c>
      <c r="I101" s="12">
        <f t="shared" si="20"/>
        <v>-0.67055888848158673</v>
      </c>
      <c r="J101" s="6">
        <f t="shared" si="21"/>
        <v>2</v>
      </c>
      <c r="K101" s="6">
        <v>0</v>
      </c>
      <c r="L101" s="12">
        <f>('1-Specification &amp; Data'!B$22*'1-Specification &amp; Data'!B$10*'1-Specification &amp; Data'!B$20*('1-Simulation'!F101^2-'1-Specification &amp; Data'!B$21^2))/2</f>
        <v>23.240514602474704</v>
      </c>
      <c r="M101" s="6">
        <f t="shared" si="13"/>
        <v>-472.65601656832632</v>
      </c>
      <c r="N101" s="12">
        <f>'1-Specification &amp; Data'!B$23*'1-Specification &amp; Data'!B$18*8.91</f>
        <v>76.055205797999989</v>
      </c>
      <c r="O101" s="12">
        <f t="shared" si="14"/>
        <v>-373.36029616785163</v>
      </c>
      <c r="P101" s="14">
        <f t="shared" si="15"/>
        <v>373.36029616785163</v>
      </c>
      <c r="Q101" s="12">
        <f>IF(J101=1,'1-Specification &amp; Data'!B$52,IF('1-Simulation'!J101=2,'1-Specification &amp; Data'!B$53,IF('1-Simulation'!J101=3,'1-Specification &amp; Data'!B$54)))</f>
        <v>704.8687664682343</v>
      </c>
      <c r="R101" s="12">
        <f>(0.5*'1-Specification &amp; Data'!B$18*'1-Simulation'!F101^2)/1000</f>
        <v>17.86228898615358</v>
      </c>
      <c r="S101" s="6">
        <f t="shared" si="11"/>
        <v>28.295208555326422</v>
      </c>
      <c r="T101" s="12">
        <v>4.0919999999999996</v>
      </c>
      <c r="U101" s="14">
        <f>O101*'1-Specification &amp; Data'!B$14*0.9</f>
        <v>-99.0840785983914</v>
      </c>
    </row>
    <row r="102" spans="2:21" x14ac:dyDescent="0.25">
      <c r="C102" s="6">
        <f t="shared" si="16"/>
        <v>100</v>
      </c>
      <c r="D102" s="6">
        <v>15</v>
      </c>
      <c r="E102" s="12">
        <f t="shared" si="12"/>
        <v>24.140119985337112</v>
      </c>
      <c r="F102" s="12">
        <f t="shared" si="17"/>
        <v>6.7055888848158638</v>
      </c>
      <c r="G102" s="13">
        <f t="shared" si="18"/>
        <v>802.65898951245867</v>
      </c>
      <c r="H102" s="12">
        <f t="shared" si="19"/>
        <v>7.0408683290566572</v>
      </c>
      <c r="I102" s="12">
        <f t="shared" si="20"/>
        <v>-0.67055888848158673</v>
      </c>
      <c r="J102" s="6">
        <f t="shared" si="21"/>
        <v>2</v>
      </c>
      <c r="K102" s="6">
        <v>0</v>
      </c>
      <c r="L102" s="12">
        <f>('1-Specification &amp; Data'!B$22*'1-Specification &amp; Data'!B$10*'1-Specification &amp; Data'!B$20*('1-Simulation'!F102^2-'1-Specification &amp; Data'!B$21^2))/2</f>
        <v>18.801287472525743</v>
      </c>
      <c r="M102" s="6">
        <f t="shared" si="13"/>
        <v>-472.65601656832632</v>
      </c>
      <c r="N102" s="12">
        <f>'1-Specification &amp; Data'!B$23*'1-Specification &amp; Data'!B$18*8.91</f>
        <v>76.055205797999989</v>
      </c>
      <c r="O102" s="12">
        <f t="shared" si="14"/>
        <v>-377.79952329780059</v>
      </c>
      <c r="P102" s="14">
        <f t="shared" si="15"/>
        <v>377.79952329780059</v>
      </c>
      <c r="Q102" s="12">
        <f>IF(J102=1,'1-Specification &amp; Data'!B$52,IF('1-Simulation'!J102=2,'1-Specification &amp; Data'!B$53,IF('1-Simulation'!J102=3,'1-Specification &amp; Data'!B$54)))</f>
        <v>704.8687664682343</v>
      </c>
      <c r="R102" s="12">
        <f>(0.5*'1-Specification &amp; Data'!B$18*'1-Simulation'!F102^2)/1000</f>
        <v>14.762222302606265</v>
      </c>
      <c r="S102" s="6">
        <f t="shared" si="11"/>
        <v>28.295208555326422</v>
      </c>
      <c r="T102" s="12">
        <v>4.0919999999999996</v>
      </c>
      <c r="U102" s="14">
        <f>O102*'1-Specification &amp; Data'!B$14*0.9</f>
        <v>-100.26218118287785</v>
      </c>
    </row>
    <row r="103" spans="2:21" x14ac:dyDescent="0.25">
      <c r="B103" s="17" t="s">
        <v>102</v>
      </c>
      <c r="C103" s="6">
        <f t="shared" si="16"/>
        <v>101</v>
      </c>
      <c r="D103" s="6">
        <v>14.5</v>
      </c>
      <c r="E103" s="12">
        <f t="shared" si="12"/>
        <v>23.335449319159206</v>
      </c>
      <c r="F103" s="12">
        <f t="shared" si="17"/>
        <v>6.4820692553220018</v>
      </c>
      <c r="G103" s="13">
        <f t="shared" si="18"/>
        <v>809.25281858252765</v>
      </c>
      <c r="H103" s="12">
        <f t="shared" si="19"/>
        <v>6.5938290700689333</v>
      </c>
      <c r="I103" s="12">
        <f t="shared" si="20"/>
        <v>-0.22351962949386106</v>
      </c>
      <c r="J103" s="6">
        <f t="shared" si="21"/>
        <v>2</v>
      </c>
      <c r="K103" s="6">
        <v>0</v>
      </c>
      <c r="L103" s="12">
        <f>('1-Specification &amp; Data'!B$22*'1-Specification &amp; Data'!B$10*'1-Specification &amp; Data'!B$20*('1-Simulation'!F103^2-'1-Specification &amp; Data'!B$21^2))/2</f>
        <v>17.415496992806233</v>
      </c>
      <c r="M103" s="6">
        <f t="shared" si="13"/>
        <v>-157.55200552277461</v>
      </c>
      <c r="N103" s="12">
        <f>'1-Specification &amp; Data'!B$23*'1-Specification &amp; Data'!B$18*8.91</f>
        <v>76.055205797999989</v>
      </c>
      <c r="O103" s="12">
        <f t="shared" si="14"/>
        <v>-64.081302731968393</v>
      </c>
      <c r="P103" s="14">
        <f t="shared" si="15"/>
        <v>64.081302731968393</v>
      </c>
      <c r="Q103" s="12">
        <f>IF(J103=1,'1-Specification &amp; Data'!B$52,IF('1-Simulation'!J103=2,'1-Specification &amp; Data'!B$53,IF('1-Simulation'!J103=3,'1-Specification &amp; Data'!B$54)))</f>
        <v>704.8687664682343</v>
      </c>
      <c r="R103" s="12">
        <f>(0.5*'1-Specification &amp; Data'!B$18*'1-Simulation'!F103^2)/1000</f>
        <v>13.7944766183243</v>
      </c>
      <c r="S103" s="6">
        <f t="shared" si="11"/>
        <v>28.295208555326422</v>
      </c>
      <c r="T103" s="12">
        <v>4.0919999999999996</v>
      </c>
      <c r="U103" s="14">
        <f>O103*'1-Specification &amp; Data'!B$14*0.9</f>
        <v>-17.006191878868538</v>
      </c>
    </row>
    <row r="104" spans="2:21" x14ac:dyDescent="0.25">
      <c r="C104" s="6">
        <f t="shared" si="16"/>
        <v>102</v>
      </c>
      <c r="D104" s="6">
        <v>14.5</v>
      </c>
      <c r="E104" s="12">
        <f t="shared" si="12"/>
        <v>23.335449319159206</v>
      </c>
      <c r="F104" s="12">
        <f t="shared" si="17"/>
        <v>6.4820692553220018</v>
      </c>
      <c r="G104" s="13">
        <f t="shared" si="18"/>
        <v>815.73488783784967</v>
      </c>
      <c r="H104" s="12">
        <f t="shared" si="19"/>
        <v>6.4820692553220018</v>
      </c>
      <c r="I104" s="12">
        <f t="shared" si="20"/>
        <v>0</v>
      </c>
      <c r="J104" s="6">
        <f t="shared" si="21"/>
        <v>2</v>
      </c>
      <c r="K104" s="6">
        <v>0</v>
      </c>
      <c r="L104" s="12">
        <f>('1-Specification &amp; Data'!B$22*'1-Specification &amp; Data'!B$10*'1-Specification &amp; Data'!B$20*('1-Simulation'!F104^2-'1-Specification &amp; Data'!B$21^2))/2</f>
        <v>17.415496992806233</v>
      </c>
      <c r="M104" s="6">
        <f t="shared" si="13"/>
        <v>0</v>
      </c>
      <c r="N104" s="12">
        <f>'1-Specification &amp; Data'!B$23*'1-Specification &amp; Data'!B$18*8.91</f>
        <v>76.055205797999989</v>
      </c>
      <c r="O104" s="12">
        <f t="shared" si="14"/>
        <v>93.470702790806229</v>
      </c>
      <c r="P104" s="14">
        <f t="shared" si="15"/>
        <v>93.470702790806229</v>
      </c>
      <c r="Q104" s="12">
        <f>IF(J104=1,'1-Specification &amp; Data'!B$52,IF('1-Simulation'!J104=2,'1-Specification &amp; Data'!B$53,IF('1-Simulation'!J104=3,'1-Specification &amp; Data'!B$54)))</f>
        <v>704.8687664682343</v>
      </c>
      <c r="R104" s="12">
        <f>(0.5*'1-Specification &amp; Data'!B$18*'1-Simulation'!F104^2)/1000</f>
        <v>13.7944766183243</v>
      </c>
      <c r="S104" s="6">
        <f t="shared" si="11"/>
        <v>28.295208555326422</v>
      </c>
      <c r="T104" s="12">
        <v>4.0919999999999996</v>
      </c>
      <c r="U104" s="14">
        <f>O104*'1-Specification &amp; Data'!B$14*0.9</f>
        <v>24.805686509867808</v>
      </c>
    </row>
    <row r="105" spans="2:21" x14ac:dyDescent="0.25">
      <c r="C105" s="6">
        <f t="shared" si="16"/>
        <v>103</v>
      </c>
      <c r="D105" s="6">
        <v>14.5</v>
      </c>
      <c r="E105" s="12">
        <f t="shared" si="12"/>
        <v>23.335449319159206</v>
      </c>
      <c r="F105" s="12">
        <f t="shared" si="17"/>
        <v>6.4820692553220018</v>
      </c>
      <c r="G105" s="13">
        <f t="shared" si="18"/>
        <v>822.21695709317169</v>
      </c>
      <c r="H105" s="12">
        <f t="shared" si="19"/>
        <v>6.4820692553220018</v>
      </c>
      <c r="I105" s="12">
        <f t="shared" si="20"/>
        <v>0</v>
      </c>
      <c r="J105" s="6">
        <f t="shared" si="21"/>
        <v>2</v>
      </c>
      <c r="K105" s="6">
        <v>0</v>
      </c>
      <c r="L105" s="12">
        <f>('1-Specification &amp; Data'!B$22*'1-Specification &amp; Data'!B$10*'1-Specification &amp; Data'!B$20*('1-Simulation'!F105^2-'1-Specification &amp; Data'!B$21^2))/2</f>
        <v>17.415496992806233</v>
      </c>
      <c r="M105" s="6">
        <f t="shared" si="13"/>
        <v>0</v>
      </c>
      <c r="N105" s="12">
        <f>'1-Specification &amp; Data'!B$23*'1-Specification &amp; Data'!B$18*8.91</f>
        <v>76.055205797999989</v>
      </c>
      <c r="O105" s="12">
        <f t="shared" si="14"/>
        <v>93.470702790806229</v>
      </c>
      <c r="P105" s="14">
        <f t="shared" si="15"/>
        <v>93.470702790806229</v>
      </c>
      <c r="Q105" s="12">
        <f>IF(J105=1,'1-Specification &amp; Data'!B$52,IF('1-Simulation'!J105=2,'1-Specification &amp; Data'!B$53,IF('1-Simulation'!J105=3,'1-Specification &amp; Data'!B$54)))</f>
        <v>704.8687664682343</v>
      </c>
      <c r="R105" s="12">
        <f>(0.5*'1-Specification &amp; Data'!B$18*'1-Simulation'!F105^2)/1000</f>
        <v>13.7944766183243</v>
      </c>
      <c r="S105" s="6">
        <f t="shared" si="11"/>
        <v>28.295208555326422</v>
      </c>
      <c r="T105" s="12">
        <v>4.0919999999999996</v>
      </c>
      <c r="U105" s="14">
        <f>O105*'1-Specification &amp; Data'!B$14*0.9</f>
        <v>24.805686509867808</v>
      </c>
    </row>
    <row r="106" spans="2:21" x14ac:dyDescent="0.25">
      <c r="C106" s="6">
        <f t="shared" si="16"/>
        <v>104</v>
      </c>
      <c r="D106" s="6">
        <v>14.5</v>
      </c>
      <c r="E106" s="12">
        <f t="shared" si="12"/>
        <v>23.335449319159206</v>
      </c>
      <c r="F106" s="12">
        <f t="shared" si="17"/>
        <v>6.4820692553220018</v>
      </c>
      <c r="G106" s="13">
        <f t="shared" si="18"/>
        <v>828.6990263484937</v>
      </c>
      <c r="H106" s="12">
        <f t="shared" si="19"/>
        <v>6.4820692553220018</v>
      </c>
      <c r="I106" s="12">
        <f t="shared" si="20"/>
        <v>0</v>
      </c>
      <c r="J106" s="6">
        <f t="shared" si="21"/>
        <v>2</v>
      </c>
      <c r="K106" s="6">
        <v>0</v>
      </c>
      <c r="L106" s="12">
        <f>('1-Specification &amp; Data'!B$22*'1-Specification &amp; Data'!B$10*'1-Specification &amp; Data'!B$20*('1-Simulation'!F106^2-'1-Specification &amp; Data'!B$21^2))/2</f>
        <v>17.415496992806233</v>
      </c>
      <c r="M106" s="6">
        <f t="shared" si="13"/>
        <v>0</v>
      </c>
      <c r="N106" s="12">
        <f>'1-Specification &amp; Data'!B$23*'1-Specification &amp; Data'!B$18*8.91</f>
        <v>76.055205797999989</v>
      </c>
      <c r="O106" s="12">
        <f t="shared" si="14"/>
        <v>93.470702790806229</v>
      </c>
      <c r="P106" s="14">
        <f t="shared" si="15"/>
        <v>93.470702790806229</v>
      </c>
      <c r="Q106" s="12">
        <f>IF(J106=1,'1-Specification &amp; Data'!B$52,IF('1-Simulation'!J106=2,'1-Specification &amp; Data'!B$53,IF('1-Simulation'!J106=3,'1-Specification &amp; Data'!B$54)))</f>
        <v>704.8687664682343</v>
      </c>
      <c r="R106" s="12">
        <f>(0.5*'1-Specification &amp; Data'!B$18*'1-Simulation'!F106^2)/1000</f>
        <v>13.7944766183243</v>
      </c>
      <c r="S106" s="6">
        <f t="shared" si="11"/>
        <v>28.295208555326422</v>
      </c>
      <c r="T106" s="12">
        <v>4.0919999999999996</v>
      </c>
      <c r="U106" s="14">
        <f>O106*'1-Specification &amp; Data'!B$14*0.9</f>
        <v>24.805686509867808</v>
      </c>
    </row>
    <row r="107" spans="2:21" x14ac:dyDescent="0.25">
      <c r="C107" s="6">
        <f t="shared" si="16"/>
        <v>105</v>
      </c>
      <c r="D107" s="6">
        <v>14.5</v>
      </c>
      <c r="E107" s="12">
        <f t="shared" si="12"/>
        <v>23.335449319159206</v>
      </c>
      <c r="F107" s="12">
        <f t="shared" si="17"/>
        <v>6.4820692553220018</v>
      </c>
      <c r="G107" s="13">
        <f t="shared" si="18"/>
        <v>835.18109560381572</v>
      </c>
      <c r="H107" s="12">
        <f t="shared" si="19"/>
        <v>6.4820692553220018</v>
      </c>
      <c r="I107" s="12">
        <f t="shared" si="20"/>
        <v>0</v>
      </c>
      <c r="J107" s="6">
        <f t="shared" si="21"/>
        <v>2</v>
      </c>
      <c r="K107" s="6">
        <v>0</v>
      </c>
      <c r="L107" s="12">
        <f>('1-Specification &amp; Data'!B$22*'1-Specification &amp; Data'!B$10*'1-Specification &amp; Data'!B$20*('1-Simulation'!F107^2-'1-Specification &amp; Data'!B$21^2))/2</f>
        <v>17.415496992806233</v>
      </c>
      <c r="M107" s="6">
        <f t="shared" si="13"/>
        <v>0</v>
      </c>
      <c r="N107" s="12">
        <f>'1-Specification &amp; Data'!B$23*'1-Specification &amp; Data'!B$18*8.91</f>
        <v>76.055205797999989</v>
      </c>
      <c r="O107" s="12">
        <f t="shared" si="14"/>
        <v>93.470702790806229</v>
      </c>
      <c r="P107" s="14">
        <f t="shared" si="15"/>
        <v>93.470702790806229</v>
      </c>
      <c r="Q107" s="12">
        <f>IF(J107=1,'1-Specification &amp; Data'!B$52,IF('1-Simulation'!J107=2,'1-Specification &amp; Data'!B$53,IF('1-Simulation'!J107=3,'1-Specification &amp; Data'!B$54)))</f>
        <v>704.8687664682343</v>
      </c>
      <c r="R107" s="12">
        <f>(0.5*'1-Specification &amp; Data'!B$18*'1-Simulation'!F107^2)/1000</f>
        <v>13.7944766183243</v>
      </c>
      <c r="S107" s="6">
        <f t="shared" si="11"/>
        <v>28.295208555326422</v>
      </c>
      <c r="T107" s="12">
        <v>4.0919999999999996</v>
      </c>
      <c r="U107" s="14">
        <f>O107*'1-Specification &amp; Data'!B$14*0.9</f>
        <v>24.805686509867808</v>
      </c>
    </row>
    <row r="108" spans="2:21" x14ac:dyDescent="0.25">
      <c r="C108" s="6">
        <f t="shared" si="16"/>
        <v>106</v>
      </c>
      <c r="D108" s="6">
        <v>14.5</v>
      </c>
      <c r="E108" s="12">
        <f t="shared" si="12"/>
        <v>23.335449319159206</v>
      </c>
      <c r="F108" s="12">
        <f t="shared" si="17"/>
        <v>6.4820692553220018</v>
      </c>
      <c r="G108" s="13">
        <f t="shared" si="18"/>
        <v>841.66316485913774</v>
      </c>
      <c r="H108" s="12">
        <f t="shared" si="19"/>
        <v>6.4820692553220018</v>
      </c>
      <c r="I108" s="12">
        <f t="shared" si="20"/>
        <v>0</v>
      </c>
      <c r="J108" s="6">
        <f t="shared" si="21"/>
        <v>2</v>
      </c>
      <c r="K108" s="6">
        <v>0</v>
      </c>
      <c r="L108" s="12">
        <f>('1-Specification &amp; Data'!B$22*'1-Specification &amp; Data'!B$10*'1-Specification &amp; Data'!B$20*('1-Simulation'!F108^2-'1-Specification &amp; Data'!B$21^2))/2</f>
        <v>17.415496992806233</v>
      </c>
      <c r="M108" s="6">
        <f t="shared" si="13"/>
        <v>0</v>
      </c>
      <c r="N108" s="12">
        <f>'1-Specification &amp; Data'!B$23*'1-Specification &amp; Data'!B$18*8.91</f>
        <v>76.055205797999989</v>
      </c>
      <c r="O108" s="12">
        <f t="shared" si="14"/>
        <v>93.470702790806229</v>
      </c>
      <c r="P108" s="14">
        <f t="shared" si="15"/>
        <v>93.470702790806229</v>
      </c>
      <c r="Q108" s="12">
        <f>IF(J108=1,'1-Specification &amp; Data'!B$52,IF('1-Simulation'!J108=2,'1-Specification &amp; Data'!B$53,IF('1-Simulation'!J108=3,'1-Specification &amp; Data'!B$54)))</f>
        <v>704.8687664682343</v>
      </c>
      <c r="R108" s="12">
        <f>(0.5*'1-Specification &amp; Data'!B$18*'1-Simulation'!F108^2)/1000</f>
        <v>13.7944766183243</v>
      </c>
      <c r="S108" s="6">
        <f t="shared" si="11"/>
        <v>28.295208555326422</v>
      </c>
      <c r="T108" s="12">
        <v>4.0919999999999996</v>
      </c>
      <c r="U108" s="14">
        <f>O108*'1-Specification &amp; Data'!B$14*0.9</f>
        <v>24.805686509867808</v>
      </c>
    </row>
    <row r="109" spans="2:21" x14ac:dyDescent="0.25">
      <c r="C109" s="6">
        <f t="shared" si="16"/>
        <v>107</v>
      </c>
      <c r="D109" s="6">
        <v>14.5</v>
      </c>
      <c r="E109" s="12">
        <f t="shared" si="12"/>
        <v>23.335449319159206</v>
      </c>
      <c r="F109" s="12">
        <f t="shared" si="17"/>
        <v>6.4820692553220018</v>
      </c>
      <c r="G109" s="13">
        <f t="shared" si="18"/>
        <v>848.14523411445975</v>
      </c>
      <c r="H109" s="12">
        <f t="shared" si="19"/>
        <v>6.4820692553220018</v>
      </c>
      <c r="I109" s="12">
        <f t="shared" si="20"/>
        <v>0</v>
      </c>
      <c r="J109" s="6">
        <f t="shared" si="21"/>
        <v>2</v>
      </c>
      <c r="K109" s="6">
        <v>0</v>
      </c>
      <c r="L109" s="12">
        <f>('1-Specification &amp; Data'!B$22*'1-Specification &amp; Data'!B$10*'1-Specification &amp; Data'!B$20*('1-Simulation'!F109^2-'1-Specification &amp; Data'!B$21^2))/2</f>
        <v>17.415496992806233</v>
      </c>
      <c r="M109" s="6">
        <f t="shared" si="13"/>
        <v>0</v>
      </c>
      <c r="N109" s="12">
        <f>'1-Specification &amp; Data'!B$23*'1-Specification &amp; Data'!B$18*8.91</f>
        <v>76.055205797999989</v>
      </c>
      <c r="O109" s="12">
        <f t="shared" si="14"/>
        <v>93.470702790806229</v>
      </c>
      <c r="P109" s="14">
        <f t="shared" si="15"/>
        <v>93.470702790806229</v>
      </c>
      <c r="Q109" s="12">
        <f>IF(J109=1,'1-Specification &amp; Data'!B$52,IF('1-Simulation'!J109=2,'1-Specification &amp; Data'!B$53,IF('1-Simulation'!J109=3,'1-Specification &amp; Data'!B$54)))</f>
        <v>704.8687664682343</v>
      </c>
      <c r="R109" s="12">
        <f>(0.5*'1-Specification &amp; Data'!B$18*'1-Simulation'!F109^2)/1000</f>
        <v>13.7944766183243</v>
      </c>
      <c r="S109" s="6">
        <f t="shared" si="11"/>
        <v>28.295208555326422</v>
      </c>
      <c r="T109" s="12">
        <v>4.0919999999999996</v>
      </c>
      <c r="U109" s="14">
        <f>O109*'1-Specification &amp; Data'!B$14*0.9</f>
        <v>24.805686509867808</v>
      </c>
    </row>
    <row r="110" spans="2:21" x14ac:dyDescent="0.25">
      <c r="C110" s="6">
        <f t="shared" si="16"/>
        <v>108</v>
      </c>
      <c r="D110" s="6">
        <v>14.5</v>
      </c>
      <c r="E110" s="12">
        <f t="shared" si="12"/>
        <v>23.335449319159206</v>
      </c>
      <c r="F110" s="12">
        <f t="shared" si="17"/>
        <v>6.4820692553220018</v>
      </c>
      <c r="G110" s="13">
        <f t="shared" si="18"/>
        <v>854.62730336978177</v>
      </c>
      <c r="H110" s="12">
        <f t="shared" si="19"/>
        <v>6.4820692553220018</v>
      </c>
      <c r="I110" s="12">
        <f t="shared" si="20"/>
        <v>0</v>
      </c>
      <c r="J110" s="6">
        <f t="shared" si="21"/>
        <v>2</v>
      </c>
      <c r="K110" s="6">
        <v>0</v>
      </c>
      <c r="L110" s="12">
        <f>('1-Specification &amp; Data'!B$22*'1-Specification &amp; Data'!B$10*'1-Specification &amp; Data'!B$20*('1-Simulation'!F110^2-'1-Specification &amp; Data'!B$21^2))/2</f>
        <v>17.415496992806233</v>
      </c>
      <c r="M110" s="6">
        <f t="shared" si="13"/>
        <v>0</v>
      </c>
      <c r="N110" s="12">
        <f>'1-Specification &amp; Data'!B$23*'1-Specification &amp; Data'!B$18*8.91</f>
        <v>76.055205797999989</v>
      </c>
      <c r="O110" s="12">
        <f t="shared" si="14"/>
        <v>93.470702790806229</v>
      </c>
      <c r="P110" s="14">
        <f t="shared" si="15"/>
        <v>93.470702790806229</v>
      </c>
      <c r="Q110" s="12">
        <f>IF(J110=1,'1-Specification &amp; Data'!B$52,IF('1-Simulation'!J110=2,'1-Specification &amp; Data'!B$53,IF('1-Simulation'!J110=3,'1-Specification &amp; Data'!B$54)))</f>
        <v>704.8687664682343</v>
      </c>
      <c r="R110" s="12">
        <f>(0.5*'1-Specification &amp; Data'!B$18*'1-Simulation'!F110^2)/1000</f>
        <v>13.7944766183243</v>
      </c>
      <c r="S110" s="6">
        <f t="shared" si="11"/>
        <v>28.295208555326422</v>
      </c>
      <c r="T110" s="12">
        <v>4.0919999999999996</v>
      </c>
      <c r="U110" s="14">
        <f>O110*'1-Specification &amp; Data'!B$14*0.9</f>
        <v>24.805686509867808</v>
      </c>
    </row>
    <row r="111" spans="2:21" x14ac:dyDescent="0.25">
      <c r="C111" s="6">
        <f t="shared" si="16"/>
        <v>109</v>
      </c>
      <c r="D111" s="6">
        <v>14.5</v>
      </c>
      <c r="E111" s="12">
        <f t="shared" si="12"/>
        <v>23.335449319159206</v>
      </c>
      <c r="F111" s="12">
        <f t="shared" si="17"/>
        <v>6.4820692553220018</v>
      </c>
      <c r="G111" s="13">
        <f t="shared" si="18"/>
        <v>861.10937262510379</v>
      </c>
      <c r="H111" s="12">
        <f t="shared" si="19"/>
        <v>6.4820692553220018</v>
      </c>
      <c r="I111" s="12">
        <f t="shared" si="20"/>
        <v>0</v>
      </c>
      <c r="J111" s="6">
        <f t="shared" si="21"/>
        <v>2</v>
      </c>
      <c r="K111" s="6">
        <v>0</v>
      </c>
      <c r="L111" s="12">
        <f>('1-Specification &amp; Data'!B$22*'1-Specification &amp; Data'!B$10*'1-Specification &amp; Data'!B$20*('1-Simulation'!F111^2-'1-Specification &amp; Data'!B$21^2))/2</f>
        <v>17.415496992806233</v>
      </c>
      <c r="M111" s="6">
        <f t="shared" si="13"/>
        <v>0</v>
      </c>
      <c r="N111" s="12">
        <f>'1-Specification &amp; Data'!B$23*'1-Specification &amp; Data'!B$18*8.91</f>
        <v>76.055205797999989</v>
      </c>
      <c r="O111" s="12">
        <f t="shared" si="14"/>
        <v>93.470702790806229</v>
      </c>
      <c r="P111" s="14">
        <f t="shared" si="15"/>
        <v>93.470702790806229</v>
      </c>
      <c r="Q111" s="12">
        <f>IF(J111=1,'1-Specification &amp; Data'!B$52,IF('1-Simulation'!J111=2,'1-Specification &amp; Data'!B$53,IF('1-Simulation'!J111=3,'1-Specification &amp; Data'!B$54)))</f>
        <v>704.8687664682343</v>
      </c>
      <c r="R111" s="12">
        <f>(0.5*'1-Specification &amp; Data'!B$18*'1-Simulation'!F111^2)/1000</f>
        <v>13.7944766183243</v>
      </c>
      <c r="S111" s="6">
        <f t="shared" si="11"/>
        <v>28.295208555326422</v>
      </c>
      <c r="T111" s="12">
        <v>4.0919999999999996</v>
      </c>
      <c r="U111" s="14">
        <f>O111*'1-Specification &amp; Data'!B$14*0.9</f>
        <v>24.805686509867808</v>
      </c>
    </row>
    <row r="112" spans="2:21" x14ac:dyDescent="0.25">
      <c r="B112" s="17" t="s">
        <v>103</v>
      </c>
      <c r="C112" s="6">
        <f t="shared" si="16"/>
        <v>110</v>
      </c>
      <c r="D112" s="6">
        <v>14.5</v>
      </c>
      <c r="E112" s="12">
        <f t="shared" si="12"/>
        <v>23.335449319159206</v>
      </c>
      <c r="F112" s="12">
        <f t="shared" si="17"/>
        <v>6.4820692553220018</v>
      </c>
      <c r="G112" s="13">
        <f t="shared" si="18"/>
        <v>867.5914418804258</v>
      </c>
      <c r="H112" s="12">
        <f t="shared" si="19"/>
        <v>6.4820692553220018</v>
      </c>
      <c r="I112" s="12">
        <f t="shared" si="20"/>
        <v>0</v>
      </c>
      <c r="J112" s="6">
        <f t="shared" si="21"/>
        <v>2</v>
      </c>
      <c r="K112" s="6">
        <v>0</v>
      </c>
      <c r="L112" s="12">
        <f>('1-Specification &amp; Data'!B$22*'1-Specification &amp; Data'!B$10*'1-Specification &amp; Data'!B$20*('1-Simulation'!F112^2-'1-Specification &amp; Data'!B$21^2))/2</f>
        <v>17.415496992806233</v>
      </c>
      <c r="M112" s="6">
        <f t="shared" si="13"/>
        <v>0</v>
      </c>
      <c r="N112" s="12">
        <f>'1-Specification &amp; Data'!B$23*'1-Specification &amp; Data'!B$18*8.91</f>
        <v>76.055205797999989</v>
      </c>
      <c r="O112" s="12">
        <f t="shared" si="14"/>
        <v>93.470702790806229</v>
      </c>
      <c r="P112" s="14">
        <f t="shared" si="15"/>
        <v>93.470702790806229</v>
      </c>
      <c r="Q112" s="12">
        <f>IF(J112=1,'1-Specification &amp; Data'!B$52,IF('1-Simulation'!J112=2,'1-Specification &amp; Data'!B$53,IF('1-Simulation'!J112=3,'1-Specification &amp; Data'!B$54)))</f>
        <v>704.8687664682343</v>
      </c>
      <c r="R112" s="12">
        <f>(0.5*'1-Specification &amp; Data'!B$18*'1-Simulation'!F112^2)/1000</f>
        <v>13.7944766183243</v>
      </c>
      <c r="S112" s="6">
        <f t="shared" si="11"/>
        <v>28.295208555326422</v>
      </c>
      <c r="T112" s="12">
        <v>4.0919999999999996</v>
      </c>
      <c r="U112" s="14">
        <f>O112*'1-Specification &amp; Data'!B$14*0.9</f>
        <v>24.805686509867808</v>
      </c>
    </row>
    <row r="113" spans="1:21" x14ac:dyDescent="0.25">
      <c r="C113" s="6">
        <f t="shared" si="16"/>
        <v>111</v>
      </c>
      <c r="D113" s="6">
        <v>15.5</v>
      </c>
      <c r="E113" s="12">
        <f t="shared" si="12"/>
        <v>24.944790651515017</v>
      </c>
      <c r="F113" s="12">
        <f t="shared" si="17"/>
        <v>6.9291085143097266</v>
      </c>
      <c r="G113" s="13">
        <f t="shared" si="18"/>
        <v>874.29703076524163</v>
      </c>
      <c r="H113" s="12">
        <f t="shared" si="19"/>
        <v>6.7055888848158638</v>
      </c>
      <c r="I113" s="12">
        <f t="shared" si="20"/>
        <v>0.4470392589877239</v>
      </c>
      <c r="J113" s="6">
        <f t="shared" si="21"/>
        <v>2</v>
      </c>
      <c r="K113" s="6">
        <v>0</v>
      </c>
      <c r="L113" s="12">
        <f>('1-Specification &amp; Data'!B$22*'1-Specification &amp; Data'!B$10*'1-Specification &amp; Data'!B$20*('1-Simulation'!F113^2-'1-Specification &amp; Data'!B$21^2))/2</f>
        <v>20.234053900710336</v>
      </c>
      <c r="M113" s="6">
        <f t="shared" si="13"/>
        <v>315.10401104555046</v>
      </c>
      <c r="N113" s="12">
        <f>'1-Specification &amp; Data'!B$23*'1-Specification &amp; Data'!B$18*8.91</f>
        <v>76.055205797999989</v>
      </c>
      <c r="O113" s="12">
        <f t="shared" si="14"/>
        <v>411.3932707442608</v>
      </c>
      <c r="P113" s="14">
        <f t="shared" si="15"/>
        <v>411.3932707442608</v>
      </c>
      <c r="Q113" s="12">
        <f>IF(J113=1,'1-Specification &amp; Data'!B$52,IF('1-Simulation'!J113=2,'1-Specification &amp; Data'!B$53,IF('1-Simulation'!J113=3,'1-Specification &amp; Data'!B$54)))</f>
        <v>704.8687664682343</v>
      </c>
      <c r="R113" s="12">
        <f>(0.5*'1-Specification &amp; Data'!B$18*'1-Simulation'!F113^2)/1000</f>
        <v>15.762772925338471</v>
      </c>
      <c r="S113" s="6">
        <f t="shared" si="11"/>
        <v>28.295208555326422</v>
      </c>
      <c r="T113" s="12">
        <v>4.0919999999999996</v>
      </c>
      <c r="U113" s="14">
        <f>O113*'1-Specification &amp; Data'!B$14*0.9</f>
        <v>109.1774449282846</v>
      </c>
    </row>
    <row r="114" spans="1:21" x14ac:dyDescent="0.25">
      <c r="C114" s="6">
        <f t="shared" si="16"/>
        <v>112</v>
      </c>
      <c r="D114" s="6">
        <v>17</v>
      </c>
      <c r="E114" s="12">
        <f t="shared" si="12"/>
        <v>27.358802650048727</v>
      </c>
      <c r="F114" s="12">
        <f t="shared" si="17"/>
        <v>7.5996674027913125</v>
      </c>
      <c r="G114" s="13">
        <f t="shared" si="18"/>
        <v>881.56141872379214</v>
      </c>
      <c r="H114" s="12">
        <f t="shared" si="19"/>
        <v>7.26438795855052</v>
      </c>
      <c r="I114" s="12">
        <f t="shared" si="20"/>
        <v>0.67055888848158673</v>
      </c>
      <c r="J114" s="6">
        <f t="shared" si="21"/>
        <v>2</v>
      </c>
      <c r="K114" s="6">
        <v>0</v>
      </c>
      <c r="L114" s="12">
        <f>('1-Specification &amp; Data'!B$22*'1-Specification &amp; Data'!B$10*'1-Specification &amp; Data'!B$20*('1-Simulation'!F114^2-'1-Specification &amp; Data'!B$21^2))/2</f>
        <v>24.81420887605449</v>
      </c>
      <c r="M114" s="6">
        <f t="shared" si="13"/>
        <v>472.65601656832632</v>
      </c>
      <c r="N114" s="12">
        <f>'1-Specification &amp; Data'!B$23*'1-Specification &amp; Data'!B$18*8.91</f>
        <v>76.055205797999989</v>
      </c>
      <c r="O114" s="12">
        <f t="shared" si="14"/>
        <v>573.52543124238082</v>
      </c>
      <c r="P114" s="14">
        <f t="shared" si="15"/>
        <v>573.52543124238082</v>
      </c>
      <c r="Q114" s="12">
        <f>IF(J114=1,'1-Specification &amp; Data'!B$52,IF('1-Simulation'!J114=2,'1-Specification &amp; Data'!B$53,IF('1-Simulation'!J114=3,'1-Specification &amp; Data'!B$54)))</f>
        <v>704.8687664682343</v>
      </c>
      <c r="R114" s="12">
        <f>(0.5*'1-Specification &amp; Data'!B$18*'1-Simulation'!F114^2)/1000</f>
        <v>18.961254424236493</v>
      </c>
      <c r="S114" s="6">
        <f t="shared" si="11"/>
        <v>28.295208555326422</v>
      </c>
      <c r="T114" s="12">
        <v>4.0919999999999996</v>
      </c>
      <c r="U114" s="14">
        <f>O114*'1-Specification &amp; Data'!B$14*0.9</f>
        <v>152.20482598355494</v>
      </c>
    </row>
    <row r="115" spans="1:21" x14ac:dyDescent="0.25">
      <c r="C115" s="6">
        <f t="shared" si="16"/>
        <v>113</v>
      </c>
      <c r="D115" s="6">
        <v>17.5</v>
      </c>
      <c r="E115" s="12">
        <f t="shared" si="12"/>
        <v>28.163473316226629</v>
      </c>
      <c r="F115" s="12">
        <f t="shared" si="17"/>
        <v>7.8231870322851744</v>
      </c>
      <c r="G115" s="13">
        <f t="shared" si="18"/>
        <v>889.27284594133039</v>
      </c>
      <c r="H115" s="12">
        <f t="shared" si="19"/>
        <v>7.7114272175382439</v>
      </c>
      <c r="I115" s="12">
        <f t="shared" si="20"/>
        <v>0.22351962949386284</v>
      </c>
      <c r="J115" s="6">
        <f t="shared" si="21"/>
        <v>2</v>
      </c>
      <c r="K115" s="6">
        <v>0</v>
      </c>
      <c r="L115" s="12">
        <f>('1-Specification &amp; Data'!B$22*'1-Specification &amp; Data'!B$10*'1-Specification &amp; Data'!B$20*('1-Simulation'!F115^2-'1-Specification &amp; Data'!B$21^2))/2</f>
        <v>26.434879098099351</v>
      </c>
      <c r="M115" s="6">
        <f t="shared" si="13"/>
        <v>157.55200552277586</v>
      </c>
      <c r="N115" s="12">
        <f>'1-Specification &amp; Data'!B$23*'1-Specification &amp; Data'!B$18*8.91</f>
        <v>76.055205797999989</v>
      </c>
      <c r="O115" s="12">
        <f t="shared" si="14"/>
        <v>260.0420904188752</v>
      </c>
      <c r="P115" s="14">
        <f t="shared" si="15"/>
        <v>260.0420904188752</v>
      </c>
      <c r="Q115" s="12">
        <f>IF(J115=1,'1-Specification &amp; Data'!B$52,IF('1-Simulation'!J115=2,'1-Specification &amp; Data'!B$53,IF('1-Simulation'!J115=3,'1-Specification &amp; Data'!B$54)))</f>
        <v>704.8687664682343</v>
      </c>
      <c r="R115" s="12">
        <f>(0.5*'1-Specification &amp; Data'!B$18*'1-Simulation'!F115^2)/1000</f>
        <v>20.093024800769641</v>
      </c>
      <c r="S115" s="6">
        <f t="shared" si="11"/>
        <v>28.295208555326422</v>
      </c>
      <c r="T115" s="12">
        <v>4.0919999999999996</v>
      </c>
      <c r="U115" s="14">
        <f>O115*'1-Specification &amp; Data'!B$14*0.9</f>
        <v>69.01117014962459</v>
      </c>
    </row>
    <row r="116" spans="1:21" x14ac:dyDescent="0.25">
      <c r="B116" s="17" t="s">
        <v>104</v>
      </c>
      <c r="C116" s="6">
        <f t="shared" si="16"/>
        <v>114</v>
      </c>
      <c r="D116" s="6">
        <v>17.5</v>
      </c>
      <c r="E116" s="12">
        <f t="shared" si="12"/>
        <v>28.163473316226629</v>
      </c>
      <c r="F116" s="12">
        <f t="shared" si="17"/>
        <v>7.8231870322851744</v>
      </c>
      <c r="G116" s="13">
        <f t="shared" si="18"/>
        <v>897.09603297361559</v>
      </c>
      <c r="H116" s="12">
        <f t="shared" si="19"/>
        <v>7.8231870322851744</v>
      </c>
      <c r="I116" s="12">
        <f t="shared" si="20"/>
        <v>0</v>
      </c>
      <c r="J116" s="6">
        <f t="shared" si="21"/>
        <v>2</v>
      </c>
      <c r="K116" s="6">
        <v>0</v>
      </c>
      <c r="L116" s="12">
        <f>('1-Specification &amp; Data'!B$22*'1-Specification &amp; Data'!B$10*'1-Specification &amp; Data'!B$20*('1-Simulation'!F116^2-'1-Specification &amp; Data'!B$21^2))/2</f>
        <v>26.434879098099351</v>
      </c>
      <c r="M116" s="6">
        <f t="shared" si="13"/>
        <v>0</v>
      </c>
      <c r="N116" s="12">
        <f>'1-Specification &amp; Data'!B$23*'1-Specification &amp; Data'!B$18*8.91</f>
        <v>76.055205797999989</v>
      </c>
      <c r="O116" s="12">
        <f t="shared" si="14"/>
        <v>102.49008489609935</v>
      </c>
      <c r="P116" s="14">
        <f t="shared" si="15"/>
        <v>102.49008489609935</v>
      </c>
      <c r="Q116" s="12">
        <f>IF(J116=1,'1-Specification &amp; Data'!B$52,IF('1-Simulation'!J116=2,'1-Specification &amp; Data'!B$53,IF('1-Simulation'!J116=3,'1-Specification &amp; Data'!B$54)))</f>
        <v>704.8687664682343</v>
      </c>
      <c r="R116" s="12">
        <f>(0.5*'1-Specification &amp; Data'!B$18*'1-Simulation'!F116^2)/1000</f>
        <v>20.093024800769641</v>
      </c>
      <c r="S116" s="6">
        <f t="shared" si="11"/>
        <v>28.295208555326422</v>
      </c>
      <c r="T116" s="12">
        <v>4.0919999999999996</v>
      </c>
      <c r="U116" s="14">
        <f>O116*'1-Specification &amp; Data'!B$14*0.9</f>
        <v>27.199291760887903</v>
      </c>
    </row>
    <row r="117" spans="1:21" x14ac:dyDescent="0.25">
      <c r="C117" s="6">
        <f t="shared" si="16"/>
        <v>115</v>
      </c>
      <c r="D117" s="6">
        <v>17.5</v>
      </c>
      <c r="E117" s="12">
        <f t="shared" si="12"/>
        <v>28.163473316226629</v>
      </c>
      <c r="F117" s="12">
        <f t="shared" si="17"/>
        <v>7.8231870322851744</v>
      </c>
      <c r="G117" s="13">
        <f t="shared" si="18"/>
        <v>904.9192200059008</v>
      </c>
      <c r="H117" s="12">
        <f t="shared" si="19"/>
        <v>7.8231870322851744</v>
      </c>
      <c r="I117" s="12">
        <f t="shared" si="20"/>
        <v>0</v>
      </c>
      <c r="J117" s="6">
        <f t="shared" si="21"/>
        <v>2</v>
      </c>
      <c r="K117" s="6">
        <v>0</v>
      </c>
      <c r="L117" s="12">
        <f>('1-Specification &amp; Data'!B$22*'1-Specification &amp; Data'!B$10*'1-Specification &amp; Data'!B$20*('1-Simulation'!F117^2-'1-Specification &amp; Data'!B$21^2))/2</f>
        <v>26.434879098099351</v>
      </c>
      <c r="M117" s="6">
        <f t="shared" si="13"/>
        <v>0</v>
      </c>
      <c r="N117" s="12">
        <f>'1-Specification &amp; Data'!B$23*'1-Specification &amp; Data'!B$18*8.91</f>
        <v>76.055205797999989</v>
      </c>
      <c r="O117" s="12">
        <f t="shared" si="14"/>
        <v>102.49008489609935</v>
      </c>
      <c r="P117" s="14">
        <f t="shared" si="15"/>
        <v>102.49008489609935</v>
      </c>
      <c r="Q117" s="12">
        <f>IF(J117=1,'1-Specification &amp; Data'!B$52,IF('1-Simulation'!J117=2,'1-Specification &amp; Data'!B$53,IF('1-Simulation'!J117=3,'1-Specification &amp; Data'!B$54)))</f>
        <v>704.8687664682343</v>
      </c>
      <c r="R117" s="12">
        <f>(0.5*'1-Specification &amp; Data'!B$18*'1-Simulation'!F117^2)/1000</f>
        <v>20.093024800769641</v>
      </c>
      <c r="S117" s="6">
        <f t="shared" si="11"/>
        <v>28.295208555326422</v>
      </c>
      <c r="T117" s="12">
        <v>4.0919999999999996</v>
      </c>
      <c r="U117" s="14">
        <f>O117*'1-Specification &amp; Data'!B$14*0.9</f>
        <v>27.199291760887903</v>
      </c>
    </row>
    <row r="118" spans="1:21" x14ac:dyDescent="0.25">
      <c r="C118" s="6">
        <f t="shared" si="16"/>
        <v>116</v>
      </c>
      <c r="D118" s="6">
        <v>17.5</v>
      </c>
      <c r="E118" s="12">
        <f t="shared" si="12"/>
        <v>28.163473316226629</v>
      </c>
      <c r="F118" s="12">
        <f t="shared" si="17"/>
        <v>7.8231870322851744</v>
      </c>
      <c r="G118" s="13">
        <f t="shared" si="18"/>
        <v>912.742407038186</v>
      </c>
      <c r="H118" s="12">
        <f t="shared" si="19"/>
        <v>7.8231870322851744</v>
      </c>
      <c r="I118" s="12">
        <f t="shared" si="20"/>
        <v>0</v>
      </c>
      <c r="J118" s="6">
        <f t="shared" si="21"/>
        <v>2</v>
      </c>
      <c r="K118" s="6">
        <v>0</v>
      </c>
      <c r="L118" s="12">
        <f>('1-Specification &amp; Data'!B$22*'1-Specification &amp; Data'!B$10*'1-Specification &amp; Data'!B$20*('1-Simulation'!F118^2-'1-Specification &amp; Data'!B$21^2))/2</f>
        <v>26.434879098099351</v>
      </c>
      <c r="M118" s="6">
        <f t="shared" si="13"/>
        <v>0</v>
      </c>
      <c r="N118" s="12">
        <f>'1-Specification &amp; Data'!B$23*'1-Specification &amp; Data'!B$18*8.91</f>
        <v>76.055205797999989</v>
      </c>
      <c r="O118" s="12">
        <f t="shared" si="14"/>
        <v>102.49008489609935</v>
      </c>
      <c r="P118" s="14">
        <f t="shared" si="15"/>
        <v>102.49008489609935</v>
      </c>
      <c r="Q118" s="12">
        <f>IF(J118=1,'1-Specification &amp; Data'!B$52,IF('1-Simulation'!J118=2,'1-Specification &amp; Data'!B$53,IF('1-Simulation'!J118=3,'1-Specification &amp; Data'!B$54)))</f>
        <v>704.8687664682343</v>
      </c>
      <c r="R118" s="12">
        <f>(0.5*'1-Specification &amp; Data'!B$18*'1-Simulation'!F118^2)/1000</f>
        <v>20.093024800769641</v>
      </c>
      <c r="S118" s="6">
        <f t="shared" si="11"/>
        <v>28.295208555326422</v>
      </c>
      <c r="T118" s="12">
        <v>4.0919999999999996</v>
      </c>
      <c r="U118" s="14">
        <f>O118*'1-Specification &amp; Data'!B$14*0.9</f>
        <v>27.199291760887903</v>
      </c>
    </row>
    <row r="119" spans="1:21" x14ac:dyDescent="0.25">
      <c r="B119" s="17" t="s">
        <v>105</v>
      </c>
      <c r="C119" s="6">
        <f t="shared" si="16"/>
        <v>117</v>
      </c>
      <c r="D119" s="6">
        <v>17.5</v>
      </c>
      <c r="E119" s="12">
        <f t="shared" si="12"/>
        <v>28.163473316226629</v>
      </c>
      <c r="F119" s="12">
        <f t="shared" si="17"/>
        <v>7.8231870322851744</v>
      </c>
      <c r="G119" s="13">
        <f t="shared" si="18"/>
        <v>920.56559407047121</v>
      </c>
      <c r="H119" s="12">
        <f t="shared" si="19"/>
        <v>7.8231870322851744</v>
      </c>
      <c r="I119" s="12">
        <f t="shared" si="20"/>
        <v>0</v>
      </c>
      <c r="J119" s="6">
        <f t="shared" si="21"/>
        <v>2</v>
      </c>
      <c r="K119" s="6">
        <v>0</v>
      </c>
      <c r="L119" s="12">
        <f>('1-Specification &amp; Data'!B$22*'1-Specification &amp; Data'!B$10*'1-Specification &amp; Data'!B$20*('1-Simulation'!F119^2-'1-Specification &amp; Data'!B$21^2))/2</f>
        <v>26.434879098099351</v>
      </c>
      <c r="M119" s="6">
        <f t="shared" si="13"/>
        <v>0</v>
      </c>
      <c r="N119" s="12">
        <f>'1-Specification &amp; Data'!B$23*'1-Specification &amp; Data'!B$18*8.91</f>
        <v>76.055205797999989</v>
      </c>
      <c r="O119" s="12">
        <f t="shared" si="14"/>
        <v>102.49008489609935</v>
      </c>
      <c r="P119" s="14">
        <f t="shared" si="15"/>
        <v>102.49008489609935</v>
      </c>
      <c r="Q119" s="12">
        <f>IF(J119=1,'1-Specification &amp; Data'!B$52,IF('1-Simulation'!J119=2,'1-Specification &amp; Data'!B$53,IF('1-Simulation'!J119=3,'1-Specification &amp; Data'!B$54)))</f>
        <v>704.8687664682343</v>
      </c>
      <c r="R119" s="12">
        <f>(0.5*'1-Specification &amp; Data'!B$18*'1-Simulation'!F119^2)/1000</f>
        <v>20.093024800769641</v>
      </c>
      <c r="S119" s="6">
        <f t="shared" si="11"/>
        <v>28.295208555326422</v>
      </c>
      <c r="T119" s="12">
        <v>4.0919999999999996</v>
      </c>
      <c r="U119" s="14">
        <f>O119*'1-Specification &amp; Data'!B$14*0.9</f>
        <v>27.199291760887903</v>
      </c>
    </row>
    <row r="120" spans="1:21" x14ac:dyDescent="0.25">
      <c r="C120" s="6">
        <f t="shared" si="16"/>
        <v>118</v>
      </c>
      <c r="D120" s="6">
        <v>16</v>
      </c>
      <c r="E120" s="12">
        <f t="shared" si="12"/>
        <v>25.749461317692919</v>
      </c>
      <c r="F120" s="12">
        <f t="shared" si="17"/>
        <v>7.1526281438035886</v>
      </c>
      <c r="G120" s="13">
        <f t="shared" si="18"/>
        <v>928.05350165851564</v>
      </c>
      <c r="H120" s="12">
        <f t="shared" si="19"/>
        <v>7.4879075880443811</v>
      </c>
      <c r="I120" s="12">
        <f t="shared" si="20"/>
        <v>-0.67055888848158673</v>
      </c>
      <c r="J120" s="6">
        <f t="shared" si="21"/>
        <v>2</v>
      </c>
      <c r="K120" s="6">
        <v>0</v>
      </c>
      <c r="L120" s="12">
        <f>('1-Specification &amp; Data'!B$22*'1-Specification &amp; Data'!B$10*'1-Specification &amp; Data'!B$20*('1-Simulation'!F120^2-'1-Specification &amp; Data'!B$21^2))/2</f>
        <v>21.713796277359986</v>
      </c>
      <c r="M120" s="6">
        <f t="shared" si="13"/>
        <v>-472.65601656832632</v>
      </c>
      <c r="N120" s="12">
        <f>'1-Specification &amp; Data'!B$23*'1-Specification &amp; Data'!B$18*8.91</f>
        <v>76.055205797999989</v>
      </c>
      <c r="O120" s="12">
        <f t="shared" si="14"/>
        <v>-374.88701449296639</v>
      </c>
      <c r="P120" s="14">
        <f t="shared" si="15"/>
        <v>374.88701449296639</v>
      </c>
      <c r="Q120" s="12">
        <f>IF(J120=1,'1-Specification &amp; Data'!B$52,IF('1-Simulation'!J120=2,'1-Specification &amp; Data'!B$53,IF('1-Simulation'!J120=3,'1-Specification &amp; Data'!B$54)))</f>
        <v>704.8687664682343</v>
      </c>
      <c r="R120" s="12">
        <f>(0.5*'1-Specification &amp; Data'!B$18*'1-Simulation'!F120^2)/1000</f>
        <v>16.79612848652091</v>
      </c>
      <c r="S120" s="6">
        <f t="shared" si="11"/>
        <v>28.295208555326422</v>
      </c>
      <c r="T120" s="12">
        <v>4.0919999999999996</v>
      </c>
      <c r="U120" s="14">
        <f>O120*'1-Specification &amp; Data'!B$14*0.9</f>
        <v>-99.489246153902613</v>
      </c>
    </row>
    <row r="121" spans="1:21" x14ac:dyDescent="0.25">
      <c r="B121" s="17" t="s">
        <v>106</v>
      </c>
      <c r="C121" s="6">
        <f t="shared" si="16"/>
        <v>119</v>
      </c>
      <c r="D121" s="6">
        <v>15</v>
      </c>
      <c r="E121" s="12">
        <f t="shared" si="12"/>
        <v>24.140119985337112</v>
      </c>
      <c r="F121" s="12">
        <f t="shared" si="17"/>
        <v>6.7055888848158638</v>
      </c>
      <c r="G121" s="13">
        <f t="shared" si="18"/>
        <v>934.98261017282539</v>
      </c>
      <c r="H121" s="12">
        <f t="shared" si="19"/>
        <v>6.9291085143097266</v>
      </c>
      <c r="I121" s="12">
        <f t="shared" si="20"/>
        <v>-0.4470392589877239</v>
      </c>
      <c r="J121" s="6">
        <f t="shared" si="21"/>
        <v>2</v>
      </c>
      <c r="K121" s="6">
        <v>0</v>
      </c>
      <c r="L121" s="12">
        <f>('1-Specification &amp; Data'!B$22*'1-Specification &amp; Data'!B$10*'1-Specification &amp; Data'!B$20*('1-Simulation'!F121^2-'1-Specification &amp; Data'!B$21^2))/2</f>
        <v>18.801287472525743</v>
      </c>
      <c r="M121" s="6">
        <f t="shared" si="13"/>
        <v>-315.10401104555046</v>
      </c>
      <c r="N121" s="12">
        <f>'1-Specification &amp; Data'!B$23*'1-Specification &amp; Data'!B$18*8.91</f>
        <v>76.055205797999989</v>
      </c>
      <c r="O121" s="12">
        <f t="shared" si="14"/>
        <v>-220.24751777502473</v>
      </c>
      <c r="P121" s="14">
        <f t="shared" si="15"/>
        <v>220.24751777502473</v>
      </c>
      <c r="Q121" s="12">
        <f>IF(J121=1,'1-Specification &amp; Data'!B$52,IF('1-Simulation'!J121=2,'1-Specification &amp; Data'!B$53,IF('1-Simulation'!J121=3,'1-Specification &amp; Data'!B$54)))</f>
        <v>704.8687664682343</v>
      </c>
      <c r="R121" s="12">
        <f>(0.5*'1-Specification &amp; Data'!B$18*'1-Simulation'!F121^2)/1000</f>
        <v>14.762222302606265</v>
      </c>
      <c r="S121" s="6">
        <f t="shared" si="11"/>
        <v>28.295208555326422</v>
      </c>
      <c r="T121" s="12">
        <v>4.0919999999999996</v>
      </c>
      <c r="U121" s="14">
        <f>O121*'1-Specification &amp; Data'!B$14*0.9</f>
        <v>-58.450302794141187</v>
      </c>
    </row>
    <row r="122" spans="1:21" x14ac:dyDescent="0.25">
      <c r="C122" s="6">
        <f t="shared" si="16"/>
        <v>120</v>
      </c>
      <c r="D122" s="6">
        <v>15</v>
      </c>
      <c r="E122" s="12">
        <f t="shared" si="12"/>
        <v>24.140119985337112</v>
      </c>
      <c r="F122" s="12">
        <f t="shared" si="17"/>
        <v>6.7055888848158638</v>
      </c>
      <c r="G122" s="13">
        <f t="shared" si="18"/>
        <v>941.68819905764121</v>
      </c>
      <c r="H122" s="12">
        <f t="shared" si="19"/>
        <v>6.7055888848158638</v>
      </c>
      <c r="I122" s="12">
        <f t="shared" si="20"/>
        <v>0</v>
      </c>
      <c r="J122" s="6">
        <f t="shared" si="21"/>
        <v>2</v>
      </c>
      <c r="K122" s="6">
        <v>0</v>
      </c>
      <c r="L122" s="12">
        <f>('1-Specification &amp; Data'!B$22*'1-Specification &amp; Data'!B$10*'1-Specification &amp; Data'!B$20*('1-Simulation'!F122^2-'1-Specification &amp; Data'!B$21^2))/2</f>
        <v>18.801287472525743</v>
      </c>
      <c r="M122" s="6">
        <f t="shared" si="13"/>
        <v>0</v>
      </c>
      <c r="N122" s="12">
        <f>'1-Specification &amp; Data'!B$23*'1-Specification &amp; Data'!B$18*8.91</f>
        <v>76.055205797999989</v>
      </c>
      <c r="O122" s="12">
        <f t="shared" si="14"/>
        <v>94.856493270525732</v>
      </c>
      <c r="P122" s="14">
        <f t="shared" si="15"/>
        <v>94.856493270525732</v>
      </c>
      <c r="Q122" s="12">
        <f>IF(J122=1,'1-Specification &amp; Data'!B$52,IF('1-Simulation'!J122=2,'1-Specification &amp; Data'!B$53,IF('1-Simulation'!J122=3,'1-Specification &amp; Data'!B$54)))</f>
        <v>704.8687664682343</v>
      </c>
      <c r="R122" s="12">
        <f>(0.5*'1-Specification &amp; Data'!B$18*'1-Simulation'!F122^2)/1000</f>
        <v>14.762222302606265</v>
      </c>
      <c r="S122" s="6">
        <f t="shared" si="11"/>
        <v>28.295208555326422</v>
      </c>
      <c r="T122" s="12">
        <v>4.0919999999999996</v>
      </c>
      <c r="U122" s="14">
        <f>O122*'1-Specification &amp; Data'!B$14*0.9</f>
        <v>25.173453983331829</v>
      </c>
    </row>
    <row r="123" spans="1:21" x14ac:dyDescent="0.25">
      <c r="C123" s="6">
        <f t="shared" si="16"/>
        <v>121</v>
      </c>
      <c r="D123" s="6">
        <v>15</v>
      </c>
      <c r="E123" s="12">
        <f t="shared" si="12"/>
        <v>24.140119985337112</v>
      </c>
      <c r="F123" s="12">
        <f t="shared" si="17"/>
        <v>6.7055888848158638</v>
      </c>
      <c r="G123" s="13">
        <f t="shared" si="18"/>
        <v>948.39378794245704</v>
      </c>
      <c r="H123" s="12">
        <f t="shared" si="19"/>
        <v>6.7055888848158638</v>
      </c>
      <c r="I123" s="12">
        <f t="shared" si="20"/>
        <v>0</v>
      </c>
      <c r="J123" s="6">
        <f t="shared" si="21"/>
        <v>2</v>
      </c>
      <c r="K123" s="6">
        <v>0</v>
      </c>
      <c r="L123" s="12">
        <f>('1-Specification &amp; Data'!B$22*'1-Specification &amp; Data'!B$10*'1-Specification &amp; Data'!B$20*('1-Simulation'!F123^2-'1-Specification &amp; Data'!B$21^2))/2</f>
        <v>18.801287472525743</v>
      </c>
      <c r="M123" s="6">
        <f t="shared" si="13"/>
        <v>0</v>
      </c>
      <c r="N123" s="12">
        <f>'1-Specification &amp; Data'!B$23*'1-Specification &amp; Data'!B$18*8.91</f>
        <v>76.055205797999989</v>
      </c>
      <c r="O123" s="12">
        <f t="shared" si="14"/>
        <v>94.856493270525732</v>
      </c>
      <c r="P123" s="14">
        <f t="shared" si="15"/>
        <v>94.856493270525732</v>
      </c>
      <c r="Q123" s="12">
        <f>IF(J123=1,'1-Specification &amp; Data'!B$52,IF('1-Simulation'!J123=2,'1-Specification &amp; Data'!B$53,IF('1-Simulation'!J123=3,'1-Specification &amp; Data'!B$54)))</f>
        <v>704.8687664682343</v>
      </c>
      <c r="R123" s="12">
        <f>(0.5*'1-Specification &amp; Data'!B$18*'1-Simulation'!F123^2)/1000</f>
        <v>14.762222302606265</v>
      </c>
      <c r="S123" s="6">
        <f t="shared" si="11"/>
        <v>28.295208555326422</v>
      </c>
      <c r="T123" s="12">
        <v>4.0919999999999996</v>
      </c>
      <c r="U123" s="14">
        <f>O123*'1-Specification &amp; Data'!B$14*0.9</f>
        <v>25.173453983331829</v>
      </c>
    </row>
    <row r="124" spans="1:21" x14ac:dyDescent="0.25">
      <c r="C124" s="6">
        <f t="shared" si="16"/>
        <v>122</v>
      </c>
      <c r="D124" s="6">
        <v>15</v>
      </c>
      <c r="E124" s="12">
        <f t="shared" si="12"/>
        <v>24.140119985337112</v>
      </c>
      <c r="F124" s="12">
        <f t="shared" si="17"/>
        <v>6.7055888848158638</v>
      </c>
      <c r="G124" s="13">
        <f t="shared" si="18"/>
        <v>955.09937682727286</v>
      </c>
      <c r="H124" s="12">
        <f t="shared" si="19"/>
        <v>6.7055888848158638</v>
      </c>
      <c r="I124" s="12">
        <f t="shared" si="20"/>
        <v>0</v>
      </c>
      <c r="J124" s="6">
        <f t="shared" si="21"/>
        <v>2</v>
      </c>
      <c r="K124" s="6">
        <v>0</v>
      </c>
      <c r="L124" s="12">
        <f>('1-Specification &amp; Data'!B$22*'1-Specification &amp; Data'!B$10*'1-Specification &amp; Data'!B$20*('1-Simulation'!F124^2-'1-Specification &amp; Data'!B$21^2))/2</f>
        <v>18.801287472525743</v>
      </c>
      <c r="M124" s="6">
        <f t="shared" si="13"/>
        <v>0</v>
      </c>
      <c r="N124" s="12">
        <f>'1-Specification &amp; Data'!B$23*'1-Specification &amp; Data'!B$18*8.91</f>
        <v>76.055205797999989</v>
      </c>
      <c r="O124" s="12">
        <f t="shared" si="14"/>
        <v>94.856493270525732</v>
      </c>
      <c r="P124" s="14">
        <f t="shared" si="15"/>
        <v>94.856493270525732</v>
      </c>
      <c r="Q124" s="12">
        <f>IF(J124=1,'1-Specification &amp; Data'!B$52,IF('1-Simulation'!J124=2,'1-Specification &amp; Data'!B$53,IF('1-Simulation'!J124=3,'1-Specification &amp; Data'!B$54)))</f>
        <v>704.8687664682343</v>
      </c>
      <c r="R124" s="12">
        <f>(0.5*'1-Specification &amp; Data'!B$18*'1-Simulation'!F124^2)/1000</f>
        <v>14.762222302606265</v>
      </c>
      <c r="S124" s="6">
        <f t="shared" si="11"/>
        <v>28.295208555326422</v>
      </c>
      <c r="T124" s="12">
        <v>4.0919999999999996</v>
      </c>
      <c r="U124" s="14">
        <f>O124*'1-Specification &amp; Data'!B$14*0.9</f>
        <v>25.173453983331829</v>
      </c>
    </row>
    <row r="125" spans="1:21" x14ac:dyDescent="0.25">
      <c r="C125" s="6">
        <f t="shared" si="16"/>
        <v>123</v>
      </c>
      <c r="D125" s="6">
        <v>15</v>
      </c>
      <c r="E125" s="12">
        <f t="shared" si="12"/>
        <v>24.140119985337112</v>
      </c>
      <c r="F125" s="12">
        <f t="shared" si="17"/>
        <v>6.7055888848158638</v>
      </c>
      <c r="G125" s="13">
        <f t="shared" si="18"/>
        <v>961.80496571208869</v>
      </c>
      <c r="H125" s="12">
        <f t="shared" si="19"/>
        <v>6.7055888848158638</v>
      </c>
      <c r="I125" s="12">
        <f t="shared" si="20"/>
        <v>0</v>
      </c>
      <c r="J125" s="6">
        <f t="shared" si="21"/>
        <v>2</v>
      </c>
      <c r="K125" s="6">
        <v>0</v>
      </c>
      <c r="L125" s="12">
        <f>('1-Specification &amp; Data'!B$22*'1-Specification &amp; Data'!B$10*'1-Specification &amp; Data'!B$20*('1-Simulation'!F125^2-'1-Specification &amp; Data'!B$21^2))/2</f>
        <v>18.801287472525743</v>
      </c>
      <c r="M125" s="6">
        <f t="shared" si="13"/>
        <v>0</v>
      </c>
      <c r="N125" s="12">
        <f>'1-Specification &amp; Data'!B$23*'1-Specification &amp; Data'!B$18*8.91</f>
        <v>76.055205797999989</v>
      </c>
      <c r="O125" s="12">
        <f t="shared" si="14"/>
        <v>94.856493270525732</v>
      </c>
      <c r="P125" s="14">
        <f t="shared" si="15"/>
        <v>94.856493270525732</v>
      </c>
      <c r="Q125" s="12">
        <f>IF(J125=1,'1-Specification &amp; Data'!B$52,IF('1-Simulation'!J125=2,'1-Specification &amp; Data'!B$53,IF('1-Simulation'!J125=3,'1-Specification &amp; Data'!B$54)))</f>
        <v>704.8687664682343</v>
      </c>
      <c r="R125" s="12">
        <f>(0.5*'1-Specification &amp; Data'!B$18*'1-Simulation'!F125^2)/1000</f>
        <v>14.762222302606265</v>
      </c>
      <c r="S125" s="6">
        <f t="shared" si="11"/>
        <v>28.295208555326422</v>
      </c>
      <c r="T125" s="12">
        <v>4.0919999999999996</v>
      </c>
      <c r="U125" s="14">
        <f>O125*'1-Specification &amp; Data'!B$14*0.9</f>
        <v>25.173453983331829</v>
      </c>
    </row>
    <row r="126" spans="1:21" x14ac:dyDescent="0.25">
      <c r="C126" s="6">
        <f t="shared" si="16"/>
        <v>124</v>
      </c>
      <c r="D126" s="6">
        <v>15</v>
      </c>
      <c r="E126" s="12">
        <f t="shared" si="12"/>
        <v>24.140119985337112</v>
      </c>
      <c r="F126" s="12">
        <f t="shared" si="17"/>
        <v>6.7055888848158638</v>
      </c>
      <c r="G126" s="13">
        <f t="shared" si="18"/>
        <v>968.51055459690451</v>
      </c>
      <c r="H126" s="12">
        <f t="shared" si="19"/>
        <v>6.7055888848158638</v>
      </c>
      <c r="I126" s="12">
        <f t="shared" si="20"/>
        <v>0</v>
      </c>
      <c r="J126" s="6">
        <f t="shared" si="21"/>
        <v>2</v>
      </c>
      <c r="K126" s="6">
        <v>0</v>
      </c>
      <c r="L126" s="12">
        <f>('1-Specification &amp; Data'!B$22*'1-Specification &amp; Data'!B$10*'1-Specification &amp; Data'!B$20*('1-Simulation'!F126^2-'1-Specification &amp; Data'!B$21^2))/2</f>
        <v>18.801287472525743</v>
      </c>
      <c r="M126" s="6">
        <f t="shared" si="13"/>
        <v>0</v>
      </c>
      <c r="N126" s="12">
        <f>'1-Specification &amp; Data'!B$23*'1-Specification &amp; Data'!B$18*8.91</f>
        <v>76.055205797999989</v>
      </c>
      <c r="O126" s="12">
        <f t="shared" si="14"/>
        <v>94.856493270525732</v>
      </c>
      <c r="P126" s="14">
        <f t="shared" si="15"/>
        <v>94.856493270525732</v>
      </c>
      <c r="Q126" s="12">
        <f>IF(J126=1,'1-Specification &amp; Data'!B$52,IF('1-Simulation'!J126=2,'1-Specification &amp; Data'!B$53,IF('1-Simulation'!J126=3,'1-Specification &amp; Data'!B$54)))</f>
        <v>704.8687664682343</v>
      </c>
      <c r="R126" s="12">
        <f>(0.5*'1-Specification &amp; Data'!B$18*'1-Simulation'!F126^2)/1000</f>
        <v>14.762222302606265</v>
      </c>
      <c r="S126" s="6">
        <f t="shared" si="11"/>
        <v>28.295208555326422</v>
      </c>
      <c r="T126" s="12">
        <v>4.0919999999999996</v>
      </c>
      <c r="U126" s="14">
        <f>O126*'1-Specification &amp; Data'!B$14*0.9</f>
        <v>25.173453983331829</v>
      </c>
    </row>
    <row r="127" spans="1:21" x14ac:dyDescent="0.25">
      <c r="C127" s="6">
        <f t="shared" si="16"/>
        <v>125</v>
      </c>
      <c r="D127" s="6">
        <v>15</v>
      </c>
      <c r="E127" s="12">
        <f t="shared" si="12"/>
        <v>24.140119985337112</v>
      </c>
      <c r="F127" s="12">
        <f t="shared" si="17"/>
        <v>6.7055888848158638</v>
      </c>
      <c r="G127" s="13">
        <f t="shared" si="18"/>
        <v>975.21614348172034</v>
      </c>
      <c r="H127" s="12">
        <f t="shared" si="19"/>
        <v>6.7055888848158638</v>
      </c>
      <c r="I127" s="12">
        <f t="shared" si="20"/>
        <v>0</v>
      </c>
      <c r="J127" s="6">
        <f t="shared" si="21"/>
        <v>2</v>
      </c>
      <c r="K127" s="6">
        <v>0</v>
      </c>
      <c r="L127" s="12">
        <f>('1-Specification &amp; Data'!B$22*'1-Specification &amp; Data'!B$10*'1-Specification &amp; Data'!B$20*('1-Simulation'!F127^2-'1-Specification &amp; Data'!B$21^2))/2</f>
        <v>18.801287472525743</v>
      </c>
      <c r="M127" s="6">
        <f t="shared" si="13"/>
        <v>0</v>
      </c>
      <c r="N127" s="12">
        <f>'1-Specification &amp; Data'!B$23*'1-Specification &amp; Data'!B$18*8.91</f>
        <v>76.055205797999989</v>
      </c>
      <c r="O127" s="12">
        <f t="shared" si="14"/>
        <v>94.856493270525732</v>
      </c>
      <c r="P127" s="14">
        <f t="shared" si="15"/>
        <v>94.856493270525732</v>
      </c>
      <c r="Q127" s="12">
        <f>IF(J127=1,'1-Specification &amp; Data'!B$52,IF('1-Simulation'!J127=2,'1-Specification &amp; Data'!B$53,IF('1-Simulation'!J127=3,'1-Specification &amp; Data'!B$54)))</f>
        <v>704.8687664682343</v>
      </c>
      <c r="R127" s="12">
        <f>(0.5*'1-Specification &amp; Data'!B$18*'1-Simulation'!F127^2)/1000</f>
        <v>14.762222302606265</v>
      </c>
      <c r="S127" s="6">
        <f t="shared" si="11"/>
        <v>28.295208555326422</v>
      </c>
      <c r="T127" s="12">
        <v>4.0919999999999996</v>
      </c>
      <c r="U127" s="14">
        <f>O127*'1-Specification &amp; Data'!B$14*0.9</f>
        <v>25.173453983331829</v>
      </c>
    </row>
    <row r="128" spans="1:21" x14ac:dyDescent="0.25">
      <c r="A128" s="6" t="s">
        <v>107</v>
      </c>
      <c r="B128" s="17" t="s">
        <v>108</v>
      </c>
      <c r="C128" s="6">
        <f t="shared" si="16"/>
        <v>126</v>
      </c>
      <c r="D128" s="6">
        <v>15</v>
      </c>
      <c r="E128" s="12">
        <f t="shared" si="12"/>
        <v>24.140119985337112</v>
      </c>
      <c r="F128" s="12">
        <f t="shared" si="17"/>
        <v>6.7055888848158638</v>
      </c>
      <c r="G128" s="13">
        <f t="shared" si="18"/>
        <v>981.92173236653616</v>
      </c>
      <c r="H128" s="12">
        <f t="shared" si="19"/>
        <v>6.7055888848158638</v>
      </c>
      <c r="I128" s="12">
        <f t="shared" si="20"/>
        <v>0</v>
      </c>
      <c r="J128" s="6">
        <f t="shared" si="21"/>
        <v>2</v>
      </c>
      <c r="K128" s="6">
        <v>0</v>
      </c>
      <c r="L128" s="12">
        <f>('1-Specification &amp; Data'!B$22*'1-Specification &amp; Data'!B$10*'1-Specification &amp; Data'!B$20*('1-Simulation'!F128^2-'1-Specification &amp; Data'!B$21^2))/2</f>
        <v>18.801287472525743</v>
      </c>
      <c r="M128" s="6">
        <f t="shared" si="13"/>
        <v>0</v>
      </c>
      <c r="N128" s="12">
        <f>'1-Specification &amp; Data'!B$23*'1-Specification &amp; Data'!B$18*8.91</f>
        <v>76.055205797999989</v>
      </c>
      <c r="O128" s="12">
        <f t="shared" si="14"/>
        <v>94.856493270525732</v>
      </c>
      <c r="P128" s="14">
        <f t="shared" si="15"/>
        <v>94.856493270525732</v>
      </c>
      <c r="Q128" s="12">
        <f>IF(J128=1,'1-Specification &amp; Data'!B$52,IF('1-Simulation'!J128=2,'1-Specification &amp; Data'!B$53,IF('1-Simulation'!J128=3,'1-Specification &amp; Data'!B$54)))</f>
        <v>704.8687664682343</v>
      </c>
      <c r="R128" s="12">
        <f>(0.5*'1-Specification &amp; Data'!B$18*'1-Simulation'!F128^2)/1000</f>
        <v>14.762222302606265</v>
      </c>
      <c r="S128" s="6">
        <f t="shared" si="11"/>
        <v>28.295208555326422</v>
      </c>
      <c r="T128" s="12">
        <v>4.0919999999999996</v>
      </c>
      <c r="U128" s="14">
        <f>O128*'1-Specification &amp; Data'!B$14*0.9</f>
        <v>25.173453983331829</v>
      </c>
    </row>
    <row r="129" spans="1:21" x14ac:dyDescent="0.25">
      <c r="A129" s="6" t="s">
        <v>109</v>
      </c>
      <c r="C129" s="6">
        <f t="shared" si="16"/>
        <v>127</v>
      </c>
      <c r="D129" s="6">
        <v>16</v>
      </c>
      <c r="E129" s="12">
        <f t="shared" si="12"/>
        <v>25.749461317692919</v>
      </c>
      <c r="F129" s="12">
        <f t="shared" si="17"/>
        <v>7.1526281438035886</v>
      </c>
      <c r="G129" s="13">
        <f t="shared" si="18"/>
        <v>988.85084088084591</v>
      </c>
      <c r="H129" s="12">
        <f t="shared" si="19"/>
        <v>6.9291085143097266</v>
      </c>
      <c r="I129" s="12">
        <f t="shared" si="20"/>
        <v>0.44703925898772567</v>
      </c>
      <c r="J129" s="6">
        <f t="shared" si="21"/>
        <v>2</v>
      </c>
      <c r="K129" s="6">
        <v>0</v>
      </c>
      <c r="L129" s="12">
        <f>('1-Specification &amp; Data'!B$22*'1-Specification &amp; Data'!B$10*'1-Specification &amp; Data'!B$20*('1-Simulation'!F129^2-'1-Specification &amp; Data'!B$21^2))/2</f>
        <v>21.713796277359986</v>
      </c>
      <c r="M129" s="6">
        <f t="shared" si="13"/>
        <v>315.10401104555172</v>
      </c>
      <c r="N129" s="12">
        <f>'1-Specification &amp; Data'!B$26*'1-Specification &amp; Data'!B$18*8.91</f>
        <v>585.0400446000001</v>
      </c>
      <c r="O129" s="12">
        <f t="shared" si="14"/>
        <v>921.85785192291178</v>
      </c>
      <c r="P129" s="14">
        <f t="shared" si="15"/>
        <v>921.85785192291178</v>
      </c>
      <c r="Q129" s="12">
        <f>IF(J129=1,'1-Specification &amp; Data'!B$52,IF('1-Simulation'!J129=2,'1-Specification &amp; Data'!B$53,IF('1-Simulation'!J129=3,'1-Specification &amp; Data'!B$54)))</f>
        <v>704.8687664682343</v>
      </c>
      <c r="R129" s="12">
        <f>(0.5*'1-Specification &amp; Data'!B$18*'1-Simulation'!F129^2)/1000</f>
        <v>16.79612848652091</v>
      </c>
      <c r="S129" s="6">
        <f t="shared" si="11"/>
        <v>28.295208555326422</v>
      </c>
      <c r="T129" s="12">
        <v>4.0919999999999996</v>
      </c>
      <c r="U129" s="14">
        <f>O129*'1-Specification &amp; Data'!B$14*0.9</f>
        <v>244.64689147184967</v>
      </c>
    </row>
    <row r="130" spans="1:21" x14ac:dyDescent="0.25">
      <c r="C130" s="6">
        <f t="shared" si="16"/>
        <v>128</v>
      </c>
      <c r="D130" s="6">
        <v>17.5</v>
      </c>
      <c r="E130" s="12">
        <f t="shared" si="12"/>
        <v>28.163473316226629</v>
      </c>
      <c r="F130" s="12">
        <f t="shared" si="17"/>
        <v>7.8231870322851744</v>
      </c>
      <c r="G130" s="13">
        <f t="shared" si="18"/>
        <v>996.33874846889034</v>
      </c>
      <c r="H130" s="12">
        <f t="shared" si="19"/>
        <v>7.4879075880443811</v>
      </c>
      <c r="I130" s="12">
        <f t="shared" si="20"/>
        <v>0.67055888848158496</v>
      </c>
      <c r="J130" s="6">
        <f t="shared" si="21"/>
        <v>2</v>
      </c>
      <c r="K130" s="6">
        <v>0</v>
      </c>
      <c r="L130" s="12">
        <f>('1-Specification &amp; Data'!B$22*'1-Specification &amp; Data'!B$10*'1-Specification &amp; Data'!B$20*('1-Simulation'!F130^2-'1-Specification &amp; Data'!B$21^2))/2</f>
        <v>26.434879098099351</v>
      </c>
      <c r="M130" s="6">
        <f t="shared" si="13"/>
        <v>472.65601656832507</v>
      </c>
      <c r="N130" s="12">
        <f>'1-Specification &amp; Data'!B$26*'1-Specification &amp; Data'!B$18*8.91</f>
        <v>585.0400446000001</v>
      </c>
      <c r="O130" s="12">
        <f t="shared" si="14"/>
        <v>1084.1309402664247</v>
      </c>
      <c r="P130" s="14">
        <f t="shared" si="15"/>
        <v>1084.1309402664247</v>
      </c>
      <c r="Q130" s="12">
        <f>IF(J130=1,'1-Specification &amp; Data'!B$52,IF('1-Simulation'!J130=2,'1-Specification &amp; Data'!B$53,IF('1-Simulation'!J130=3,'1-Specification &amp; Data'!B$54)))</f>
        <v>704.8687664682343</v>
      </c>
      <c r="R130" s="12">
        <f>(0.5*'1-Specification &amp; Data'!B$18*'1-Simulation'!F130^2)/1000</f>
        <v>20.093024800769641</v>
      </c>
      <c r="S130" s="6">
        <f t="shared" ref="S130:S193" si="22">(Q130*9.81*T130)/1000</f>
        <v>28.295208555326422</v>
      </c>
      <c r="T130" s="12">
        <v>4.0919999999999996</v>
      </c>
      <c r="U130" s="14">
        <f>O130*'1-Specification &amp; Data'!B$14*0.9</f>
        <v>287.71167260916656</v>
      </c>
    </row>
    <row r="131" spans="1:21" x14ac:dyDescent="0.25">
      <c r="C131" s="6">
        <f t="shared" si="16"/>
        <v>129</v>
      </c>
      <c r="D131" s="6">
        <v>18.8</v>
      </c>
      <c r="E131" s="12">
        <f t="shared" ref="E131:E194" si="23">F131*3.6</f>
        <v>30.255617048289182</v>
      </c>
      <c r="F131" s="12">
        <f t="shared" si="17"/>
        <v>8.4043380689692171</v>
      </c>
      <c r="G131" s="13">
        <f t="shared" si="18"/>
        <v>1004.4525110195175</v>
      </c>
      <c r="H131" s="12">
        <f t="shared" si="19"/>
        <v>8.1137625506271966</v>
      </c>
      <c r="I131" s="12">
        <f t="shared" si="20"/>
        <v>0.58115103668404444</v>
      </c>
      <c r="J131" s="6">
        <f t="shared" si="21"/>
        <v>2</v>
      </c>
      <c r="K131" s="6">
        <v>0</v>
      </c>
      <c r="L131" s="12">
        <f>('1-Specification &amp; Data'!B$22*'1-Specification &amp; Data'!B$10*'1-Specification &amp; Data'!B$20*('1-Simulation'!F131^2-'1-Specification &amp; Data'!B$21^2))/2</f>
        <v>30.868469114232507</v>
      </c>
      <c r="M131" s="6">
        <f t="shared" ref="M131:M194" si="24">Q131*I131</f>
        <v>409.63521435921797</v>
      </c>
      <c r="N131" s="12">
        <f>'1-Specification &amp; Data'!B$26*'1-Specification &amp; Data'!B$18*8.91</f>
        <v>585.0400446000001</v>
      </c>
      <c r="O131" s="12">
        <f t="shared" ref="O131:O194" si="25">K131+L131+M131+N131</f>
        <v>1025.5437280734504</v>
      </c>
      <c r="P131" s="14">
        <f t="shared" ref="P131:P194" si="26">IF(O131&gt;=0,O131,IF(O131&lt;0,-O131))</f>
        <v>1025.5437280734504</v>
      </c>
      <c r="Q131" s="12">
        <f>IF(J131=1,'1-Specification &amp; Data'!B$52,IF('1-Simulation'!J131=2,'1-Specification &amp; Data'!B$53,IF('1-Simulation'!J131=3,'1-Specification &amp; Data'!B$54)))</f>
        <v>704.8687664682343</v>
      </c>
      <c r="R131" s="12">
        <f>(0.5*'1-Specification &amp; Data'!B$18*'1-Simulation'!F131^2)/1000</f>
        <v>23.189154891702934</v>
      </c>
      <c r="S131" s="6">
        <f t="shared" si="22"/>
        <v>28.295208555326422</v>
      </c>
      <c r="T131" s="12">
        <v>4.0919999999999996</v>
      </c>
      <c r="U131" s="14">
        <f>O131*'1-Specification &amp; Data'!B$14*0.9</f>
        <v>272.16352783487724</v>
      </c>
    </row>
    <row r="132" spans="1:21" x14ac:dyDescent="0.25">
      <c r="C132" s="6">
        <f t="shared" ref="C132:C195" si="27">C131+1</f>
        <v>130</v>
      </c>
      <c r="D132" s="6">
        <v>20</v>
      </c>
      <c r="E132" s="12">
        <f t="shared" si="23"/>
        <v>32.186826647116149</v>
      </c>
      <c r="F132" s="12">
        <f t="shared" ref="F132:F195" si="28">D132/2.23694</f>
        <v>8.9407851797544851</v>
      </c>
      <c r="G132" s="13">
        <f t="shared" ref="G132:G195" si="29">G131+((F132+F131)/2)</f>
        <v>1013.1250726438793</v>
      </c>
      <c r="H132" s="12">
        <f t="shared" ref="H132:H195" si="30">(F132+F131)/2</f>
        <v>8.6725616243618511</v>
      </c>
      <c r="I132" s="12">
        <f t="shared" ref="I132:I195" si="31">(H132-F131)*2</f>
        <v>0.53644711078526797</v>
      </c>
      <c r="J132" s="6">
        <f t="shared" ref="J132:J195" si="32">IF(D132&lt;=10,1,IF(AND(D132&gt;10,D132&lt;=20),2,IF(D132&gt;20,3)))</f>
        <v>2</v>
      </c>
      <c r="K132" s="6">
        <v>0</v>
      </c>
      <c r="L132" s="12">
        <f>('1-Specification &amp; Data'!B$22*'1-Specification &amp; Data'!B$10*'1-Specification &amp; Data'!B$20*('1-Simulation'!F132^2-'1-Specification &amp; Data'!B$21^2))/2</f>
        <v>35.24286943529966</v>
      </c>
      <c r="M132" s="6">
        <f t="shared" si="24"/>
        <v>378.12481325466007</v>
      </c>
      <c r="N132" s="12">
        <f>'1-Specification &amp; Data'!B$26*'1-Specification &amp; Data'!B$18*8.91</f>
        <v>585.0400446000001</v>
      </c>
      <c r="O132" s="12">
        <f t="shared" si="25"/>
        <v>998.40772728995989</v>
      </c>
      <c r="P132" s="14">
        <f t="shared" si="26"/>
        <v>998.40772728995989</v>
      </c>
      <c r="Q132" s="12">
        <f>IF(J132=1,'1-Specification &amp; Data'!B$52,IF('1-Simulation'!J132=2,'1-Specification &amp; Data'!B$53,IF('1-Simulation'!J132=3,'1-Specification &amp; Data'!B$54)))</f>
        <v>704.8687664682343</v>
      </c>
      <c r="R132" s="12">
        <f>(0.5*'1-Specification &amp; Data'!B$18*'1-Simulation'!F132^2)/1000</f>
        <v>26.243950760188916</v>
      </c>
      <c r="S132" s="6">
        <f t="shared" si="22"/>
        <v>28.295208555326422</v>
      </c>
      <c r="T132" s="12">
        <v>4.0919999999999996</v>
      </c>
      <c r="U132" s="14">
        <f>O132*'1-Specification &amp; Data'!B$14*0.9</f>
        <v>264.96205070387396</v>
      </c>
    </row>
    <row r="133" spans="1:21" x14ac:dyDescent="0.25">
      <c r="C133" s="6">
        <f t="shared" si="27"/>
        <v>131</v>
      </c>
      <c r="D133" s="6">
        <v>19.8</v>
      </c>
      <c r="E133" s="12">
        <f t="shared" si="23"/>
        <v>31.864958380644989</v>
      </c>
      <c r="F133" s="12">
        <f t="shared" si="28"/>
        <v>8.851377327956941</v>
      </c>
      <c r="G133" s="13">
        <f t="shared" si="29"/>
        <v>1022.0211538977351</v>
      </c>
      <c r="H133" s="12">
        <f t="shared" si="30"/>
        <v>8.8960812538557121</v>
      </c>
      <c r="I133" s="12">
        <f t="shared" si="31"/>
        <v>-8.9407851797545845E-2</v>
      </c>
      <c r="J133" s="6">
        <f t="shared" si="32"/>
        <v>2</v>
      </c>
      <c r="K133" s="6">
        <v>0</v>
      </c>
      <c r="L133" s="12">
        <f>('1-Specification &amp; Data'!B$22*'1-Specification &amp; Data'!B$10*'1-Specification &amp; Data'!B$20*('1-Simulation'!F133^2-'1-Specification &amp; Data'!B$21^2))/2</f>
        <v>34.49501233573578</v>
      </c>
      <c r="M133" s="6">
        <f t="shared" si="24"/>
        <v>-63.020802209110848</v>
      </c>
      <c r="N133" s="12">
        <f>'1-Specification &amp; Data'!B$26*'1-Specification &amp; Data'!B$18*8.91</f>
        <v>585.0400446000001</v>
      </c>
      <c r="O133" s="12">
        <f t="shared" si="25"/>
        <v>556.51425472662504</v>
      </c>
      <c r="P133" s="14">
        <f t="shared" si="26"/>
        <v>556.51425472662504</v>
      </c>
      <c r="Q133" s="12">
        <f>IF(J133=1,'1-Specification &amp; Data'!B$52,IF('1-Simulation'!J133=2,'1-Specification &amp; Data'!B$53,IF('1-Simulation'!J133=3,'1-Specification &amp; Data'!B$54)))</f>
        <v>704.8687664682343</v>
      </c>
      <c r="R133" s="12">
        <f>(0.5*'1-Specification &amp; Data'!B$18*'1-Simulation'!F133^2)/1000</f>
        <v>25.721696140061162</v>
      </c>
      <c r="S133" s="6">
        <f t="shared" si="22"/>
        <v>28.295208555326422</v>
      </c>
      <c r="T133" s="12">
        <v>4.0919999999999996</v>
      </c>
      <c r="U133" s="14">
        <f>O133*'1-Specification &amp; Data'!B$14*0.9</f>
        <v>147.69032144668125</v>
      </c>
    </row>
    <row r="134" spans="1:21" x14ac:dyDescent="0.25">
      <c r="C134" s="6">
        <f t="shared" si="27"/>
        <v>132</v>
      </c>
      <c r="D134" s="6">
        <v>18</v>
      </c>
      <c r="E134" s="12">
        <f t="shared" si="23"/>
        <v>28.968143982404534</v>
      </c>
      <c r="F134" s="12">
        <f t="shared" si="28"/>
        <v>8.0467066617790373</v>
      </c>
      <c r="G134" s="13">
        <f t="shared" si="29"/>
        <v>1030.470195892603</v>
      </c>
      <c r="H134" s="12">
        <f t="shared" si="30"/>
        <v>8.44904199486799</v>
      </c>
      <c r="I134" s="12">
        <f t="shared" si="31"/>
        <v>-0.80467066617790195</v>
      </c>
      <c r="J134" s="6">
        <f t="shared" si="32"/>
        <v>2</v>
      </c>
      <c r="K134" s="6">
        <v>0</v>
      </c>
      <c r="L134" s="12">
        <f>('1-Specification &amp; Data'!B$22*'1-Specification &amp; Data'!B$10*'1-Specification &amp; Data'!B$20*('1-Simulation'!F134^2-'1-Specification &amp; Data'!B$21^2))/2</f>
        <v>28.102525268609277</v>
      </c>
      <c r="M134" s="6">
        <f t="shared" si="24"/>
        <v>-567.18721988199013</v>
      </c>
      <c r="N134" s="12">
        <f>'1-Specification &amp; Data'!B$26*'1-Specification &amp; Data'!B$18*8.91</f>
        <v>585.0400446000001</v>
      </c>
      <c r="O134" s="12">
        <f t="shared" si="25"/>
        <v>45.95534998661924</v>
      </c>
      <c r="P134" s="14">
        <f t="shared" si="26"/>
        <v>45.95534998661924</v>
      </c>
      <c r="Q134" s="12">
        <f>IF(J134=1,'1-Specification &amp; Data'!B$52,IF('1-Simulation'!J134=2,'1-Specification &amp; Data'!B$53,IF('1-Simulation'!J134=3,'1-Specification &amp; Data'!B$54)))</f>
        <v>704.8687664682343</v>
      </c>
      <c r="R134" s="12">
        <f>(0.5*'1-Specification &amp; Data'!B$18*'1-Simulation'!F134^2)/1000</f>
        <v>21.257600115753025</v>
      </c>
      <c r="S134" s="6">
        <f t="shared" si="22"/>
        <v>28.295208555326422</v>
      </c>
      <c r="T134" s="12">
        <v>4.0919999999999996</v>
      </c>
      <c r="U134" s="14">
        <f>O134*'1-Specification &amp; Data'!B$14*0.9</f>
        <v>12.195842881064337</v>
      </c>
    </row>
    <row r="135" spans="1:21" x14ac:dyDescent="0.25">
      <c r="B135" s="17" t="s">
        <v>110</v>
      </c>
      <c r="C135" s="6">
        <f t="shared" si="27"/>
        <v>133</v>
      </c>
      <c r="D135" s="6">
        <v>16</v>
      </c>
      <c r="E135" s="12">
        <f t="shared" si="23"/>
        <v>25.749461317692919</v>
      </c>
      <c r="F135" s="12">
        <f t="shared" si="28"/>
        <v>7.1526281438035886</v>
      </c>
      <c r="G135" s="13">
        <f t="shared" si="29"/>
        <v>1038.0698632953943</v>
      </c>
      <c r="H135" s="12">
        <f t="shared" si="30"/>
        <v>7.5996674027913134</v>
      </c>
      <c r="I135" s="12">
        <f t="shared" si="31"/>
        <v>-0.8940785179754478</v>
      </c>
      <c r="J135" s="6">
        <f t="shared" si="32"/>
        <v>2</v>
      </c>
      <c r="K135" s="6">
        <v>0</v>
      </c>
      <c r="L135" s="12">
        <f>('1-Specification &amp; Data'!B$22*'1-Specification &amp; Data'!B$10*'1-Specification &amp; Data'!B$20*('1-Simulation'!F135^2-'1-Specification &amp; Data'!B$21^2))/2</f>
        <v>21.713796277359986</v>
      </c>
      <c r="M135" s="6">
        <f t="shared" si="24"/>
        <v>-630.20802209110093</v>
      </c>
      <c r="N135" s="12">
        <f>'1-Specification &amp; Data'!B$26*'1-Specification &amp; Data'!B$18*8.91</f>
        <v>585.0400446000001</v>
      </c>
      <c r="O135" s="12">
        <f t="shared" si="25"/>
        <v>-23.454181213740867</v>
      </c>
      <c r="P135" s="14">
        <f t="shared" si="26"/>
        <v>23.454181213740867</v>
      </c>
      <c r="Q135" s="12">
        <f>IF(J135=1,'1-Specification &amp; Data'!B$52,IF('1-Simulation'!J135=2,'1-Specification &amp; Data'!B$53,IF('1-Simulation'!J135=3,'1-Specification &amp; Data'!B$54)))</f>
        <v>704.8687664682343</v>
      </c>
      <c r="R135" s="12">
        <f>(0.5*'1-Specification &amp; Data'!B$18*'1-Simulation'!F135^2)/1000</f>
        <v>16.79612848652091</v>
      </c>
      <c r="S135" s="6">
        <f t="shared" si="22"/>
        <v>28.295208555326422</v>
      </c>
      <c r="T135" s="12">
        <v>4.0919999999999996</v>
      </c>
      <c r="U135" s="14">
        <f>O135*'1-Specification &amp; Data'!B$14*0.9</f>
        <v>-6.2243788605696917</v>
      </c>
    </row>
    <row r="136" spans="1:21" x14ac:dyDescent="0.25">
      <c r="C136" s="6">
        <f t="shared" si="27"/>
        <v>134</v>
      </c>
      <c r="D136" s="6">
        <v>16</v>
      </c>
      <c r="E136" s="12">
        <f t="shared" si="23"/>
        <v>25.749461317692919</v>
      </c>
      <c r="F136" s="12">
        <f t="shared" si="28"/>
        <v>7.1526281438035886</v>
      </c>
      <c r="G136" s="13">
        <f t="shared" si="29"/>
        <v>1045.2224914391979</v>
      </c>
      <c r="H136" s="12">
        <f t="shared" si="30"/>
        <v>7.1526281438035886</v>
      </c>
      <c r="I136" s="12">
        <f t="shared" si="31"/>
        <v>0</v>
      </c>
      <c r="J136" s="6">
        <f t="shared" si="32"/>
        <v>2</v>
      </c>
      <c r="K136" s="6">
        <v>0</v>
      </c>
      <c r="L136" s="12">
        <f>('1-Specification &amp; Data'!B$22*'1-Specification &amp; Data'!B$10*'1-Specification &amp; Data'!B$20*('1-Simulation'!F136^2-'1-Specification &amp; Data'!B$21^2))/2</f>
        <v>21.713796277359986</v>
      </c>
      <c r="M136" s="6">
        <f t="shared" si="24"/>
        <v>0</v>
      </c>
      <c r="N136" s="12">
        <f>'1-Specification &amp; Data'!B$26*'1-Specification &amp; Data'!B$18*8.91</f>
        <v>585.0400446000001</v>
      </c>
      <c r="O136" s="12">
        <f t="shared" si="25"/>
        <v>606.75384087736006</v>
      </c>
      <c r="P136" s="14">
        <f t="shared" si="26"/>
        <v>606.75384087736006</v>
      </c>
      <c r="Q136" s="12">
        <f>IF(J136=1,'1-Specification &amp; Data'!B$52,IF('1-Simulation'!J136=2,'1-Specification &amp; Data'!B$53,IF('1-Simulation'!J136=3,'1-Specification &amp; Data'!B$54)))</f>
        <v>704.8687664682343</v>
      </c>
      <c r="R136" s="12">
        <f>(0.5*'1-Specification &amp; Data'!B$18*'1-Simulation'!F136^2)/1000</f>
        <v>16.79612848652091</v>
      </c>
      <c r="S136" s="6">
        <f t="shared" si="22"/>
        <v>28.295208555326422</v>
      </c>
      <c r="T136" s="12">
        <v>4.0919999999999996</v>
      </c>
      <c r="U136" s="14">
        <f>O136*'1-Specification &amp; Data'!B$14*0.9</f>
        <v>161.02313469437632</v>
      </c>
    </row>
    <row r="137" spans="1:21" x14ac:dyDescent="0.25">
      <c r="C137" s="6">
        <f t="shared" si="27"/>
        <v>135</v>
      </c>
      <c r="D137" s="6">
        <v>16</v>
      </c>
      <c r="E137" s="12">
        <f t="shared" si="23"/>
        <v>25.749461317692919</v>
      </c>
      <c r="F137" s="12">
        <f t="shared" si="28"/>
        <v>7.1526281438035886</v>
      </c>
      <c r="G137" s="13">
        <f t="shared" si="29"/>
        <v>1052.3751195830016</v>
      </c>
      <c r="H137" s="12">
        <f t="shared" si="30"/>
        <v>7.1526281438035886</v>
      </c>
      <c r="I137" s="12">
        <f t="shared" si="31"/>
        <v>0</v>
      </c>
      <c r="J137" s="6">
        <f t="shared" si="32"/>
        <v>2</v>
      </c>
      <c r="K137" s="6">
        <v>0</v>
      </c>
      <c r="L137" s="12">
        <f>('1-Specification &amp; Data'!B$22*'1-Specification &amp; Data'!B$10*'1-Specification &amp; Data'!B$20*('1-Simulation'!F137^2-'1-Specification &amp; Data'!B$21^2))/2</f>
        <v>21.713796277359986</v>
      </c>
      <c r="M137" s="6">
        <f t="shared" si="24"/>
        <v>0</v>
      </c>
      <c r="N137" s="12">
        <f>'1-Specification &amp; Data'!B$26*'1-Specification &amp; Data'!B$18*8.91</f>
        <v>585.0400446000001</v>
      </c>
      <c r="O137" s="12">
        <f t="shared" si="25"/>
        <v>606.75384087736006</v>
      </c>
      <c r="P137" s="14">
        <f t="shared" si="26"/>
        <v>606.75384087736006</v>
      </c>
      <c r="Q137" s="12">
        <f>IF(J137=1,'1-Specification &amp; Data'!B$52,IF('1-Simulation'!J137=2,'1-Specification &amp; Data'!B$53,IF('1-Simulation'!J137=3,'1-Specification &amp; Data'!B$54)))</f>
        <v>704.8687664682343</v>
      </c>
      <c r="R137" s="12">
        <f>(0.5*'1-Specification &amp; Data'!B$18*'1-Simulation'!F137^2)/1000</f>
        <v>16.79612848652091</v>
      </c>
      <c r="S137" s="6">
        <f t="shared" si="22"/>
        <v>28.295208555326422</v>
      </c>
      <c r="T137" s="12">
        <v>4.0919999999999996</v>
      </c>
      <c r="U137" s="14">
        <f>O137*'1-Specification &amp; Data'!B$14*0.9</f>
        <v>161.02313469437632</v>
      </c>
    </row>
    <row r="138" spans="1:21" x14ac:dyDescent="0.25">
      <c r="C138" s="6">
        <f t="shared" si="27"/>
        <v>136</v>
      </c>
      <c r="D138" s="6">
        <v>16</v>
      </c>
      <c r="E138" s="12">
        <f t="shared" si="23"/>
        <v>25.749461317692919</v>
      </c>
      <c r="F138" s="12">
        <f t="shared" si="28"/>
        <v>7.1526281438035886</v>
      </c>
      <c r="G138" s="13">
        <f t="shared" si="29"/>
        <v>1059.5277477268053</v>
      </c>
      <c r="H138" s="12">
        <f t="shared" si="30"/>
        <v>7.1526281438035886</v>
      </c>
      <c r="I138" s="12">
        <f t="shared" si="31"/>
        <v>0</v>
      </c>
      <c r="J138" s="6">
        <f t="shared" si="32"/>
        <v>2</v>
      </c>
      <c r="K138" s="6">
        <v>0</v>
      </c>
      <c r="L138" s="12">
        <f>('1-Specification &amp; Data'!B$22*'1-Specification &amp; Data'!B$10*'1-Specification &amp; Data'!B$20*('1-Simulation'!F138^2-'1-Specification &amp; Data'!B$21^2))/2</f>
        <v>21.713796277359986</v>
      </c>
      <c r="M138" s="6">
        <f t="shared" si="24"/>
        <v>0</v>
      </c>
      <c r="N138" s="12">
        <f>'1-Specification &amp; Data'!B$26*'1-Specification &amp; Data'!B$18*8.91</f>
        <v>585.0400446000001</v>
      </c>
      <c r="O138" s="12">
        <f t="shared" si="25"/>
        <v>606.75384087736006</v>
      </c>
      <c r="P138" s="14">
        <f t="shared" si="26"/>
        <v>606.75384087736006</v>
      </c>
      <c r="Q138" s="12">
        <f>IF(J138=1,'1-Specification &amp; Data'!B$52,IF('1-Simulation'!J138=2,'1-Specification &amp; Data'!B$53,IF('1-Simulation'!J138=3,'1-Specification &amp; Data'!B$54)))</f>
        <v>704.8687664682343</v>
      </c>
      <c r="R138" s="12">
        <f>(0.5*'1-Specification &amp; Data'!B$18*'1-Simulation'!F138^2)/1000</f>
        <v>16.79612848652091</v>
      </c>
      <c r="S138" s="6">
        <f t="shared" si="22"/>
        <v>28.295208555326422</v>
      </c>
      <c r="T138" s="12">
        <v>4.0919999999999996</v>
      </c>
      <c r="U138" s="14">
        <f>O138*'1-Specification &amp; Data'!B$14*0.9</f>
        <v>161.02313469437632</v>
      </c>
    </row>
    <row r="139" spans="1:21" x14ac:dyDescent="0.25">
      <c r="C139" s="6">
        <f t="shared" si="27"/>
        <v>137</v>
      </c>
      <c r="D139" s="6">
        <v>16</v>
      </c>
      <c r="E139" s="12">
        <f t="shared" si="23"/>
        <v>25.749461317692919</v>
      </c>
      <c r="F139" s="12">
        <f t="shared" si="28"/>
        <v>7.1526281438035886</v>
      </c>
      <c r="G139" s="13">
        <f t="shared" si="29"/>
        <v>1066.6803758706089</v>
      </c>
      <c r="H139" s="12">
        <f t="shared" si="30"/>
        <v>7.1526281438035886</v>
      </c>
      <c r="I139" s="12">
        <f t="shared" si="31"/>
        <v>0</v>
      </c>
      <c r="J139" s="6">
        <f t="shared" si="32"/>
        <v>2</v>
      </c>
      <c r="K139" s="6">
        <v>0</v>
      </c>
      <c r="L139" s="12">
        <f>('1-Specification &amp; Data'!B$22*'1-Specification &amp; Data'!B$10*'1-Specification &amp; Data'!B$20*('1-Simulation'!F139^2-'1-Specification &amp; Data'!B$21^2))/2</f>
        <v>21.713796277359986</v>
      </c>
      <c r="M139" s="6">
        <f t="shared" si="24"/>
        <v>0</v>
      </c>
      <c r="N139" s="12">
        <f>'1-Specification &amp; Data'!B$26*'1-Specification &amp; Data'!B$18*8.91</f>
        <v>585.0400446000001</v>
      </c>
      <c r="O139" s="12">
        <f t="shared" si="25"/>
        <v>606.75384087736006</v>
      </c>
      <c r="P139" s="14">
        <f t="shared" si="26"/>
        <v>606.75384087736006</v>
      </c>
      <c r="Q139" s="12">
        <f>IF(J139=1,'1-Specification &amp; Data'!B$52,IF('1-Simulation'!J139=2,'1-Specification &amp; Data'!B$53,IF('1-Simulation'!J139=3,'1-Specification &amp; Data'!B$54)))</f>
        <v>704.8687664682343</v>
      </c>
      <c r="R139" s="12">
        <f>(0.5*'1-Specification &amp; Data'!B$18*'1-Simulation'!F139^2)/1000</f>
        <v>16.79612848652091</v>
      </c>
      <c r="S139" s="6">
        <f t="shared" si="22"/>
        <v>28.295208555326422</v>
      </c>
      <c r="T139" s="12">
        <v>4.0919999999999996</v>
      </c>
      <c r="U139" s="14">
        <f>O139*'1-Specification &amp; Data'!B$14*0.9</f>
        <v>161.02313469437632</v>
      </c>
    </row>
    <row r="140" spans="1:21" x14ac:dyDescent="0.25">
      <c r="C140" s="6">
        <f t="shared" si="27"/>
        <v>138</v>
      </c>
      <c r="D140" s="6">
        <v>16</v>
      </c>
      <c r="E140" s="12">
        <f t="shared" si="23"/>
        <v>25.749461317692919</v>
      </c>
      <c r="F140" s="12">
        <f t="shared" si="28"/>
        <v>7.1526281438035886</v>
      </c>
      <c r="G140" s="13">
        <f t="shared" si="29"/>
        <v>1073.8330040144126</v>
      </c>
      <c r="H140" s="12">
        <f t="shared" si="30"/>
        <v>7.1526281438035886</v>
      </c>
      <c r="I140" s="12">
        <f t="shared" si="31"/>
        <v>0</v>
      </c>
      <c r="J140" s="6">
        <f t="shared" si="32"/>
        <v>2</v>
      </c>
      <c r="K140" s="6">
        <v>0</v>
      </c>
      <c r="L140" s="12">
        <f>('1-Specification &amp; Data'!B$22*'1-Specification &amp; Data'!B$10*'1-Specification &amp; Data'!B$20*('1-Simulation'!F140^2-'1-Specification &amp; Data'!B$21^2))/2</f>
        <v>21.713796277359986</v>
      </c>
      <c r="M140" s="6">
        <f t="shared" si="24"/>
        <v>0</v>
      </c>
      <c r="N140" s="12">
        <f>'1-Specification &amp; Data'!B$26*'1-Specification &amp; Data'!B$18*8.91</f>
        <v>585.0400446000001</v>
      </c>
      <c r="O140" s="12">
        <f t="shared" si="25"/>
        <v>606.75384087736006</v>
      </c>
      <c r="P140" s="14">
        <f t="shared" si="26"/>
        <v>606.75384087736006</v>
      </c>
      <c r="Q140" s="12">
        <f>IF(J140=1,'1-Specification &amp; Data'!B$52,IF('1-Simulation'!J140=2,'1-Specification &amp; Data'!B$53,IF('1-Simulation'!J140=3,'1-Specification &amp; Data'!B$54)))</f>
        <v>704.8687664682343</v>
      </c>
      <c r="R140" s="12">
        <f>(0.5*'1-Specification &amp; Data'!B$18*'1-Simulation'!F140^2)/1000</f>
        <v>16.79612848652091</v>
      </c>
      <c r="S140" s="6">
        <f t="shared" si="22"/>
        <v>28.295208555326422</v>
      </c>
      <c r="T140" s="12">
        <v>4.0919999999999996</v>
      </c>
      <c r="U140" s="14">
        <f>O140*'1-Specification &amp; Data'!B$14*0.9</f>
        <v>161.02313469437632</v>
      </c>
    </row>
    <row r="141" spans="1:21" x14ac:dyDescent="0.25">
      <c r="B141" s="17" t="s">
        <v>111</v>
      </c>
      <c r="C141" s="6">
        <f t="shared" si="27"/>
        <v>139</v>
      </c>
      <c r="D141" s="6">
        <v>16</v>
      </c>
      <c r="E141" s="12">
        <f t="shared" si="23"/>
        <v>25.749461317692919</v>
      </c>
      <c r="F141" s="12">
        <f t="shared" si="28"/>
        <v>7.1526281438035886</v>
      </c>
      <c r="G141" s="13">
        <f t="shared" si="29"/>
        <v>1080.9856321582163</v>
      </c>
      <c r="H141" s="12">
        <f t="shared" si="30"/>
        <v>7.1526281438035886</v>
      </c>
      <c r="I141" s="12">
        <f t="shared" si="31"/>
        <v>0</v>
      </c>
      <c r="J141" s="6">
        <f t="shared" si="32"/>
        <v>2</v>
      </c>
      <c r="K141" s="6">
        <v>0</v>
      </c>
      <c r="L141" s="12">
        <f>('1-Specification &amp; Data'!B$22*'1-Specification &amp; Data'!B$10*'1-Specification &amp; Data'!B$20*('1-Simulation'!F141^2-'1-Specification &amp; Data'!B$21^2))/2</f>
        <v>21.713796277359986</v>
      </c>
      <c r="M141" s="6">
        <f t="shared" si="24"/>
        <v>0</v>
      </c>
      <c r="N141" s="12">
        <f>'1-Specification &amp; Data'!B$26*'1-Specification &amp; Data'!B$18*8.91</f>
        <v>585.0400446000001</v>
      </c>
      <c r="O141" s="12">
        <f t="shared" si="25"/>
        <v>606.75384087736006</v>
      </c>
      <c r="P141" s="14">
        <f t="shared" si="26"/>
        <v>606.75384087736006</v>
      </c>
      <c r="Q141" s="12">
        <f>IF(J141=1,'1-Specification &amp; Data'!B$52,IF('1-Simulation'!J141=2,'1-Specification &amp; Data'!B$53,IF('1-Simulation'!J141=3,'1-Specification &amp; Data'!B$54)))</f>
        <v>704.8687664682343</v>
      </c>
      <c r="R141" s="12">
        <f>(0.5*'1-Specification &amp; Data'!B$18*'1-Simulation'!F141^2)/1000</f>
        <v>16.79612848652091</v>
      </c>
      <c r="S141" s="6">
        <f t="shared" si="22"/>
        <v>28.295208555326422</v>
      </c>
      <c r="T141" s="12">
        <v>4.0919999999999996</v>
      </c>
      <c r="U141" s="14">
        <f>O141*'1-Specification &amp; Data'!B$14*0.9</f>
        <v>161.02313469437632</v>
      </c>
    </row>
    <row r="142" spans="1:21" x14ac:dyDescent="0.25">
      <c r="C142" s="6">
        <f t="shared" si="27"/>
        <v>140</v>
      </c>
      <c r="D142" s="6">
        <v>17</v>
      </c>
      <c r="E142" s="12">
        <f t="shared" si="23"/>
        <v>27.358802650048727</v>
      </c>
      <c r="F142" s="12">
        <f t="shared" si="28"/>
        <v>7.5996674027913125</v>
      </c>
      <c r="G142" s="13">
        <f t="shared" si="29"/>
        <v>1088.3617799315136</v>
      </c>
      <c r="H142" s="12">
        <f t="shared" si="30"/>
        <v>7.3761477732974505</v>
      </c>
      <c r="I142" s="12">
        <f t="shared" si="31"/>
        <v>0.4470392589877239</v>
      </c>
      <c r="J142" s="6">
        <f t="shared" si="32"/>
        <v>2</v>
      </c>
      <c r="K142" s="6">
        <v>0</v>
      </c>
      <c r="L142" s="12">
        <f>('1-Specification &amp; Data'!B$22*'1-Specification &amp; Data'!B$10*'1-Specification &amp; Data'!B$20*('1-Simulation'!F142^2-'1-Specification &amp; Data'!B$21^2))/2</f>
        <v>24.81420887605449</v>
      </c>
      <c r="M142" s="6">
        <f t="shared" si="24"/>
        <v>315.10401104555046</v>
      </c>
      <c r="N142" s="12">
        <f>'1-Specification &amp; Data'!B$26*'1-Specification &amp; Data'!B$18*8.91</f>
        <v>585.0400446000001</v>
      </c>
      <c r="O142" s="12">
        <f t="shared" si="25"/>
        <v>924.95826452160509</v>
      </c>
      <c r="P142" s="14">
        <f t="shared" si="26"/>
        <v>924.95826452160509</v>
      </c>
      <c r="Q142" s="12">
        <f>IF(J142=1,'1-Specification &amp; Data'!B$52,IF('1-Simulation'!J142=2,'1-Specification &amp; Data'!B$53,IF('1-Simulation'!J142=3,'1-Specification &amp; Data'!B$54)))</f>
        <v>704.8687664682343</v>
      </c>
      <c r="R142" s="12">
        <f>(0.5*'1-Specification &amp; Data'!B$18*'1-Simulation'!F142^2)/1000</f>
        <v>18.961254424236493</v>
      </c>
      <c r="S142" s="6">
        <f t="shared" si="22"/>
        <v>28.295208555326422</v>
      </c>
      <c r="T142" s="12">
        <v>4.0919999999999996</v>
      </c>
      <c r="U142" s="14">
        <f>O142*'1-Specification &amp; Data'!B$14*0.9</f>
        <v>245.46969327688751</v>
      </c>
    </row>
    <row r="143" spans="1:21" x14ac:dyDescent="0.25">
      <c r="C143" s="6">
        <f t="shared" si="27"/>
        <v>141</v>
      </c>
      <c r="D143" s="6">
        <v>18</v>
      </c>
      <c r="E143" s="12">
        <f t="shared" si="23"/>
        <v>28.968143982404534</v>
      </c>
      <c r="F143" s="12">
        <f t="shared" si="28"/>
        <v>8.0467066617790373</v>
      </c>
      <c r="G143" s="13">
        <f t="shared" si="29"/>
        <v>1096.1849669637988</v>
      </c>
      <c r="H143" s="12">
        <f t="shared" si="30"/>
        <v>7.8231870322851744</v>
      </c>
      <c r="I143" s="12">
        <f t="shared" si="31"/>
        <v>0.4470392589877239</v>
      </c>
      <c r="J143" s="6">
        <f t="shared" si="32"/>
        <v>2</v>
      </c>
      <c r="K143" s="6">
        <v>0</v>
      </c>
      <c r="L143" s="12">
        <f>('1-Specification &amp; Data'!B$22*'1-Specification &amp; Data'!B$10*'1-Specification &amp; Data'!B$20*('1-Simulation'!F143^2-'1-Specification &amp; Data'!B$21^2))/2</f>
        <v>28.102525268609277</v>
      </c>
      <c r="M143" s="6">
        <f t="shared" si="24"/>
        <v>315.10401104555046</v>
      </c>
      <c r="N143" s="12">
        <f>'1-Specification &amp; Data'!B$26*'1-Specification &amp; Data'!B$18*8.91</f>
        <v>585.0400446000001</v>
      </c>
      <c r="O143" s="12">
        <f t="shared" si="25"/>
        <v>928.24658091415984</v>
      </c>
      <c r="P143" s="14">
        <f t="shared" si="26"/>
        <v>928.24658091415984</v>
      </c>
      <c r="Q143" s="12">
        <f>IF(J143=1,'1-Specification &amp; Data'!B$52,IF('1-Simulation'!J143=2,'1-Specification &amp; Data'!B$53,IF('1-Simulation'!J143=3,'1-Specification &amp; Data'!B$54)))</f>
        <v>704.8687664682343</v>
      </c>
      <c r="R143" s="12">
        <f>(0.5*'1-Specification &amp; Data'!B$18*'1-Simulation'!F143^2)/1000</f>
        <v>21.257600115753025</v>
      </c>
      <c r="S143" s="6">
        <f t="shared" si="22"/>
        <v>28.295208555326422</v>
      </c>
      <c r="T143" s="12">
        <v>4.0919999999999996</v>
      </c>
      <c r="U143" s="14">
        <f>O143*'1-Specification &amp; Data'!B$14*0.9</f>
        <v>246.34236185798861</v>
      </c>
    </row>
    <row r="144" spans="1:21" x14ac:dyDescent="0.25">
      <c r="C144" s="6">
        <f t="shared" si="27"/>
        <v>142</v>
      </c>
      <c r="D144" s="6">
        <v>17</v>
      </c>
      <c r="E144" s="12">
        <f t="shared" si="23"/>
        <v>27.358802650048727</v>
      </c>
      <c r="F144" s="12">
        <f t="shared" si="28"/>
        <v>7.5996674027913125</v>
      </c>
      <c r="G144" s="13">
        <f t="shared" si="29"/>
        <v>1104.008153996084</v>
      </c>
      <c r="H144" s="12">
        <f t="shared" si="30"/>
        <v>7.8231870322851744</v>
      </c>
      <c r="I144" s="12">
        <f t="shared" si="31"/>
        <v>-0.44703925898772567</v>
      </c>
      <c r="J144" s="6">
        <f t="shared" si="32"/>
        <v>2</v>
      </c>
      <c r="K144" s="6">
        <v>0</v>
      </c>
      <c r="L144" s="12">
        <f>('1-Specification &amp; Data'!B$22*'1-Specification &amp; Data'!B$10*'1-Specification &amp; Data'!B$20*('1-Simulation'!F144^2-'1-Specification &amp; Data'!B$21^2))/2</f>
        <v>24.81420887605449</v>
      </c>
      <c r="M144" s="6">
        <f t="shared" si="24"/>
        <v>-315.10401104555172</v>
      </c>
      <c r="N144" s="12">
        <f>'1-Specification &amp; Data'!B$26*'1-Specification &amp; Data'!B$18*8.91</f>
        <v>585.0400446000001</v>
      </c>
      <c r="O144" s="12">
        <f t="shared" si="25"/>
        <v>294.75024243050285</v>
      </c>
      <c r="P144" s="14">
        <f t="shared" si="26"/>
        <v>294.75024243050285</v>
      </c>
      <c r="Q144" s="12">
        <f>IF(J144=1,'1-Specification &amp; Data'!B$52,IF('1-Simulation'!J144=2,'1-Specification &amp; Data'!B$53,IF('1-Simulation'!J144=3,'1-Specification &amp; Data'!B$54)))</f>
        <v>704.8687664682343</v>
      </c>
      <c r="R144" s="12">
        <f>(0.5*'1-Specification &amp; Data'!B$18*'1-Simulation'!F144^2)/1000</f>
        <v>18.961254424236493</v>
      </c>
      <c r="S144" s="6">
        <f t="shared" si="22"/>
        <v>28.295208555326422</v>
      </c>
      <c r="T144" s="12">
        <v>4.0919999999999996</v>
      </c>
      <c r="U144" s="14">
        <f>O144*'1-Specification &amp; Data'!B$14*0.9</f>
        <v>78.222179721941146</v>
      </c>
    </row>
    <row r="145" spans="2:21" x14ac:dyDescent="0.25">
      <c r="B145" s="17" t="s">
        <v>112</v>
      </c>
      <c r="C145" s="6">
        <f t="shared" si="27"/>
        <v>143</v>
      </c>
      <c r="D145" s="6">
        <v>15.5</v>
      </c>
      <c r="E145" s="12">
        <f t="shared" si="23"/>
        <v>24.944790651515017</v>
      </c>
      <c r="F145" s="12">
        <f t="shared" si="28"/>
        <v>6.9291085143097266</v>
      </c>
      <c r="G145" s="13">
        <f t="shared" si="29"/>
        <v>1111.2725419546346</v>
      </c>
      <c r="H145" s="12">
        <f t="shared" si="30"/>
        <v>7.26438795855052</v>
      </c>
      <c r="I145" s="12">
        <f t="shared" si="31"/>
        <v>-0.67055888848158496</v>
      </c>
      <c r="J145" s="6">
        <f t="shared" si="32"/>
        <v>2</v>
      </c>
      <c r="K145" s="6">
        <v>0</v>
      </c>
      <c r="L145" s="12">
        <f>('1-Specification &amp; Data'!B$22*'1-Specification &amp; Data'!B$10*'1-Specification &amp; Data'!B$20*('1-Simulation'!F145^2-'1-Specification &amp; Data'!B$21^2))/2</f>
        <v>20.234053900710336</v>
      </c>
      <c r="M145" s="6">
        <f t="shared" si="24"/>
        <v>-472.65601656832507</v>
      </c>
      <c r="N145" s="12">
        <f>'1-Specification &amp; Data'!B$26*'1-Specification &amp; Data'!B$18*8.91</f>
        <v>585.0400446000001</v>
      </c>
      <c r="O145" s="12">
        <f t="shared" si="25"/>
        <v>132.61808193238539</v>
      </c>
      <c r="P145" s="14">
        <f t="shared" si="26"/>
        <v>132.61808193238539</v>
      </c>
      <c r="Q145" s="12">
        <f>IF(J145=1,'1-Specification &amp; Data'!B$52,IF('1-Simulation'!J145=2,'1-Specification &amp; Data'!B$53,IF('1-Simulation'!J145=3,'1-Specification &amp; Data'!B$54)))</f>
        <v>704.8687664682343</v>
      </c>
      <c r="R145" s="12">
        <f>(0.5*'1-Specification &amp; Data'!B$18*'1-Simulation'!F145^2)/1000</f>
        <v>15.762772925338471</v>
      </c>
      <c r="S145" s="6">
        <f t="shared" si="22"/>
        <v>28.295208555326422</v>
      </c>
      <c r="T145" s="12">
        <v>4.0919999999999996</v>
      </c>
      <c r="U145" s="14">
        <f>O145*'1-Specification &amp; Data'!B$14*0.9</f>
        <v>35.19479866667151</v>
      </c>
    </row>
    <row r="146" spans="2:21" x14ac:dyDescent="0.25">
      <c r="C146" s="6">
        <f t="shared" si="27"/>
        <v>144</v>
      </c>
      <c r="D146" s="6">
        <v>15.5</v>
      </c>
      <c r="E146" s="12">
        <f t="shared" si="23"/>
        <v>24.944790651515017</v>
      </c>
      <c r="F146" s="12">
        <f t="shared" si="28"/>
        <v>6.9291085143097266</v>
      </c>
      <c r="G146" s="13">
        <f t="shared" si="29"/>
        <v>1118.2016504689443</v>
      </c>
      <c r="H146" s="12">
        <f t="shared" si="30"/>
        <v>6.9291085143097266</v>
      </c>
      <c r="I146" s="12">
        <f t="shared" si="31"/>
        <v>0</v>
      </c>
      <c r="J146" s="6">
        <f t="shared" si="32"/>
        <v>2</v>
      </c>
      <c r="K146" s="6">
        <v>0</v>
      </c>
      <c r="L146" s="12">
        <f>('1-Specification &amp; Data'!B$22*'1-Specification &amp; Data'!B$10*'1-Specification &amp; Data'!B$20*('1-Simulation'!F146^2-'1-Specification &amp; Data'!B$21^2))/2</f>
        <v>20.234053900710336</v>
      </c>
      <c r="M146" s="6">
        <f t="shared" si="24"/>
        <v>0</v>
      </c>
      <c r="N146" s="12">
        <f>'1-Specification &amp; Data'!B$26*'1-Specification &amp; Data'!B$18*8.91</f>
        <v>585.0400446000001</v>
      </c>
      <c r="O146" s="12">
        <f t="shared" si="25"/>
        <v>605.27409850071047</v>
      </c>
      <c r="P146" s="14">
        <f t="shared" si="26"/>
        <v>605.27409850071047</v>
      </c>
      <c r="Q146" s="12">
        <f>IF(J146=1,'1-Specification &amp; Data'!B$52,IF('1-Simulation'!J146=2,'1-Specification &amp; Data'!B$53,IF('1-Simulation'!J146=3,'1-Specification &amp; Data'!B$54)))</f>
        <v>704.8687664682343</v>
      </c>
      <c r="R146" s="12">
        <f>(0.5*'1-Specification &amp; Data'!B$18*'1-Simulation'!F146^2)/1000</f>
        <v>15.762772925338471</v>
      </c>
      <c r="S146" s="6">
        <f t="shared" si="22"/>
        <v>28.295208555326422</v>
      </c>
      <c r="T146" s="12">
        <v>4.0919999999999996</v>
      </c>
      <c r="U146" s="14">
        <f>O146*'1-Specification &amp; Data'!B$14*0.9</f>
        <v>160.63043383288084</v>
      </c>
    </row>
    <row r="147" spans="2:21" x14ac:dyDescent="0.25">
      <c r="C147" s="6">
        <f t="shared" si="27"/>
        <v>145</v>
      </c>
      <c r="D147" s="6">
        <v>15.5</v>
      </c>
      <c r="E147" s="12">
        <f t="shared" si="23"/>
        <v>24.944790651515017</v>
      </c>
      <c r="F147" s="12">
        <f t="shared" si="28"/>
        <v>6.9291085143097266</v>
      </c>
      <c r="G147" s="13">
        <f t="shared" si="29"/>
        <v>1125.1307589832541</v>
      </c>
      <c r="H147" s="12">
        <f t="shared" si="30"/>
        <v>6.9291085143097266</v>
      </c>
      <c r="I147" s="12">
        <f t="shared" si="31"/>
        <v>0</v>
      </c>
      <c r="J147" s="6">
        <f t="shared" si="32"/>
        <v>2</v>
      </c>
      <c r="K147" s="6">
        <v>0</v>
      </c>
      <c r="L147" s="12">
        <f>('1-Specification &amp; Data'!B$22*'1-Specification &amp; Data'!B$10*'1-Specification &amp; Data'!B$20*('1-Simulation'!F147^2-'1-Specification &amp; Data'!B$21^2))/2</f>
        <v>20.234053900710336</v>
      </c>
      <c r="M147" s="6">
        <f t="shared" si="24"/>
        <v>0</v>
      </c>
      <c r="N147" s="12">
        <f>'1-Specification &amp; Data'!B$26*'1-Specification &amp; Data'!B$18*8.91</f>
        <v>585.0400446000001</v>
      </c>
      <c r="O147" s="12">
        <f t="shared" si="25"/>
        <v>605.27409850071047</v>
      </c>
      <c r="P147" s="14">
        <f t="shared" si="26"/>
        <v>605.27409850071047</v>
      </c>
      <c r="Q147" s="12">
        <f>IF(J147=1,'1-Specification &amp; Data'!B$52,IF('1-Simulation'!J147=2,'1-Specification &amp; Data'!B$53,IF('1-Simulation'!J147=3,'1-Specification &amp; Data'!B$54)))</f>
        <v>704.8687664682343</v>
      </c>
      <c r="R147" s="12">
        <f>(0.5*'1-Specification &amp; Data'!B$18*'1-Simulation'!F147^2)/1000</f>
        <v>15.762772925338471</v>
      </c>
      <c r="S147" s="6">
        <f t="shared" si="22"/>
        <v>28.295208555326422</v>
      </c>
      <c r="T147" s="12">
        <v>4.0919999999999996</v>
      </c>
      <c r="U147" s="14">
        <f>O147*'1-Specification &amp; Data'!B$14*0.9</f>
        <v>160.63043383288084</v>
      </c>
    </row>
    <row r="148" spans="2:21" x14ac:dyDescent="0.25">
      <c r="C148" s="6">
        <f t="shared" si="27"/>
        <v>146</v>
      </c>
      <c r="D148" s="6">
        <v>15.5</v>
      </c>
      <c r="E148" s="12">
        <f t="shared" si="23"/>
        <v>24.944790651515017</v>
      </c>
      <c r="F148" s="12">
        <f t="shared" si="28"/>
        <v>6.9291085143097266</v>
      </c>
      <c r="G148" s="13">
        <f t="shared" si="29"/>
        <v>1132.0598674975638</v>
      </c>
      <c r="H148" s="12">
        <f t="shared" si="30"/>
        <v>6.9291085143097266</v>
      </c>
      <c r="I148" s="12">
        <f t="shared" si="31"/>
        <v>0</v>
      </c>
      <c r="J148" s="6">
        <f t="shared" si="32"/>
        <v>2</v>
      </c>
      <c r="K148" s="6">
        <v>0</v>
      </c>
      <c r="L148" s="12">
        <f>('1-Specification &amp; Data'!B$22*'1-Specification &amp; Data'!B$10*'1-Specification &amp; Data'!B$20*('1-Simulation'!F148^2-'1-Specification &amp; Data'!B$21^2))/2</f>
        <v>20.234053900710336</v>
      </c>
      <c r="M148" s="6">
        <f t="shared" si="24"/>
        <v>0</v>
      </c>
      <c r="N148" s="12">
        <f>'1-Specification &amp; Data'!B$26*'1-Specification &amp; Data'!B$18*8.91</f>
        <v>585.0400446000001</v>
      </c>
      <c r="O148" s="12">
        <f t="shared" si="25"/>
        <v>605.27409850071047</v>
      </c>
      <c r="P148" s="14">
        <f t="shared" si="26"/>
        <v>605.27409850071047</v>
      </c>
      <c r="Q148" s="12">
        <f>IF(J148=1,'1-Specification &amp; Data'!B$52,IF('1-Simulation'!J148=2,'1-Specification &amp; Data'!B$53,IF('1-Simulation'!J148=3,'1-Specification &amp; Data'!B$54)))</f>
        <v>704.8687664682343</v>
      </c>
      <c r="R148" s="12">
        <f>(0.5*'1-Specification &amp; Data'!B$18*'1-Simulation'!F148^2)/1000</f>
        <v>15.762772925338471</v>
      </c>
      <c r="S148" s="6">
        <f t="shared" si="22"/>
        <v>28.295208555326422</v>
      </c>
      <c r="T148" s="12">
        <v>4.0919999999999996</v>
      </c>
      <c r="U148" s="14">
        <f>O148*'1-Specification &amp; Data'!B$14*0.9</f>
        <v>160.63043383288084</v>
      </c>
    </row>
    <row r="149" spans="2:21" x14ac:dyDescent="0.25">
      <c r="B149" s="17" t="s">
        <v>113</v>
      </c>
      <c r="C149" s="6">
        <f t="shared" si="27"/>
        <v>147</v>
      </c>
      <c r="D149" s="6">
        <v>15.5</v>
      </c>
      <c r="E149" s="12">
        <f t="shared" si="23"/>
        <v>24.944790651515017</v>
      </c>
      <c r="F149" s="12">
        <f t="shared" si="28"/>
        <v>6.9291085143097266</v>
      </c>
      <c r="G149" s="13">
        <f t="shared" si="29"/>
        <v>1138.9889760118735</v>
      </c>
      <c r="H149" s="12">
        <f t="shared" si="30"/>
        <v>6.9291085143097266</v>
      </c>
      <c r="I149" s="12">
        <f t="shared" si="31"/>
        <v>0</v>
      </c>
      <c r="J149" s="6">
        <f t="shared" si="32"/>
        <v>2</v>
      </c>
      <c r="K149" s="6">
        <v>0</v>
      </c>
      <c r="L149" s="12">
        <f>('1-Specification &amp; Data'!B$22*'1-Specification &amp; Data'!B$10*'1-Specification &amp; Data'!B$20*('1-Simulation'!F149^2-'1-Specification &amp; Data'!B$21^2))/2</f>
        <v>20.234053900710336</v>
      </c>
      <c r="M149" s="6">
        <f t="shared" si="24"/>
        <v>0</v>
      </c>
      <c r="N149" s="12">
        <f>'1-Specification &amp; Data'!B$26*'1-Specification &amp; Data'!B$18*8.91</f>
        <v>585.0400446000001</v>
      </c>
      <c r="O149" s="12">
        <f t="shared" si="25"/>
        <v>605.27409850071047</v>
      </c>
      <c r="P149" s="14">
        <f t="shared" si="26"/>
        <v>605.27409850071047</v>
      </c>
      <c r="Q149" s="12">
        <f>IF(J149=1,'1-Specification &amp; Data'!B$52,IF('1-Simulation'!J149=2,'1-Specification &amp; Data'!B$53,IF('1-Simulation'!J149=3,'1-Specification &amp; Data'!B$54)))</f>
        <v>704.8687664682343</v>
      </c>
      <c r="R149" s="12">
        <f>(0.5*'1-Specification &amp; Data'!B$18*'1-Simulation'!F149^2)/1000</f>
        <v>15.762772925338471</v>
      </c>
      <c r="S149" s="6">
        <f t="shared" si="22"/>
        <v>28.295208555326422</v>
      </c>
      <c r="T149" s="12">
        <v>4.0919999999999996</v>
      </c>
      <c r="U149" s="14">
        <f>O149*'1-Specification &amp; Data'!B$14*0.9</f>
        <v>160.63043383288084</v>
      </c>
    </row>
    <row r="150" spans="2:21" x14ac:dyDescent="0.25">
      <c r="C150" s="6">
        <f t="shared" si="27"/>
        <v>148</v>
      </c>
      <c r="D150" s="6">
        <v>16</v>
      </c>
      <c r="E150" s="12">
        <f>F150*3.6</f>
        <v>25.749461317692919</v>
      </c>
      <c r="F150" s="12">
        <f t="shared" si="28"/>
        <v>7.1526281438035886</v>
      </c>
      <c r="G150" s="13">
        <f t="shared" si="29"/>
        <v>1146.0298443409301</v>
      </c>
      <c r="H150" s="12">
        <f t="shared" si="30"/>
        <v>7.0408683290566572</v>
      </c>
      <c r="I150" s="12">
        <f t="shared" si="31"/>
        <v>0.22351962949386106</v>
      </c>
      <c r="J150" s="6">
        <f t="shared" si="32"/>
        <v>2</v>
      </c>
      <c r="K150" s="6">
        <v>0</v>
      </c>
      <c r="L150" s="12">
        <f>('1-Specification &amp; Data'!B$22*'1-Specification &amp; Data'!B$10*'1-Specification &amp; Data'!B$20*('1-Simulation'!F150^2-'1-Specification &amp; Data'!B$21^2))/2</f>
        <v>21.713796277359986</v>
      </c>
      <c r="M150" s="6">
        <f t="shared" si="24"/>
        <v>157.55200552277461</v>
      </c>
      <c r="N150" s="12">
        <f>'1-Specification &amp; Data'!B$26*'1-Specification &amp; Data'!B$18*8.91</f>
        <v>585.0400446000001</v>
      </c>
      <c r="O150" s="12">
        <f t="shared" si="25"/>
        <v>764.30584640013467</v>
      </c>
      <c r="P150" s="14">
        <f t="shared" si="26"/>
        <v>764.30584640013467</v>
      </c>
      <c r="Q150" s="12">
        <f>IF(J150=1,'1-Specification &amp; Data'!B$52,IF('1-Simulation'!J150=2,'1-Specification &amp; Data'!B$53,IF('1-Simulation'!J150=3,'1-Specification &amp; Data'!B$54)))</f>
        <v>704.8687664682343</v>
      </c>
      <c r="R150" s="12">
        <f>(0.5*'1-Specification &amp; Data'!B$18*'1-Simulation'!F150^2)/1000</f>
        <v>16.79612848652091</v>
      </c>
      <c r="S150" s="6">
        <f t="shared" si="22"/>
        <v>28.295208555326422</v>
      </c>
      <c r="T150" s="12">
        <v>4.0919999999999996</v>
      </c>
      <c r="U150" s="14">
        <f>O150*'1-Specification &amp; Data'!B$14*0.9</f>
        <v>202.83501308311267</v>
      </c>
    </row>
    <row r="151" spans="2:21" x14ac:dyDescent="0.25">
      <c r="C151" s="6">
        <f t="shared" si="27"/>
        <v>149</v>
      </c>
      <c r="D151" s="6">
        <v>16.5</v>
      </c>
      <c r="E151" s="12">
        <f t="shared" si="23"/>
        <v>26.554131983870821</v>
      </c>
      <c r="F151" s="12">
        <f t="shared" si="28"/>
        <v>7.3761477732974505</v>
      </c>
      <c r="G151" s="13">
        <f t="shared" si="29"/>
        <v>1153.2942322994807</v>
      </c>
      <c r="H151" s="12">
        <f t="shared" si="30"/>
        <v>7.26438795855052</v>
      </c>
      <c r="I151" s="12">
        <f t="shared" si="31"/>
        <v>0.22351962949386284</v>
      </c>
      <c r="J151" s="6">
        <f t="shared" si="32"/>
        <v>2</v>
      </c>
      <c r="K151" s="6">
        <v>0</v>
      </c>
      <c r="L151" s="12">
        <f>('1-Specification &amp; Data'!B$22*'1-Specification &amp; Data'!B$10*'1-Specification &amp; Data'!B$20*('1-Simulation'!F151^2-'1-Specification &amp; Data'!B$21^2))/2</f>
        <v>23.240514602474704</v>
      </c>
      <c r="M151" s="6">
        <f t="shared" si="24"/>
        <v>157.55200552277586</v>
      </c>
      <c r="N151" s="12">
        <f>'1-Specification &amp; Data'!B$26*'1-Specification &amp; Data'!B$18*8.91</f>
        <v>585.0400446000001</v>
      </c>
      <c r="O151" s="12">
        <f t="shared" si="25"/>
        <v>765.83256472525068</v>
      </c>
      <c r="P151" s="14">
        <f t="shared" si="26"/>
        <v>765.83256472525068</v>
      </c>
      <c r="Q151" s="12">
        <f>IF(J151=1,'1-Specification &amp; Data'!B$52,IF('1-Simulation'!J151=2,'1-Specification &amp; Data'!B$53,IF('1-Simulation'!J151=3,'1-Specification &amp; Data'!B$54)))</f>
        <v>704.8687664682343</v>
      </c>
      <c r="R151" s="12">
        <f>(0.5*'1-Specification &amp; Data'!B$18*'1-Simulation'!F151^2)/1000</f>
        <v>17.86228898615358</v>
      </c>
      <c r="S151" s="6">
        <f t="shared" si="22"/>
        <v>28.295208555326422</v>
      </c>
      <c r="T151" s="12">
        <v>4.0919999999999996</v>
      </c>
      <c r="U151" s="14">
        <f>O151*'1-Specification &amp; Data'!B$14*0.9</f>
        <v>203.24018063862422</v>
      </c>
    </row>
    <row r="152" spans="2:21" x14ac:dyDescent="0.25">
      <c r="C152" s="6">
        <f t="shared" si="27"/>
        <v>150</v>
      </c>
      <c r="D152" s="6">
        <v>17.7</v>
      </c>
      <c r="E152" s="12">
        <f t="shared" si="23"/>
        <v>28.485341582697789</v>
      </c>
      <c r="F152" s="12">
        <f t="shared" si="28"/>
        <v>7.9125948840827194</v>
      </c>
      <c r="G152" s="13">
        <f t="shared" si="29"/>
        <v>1160.9386036281708</v>
      </c>
      <c r="H152" s="12">
        <f t="shared" si="30"/>
        <v>7.6443713286900845</v>
      </c>
      <c r="I152" s="12">
        <f t="shared" si="31"/>
        <v>0.53644711078526797</v>
      </c>
      <c r="J152" s="6">
        <f t="shared" si="32"/>
        <v>2</v>
      </c>
      <c r="K152" s="6">
        <v>0</v>
      </c>
      <c r="L152" s="12">
        <f>('1-Specification &amp; Data'!B$22*'1-Specification &amp; Data'!B$10*'1-Specification &amp; Data'!B$20*('1-Simulation'!F152^2-'1-Specification &amp; Data'!B$21^2))/2</f>
        <v>27.096300452487512</v>
      </c>
      <c r="M152" s="6">
        <f t="shared" si="24"/>
        <v>378.12481325466007</v>
      </c>
      <c r="N152" s="12">
        <f>'1-Specification &amp; Data'!B$26*'1-Specification &amp; Data'!B$18*8.91</f>
        <v>585.0400446000001</v>
      </c>
      <c r="O152" s="12">
        <f t="shared" si="25"/>
        <v>990.26115830714775</v>
      </c>
      <c r="P152" s="14">
        <f t="shared" si="26"/>
        <v>990.26115830714775</v>
      </c>
      <c r="Q152" s="12">
        <f>IF(J152=1,'1-Specification &amp; Data'!B$52,IF('1-Simulation'!J152=2,'1-Specification &amp; Data'!B$53,IF('1-Simulation'!J152=3,'1-Specification &amp; Data'!B$54)))</f>
        <v>704.8687664682343</v>
      </c>
      <c r="R152" s="12">
        <f>(0.5*'1-Specification &amp; Data'!B$18*'1-Simulation'!F152^2)/1000</f>
        <v>20.554918334148962</v>
      </c>
      <c r="S152" s="6">
        <f t="shared" si="22"/>
        <v>28.295208555326422</v>
      </c>
      <c r="T152" s="12">
        <v>4.0919999999999996</v>
      </c>
      <c r="U152" s="14">
        <f>O152*'1-Specification &amp; Data'!B$14*0.9</f>
        <v>262.80007662766616</v>
      </c>
    </row>
    <row r="153" spans="2:21" x14ac:dyDescent="0.25">
      <c r="C153" s="6">
        <f t="shared" si="27"/>
        <v>151</v>
      </c>
      <c r="D153" s="6">
        <v>18.899999999999999</v>
      </c>
      <c r="E153" s="12">
        <f t="shared" si="23"/>
        <v>30.41655118152476</v>
      </c>
      <c r="F153" s="12">
        <f t="shared" si="28"/>
        <v>8.4490419948679882</v>
      </c>
      <c r="G153" s="13">
        <f t="shared" si="29"/>
        <v>1169.1194220676462</v>
      </c>
      <c r="H153" s="12">
        <f t="shared" si="30"/>
        <v>8.1808184394753543</v>
      </c>
      <c r="I153" s="12">
        <f t="shared" si="31"/>
        <v>0.53644711078526974</v>
      </c>
      <c r="J153" s="6">
        <f t="shared" si="32"/>
        <v>2</v>
      </c>
      <c r="K153" s="6">
        <v>0</v>
      </c>
      <c r="L153" s="12">
        <f>('1-Specification &amp; Data'!B$22*'1-Specification &amp; Data'!B$10*'1-Specification &amp; Data'!B$20*('1-Simulation'!F153^2-'1-Specification &amp; Data'!B$21^2))/2</f>
        <v>31.222667765659114</v>
      </c>
      <c r="M153" s="6">
        <f t="shared" si="24"/>
        <v>378.12481325466132</v>
      </c>
      <c r="N153" s="12">
        <f>'1-Specification &amp; Data'!B$26*'1-Specification &amp; Data'!B$18*8.91</f>
        <v>585.0400446000001</v>
      </c>
      <c r="O153" s="12">
        <f t="shared" si="25"/>
        <v>994.3875256203205</v>
      </c>
      <c r="P153" s="14">
        <f t="shared" si="26"/>
        <v>994.3875256203205</v>
      </c>
      <c r="Q153" s="12">
        <f>IF(J153=1,'1-Specification &amp; Data'!B$52,IF('1-Simulation'!J153=2,'1-Specification &amp; Data'!B$53,IF('1-Simulation'!J153=3,'1-Specification &amp; Data'!B$54)))</f>
        <v>704.8687664682343</v>
      </c>
      <c r="R153" s="12">
        <f>(0.5*'1-Specification &amp; Data'!B$18*'1-Simulation'!F153^2)/1000</f>
        <v>23.436504127617706</v>
      </c>
      <c r="S153" s="6">
        <f t="shared" si="22"/>
        <v>28.295208555326422</v>
      </c>
      <c r="T153" s="12">
        <v>4.0919999999999996</v>
      </c>
      <c r="U153" s="14">
        <f>O153*'1-Specification &amp; Data'!B$14*0.9</f>
        <v>263.89515103000815</v>
      </c>
    </row>
    <row r="154" spans="2:21" x14ac:dyDescent="0.25">
      <c r="C154" s="6">
        <f t="shared" si="27"/>
        <v>152</v>
      </c>
      <c r="D154" s="6">
        <v>20</v>
      </c>
      <c r="E154" s="12">
        <f t="shared" si="23"/>
        <v>32.186826647116149</v>
      </c>
      <c r="F154" s="12">
        <f t="shared" si="28"/>
        <v>8.9407851797544851</v>
      </c>
      <c r="G154" s="13">
        <f t="shared" si="29"/>
        <v>1177.8143356549574</v>
      </c>
      <c r="H154" s="12">
        <f t="shared" si="30"/>
        <v>8.6949135873112375</v>
      </c>
      <c r="I154" s="12">
        <f t="shared" si="31"/>
        <v>0.4917431848864986</v>
      </c>
      <c r="J154" s="6">
        <f t="shared" si="32"/>
        <v>2</v>
      </c>
      <c r="K154" s="6">
        <v>0</v>
      </c>
      <c r="L154" s="12">
        <f>('1-Specification &amp; Data'!B$22*'1-Specification &amp; Data'!B$10*'1-Specification &amp; Data'!B$20*('1-Simulation'!F154^2-'1-Specification &amp; Data'!B$21^2))/2</f>
        <v>35.24286943529966</v>
      </c>
      <c r="M154" s="6">
        <f t="shared" si="24"/>
        <v>346.61441215010711</v>
      </c>
      <c r="N154" s="12">
        <f>'1-Specification &amp; Data'!B$26*'1-Specification &amp; Data'!B$18*8.91</f>
        <v>585.0400446000001</v>
      </c>
      <c r="O154" s="12">
        <f t="shared" si="25"/>
        <v>966.89732618540688</v>
      </c>
      <c r="P154" s="14">
        <f t="shared" si="26"/>
        <v>966.89732618540688</v>
      </c>
      <c r="Q154" s="12">
        <f>IF(J154=1,'1-Specification &amp; Data'!B$52,IF('1-Simulation'!J154=2,'1-Specification &amp; Data'!B$53,IF('1-Simulation'!J154=3,'1-Specification &amp; Data'!B$54)))</f>
        <v>704.8687664682343</v>
      </c>
      <c r="R154" s="12">
        <f>(0.5*'1-Specification &amp; Data'!B$18*'1-Simulation'!F154^2)/1000</f>
        <v>26.243950760188916</v>
      </c>
      <c r="S154" s="6">
        <f t="shared" si="22"/>
        <v>28.295208555326422</v>
      </c>
      <c r="T154" s="12">
        <v>4.0919999999999996</v>
      </c>
      <c r="U154" s="14">
        <f>O154*'1-Specification &amp; Data'!B$14*0.9</f>
        <v>256.59967502612722</v>
      </c>
    </row>
    <row r="155" spans="2:21" x14ac:dyDescent="0.25">
      <c r="C155" s="6">
        <f t="shared" si="27"/>
        <v>153</v>
      </c>
      <c r="D155" s="6">
        <v>20.2</v>
      </c>
      <c r="E155" s="12">
        <f t="shared" si="23"/>
        <v>32.508694913587306</v>
      </c>
      <c r="F155" s="12">
        <f t="shared" si="28"/>
        <v>9.0301930315520291</v>
      </c>
      <c r="G155" s="13">
        <f t="shared" si="29"/>
        <v>1186.7998247606106</v>
      </c>
      <c r="H155" s="12">
        <f t="shared" si="30"/>
        <v>8.985489105653258</v>
      </c>
      <c r="I155" s="12">
        <f t="shared" si="31"/>
        <v>8.9407851797545845E-2</v>
      </c>
      <c r="J155" s="6">
        <f t="shared" si="32"/>
        <v>3</v>
      </c>
      <c r="K155" s="6">
        <v>0</v>
      </c>
      <c r="L155" s="12">
        <f>('1-Specification &amp; Data'!B$22*'1-Specification &amp; Data'!B$10*'1-Specification &amp; Data'!B$20*('1-Simulation'!F155^2-'1-Specification &amp; Data'!B$21^2))/2</f>
        <v>35.998242686617957</v>
      </c>
      <c r="M155" s="6">
        <f t="shared" si="24"/>
        <v>62.5992371119696</v>
      </c>
      <c r="N155" s="12">
        <f>'1-Specification &amp; Data'!B$26*'1-Specification &amp; Data'!B$18*8.91</f>
        <v>585.0400446000001</v>
      </c>
      <c r="O155" s="12">
        <f t="shared" si="25"/>
        <v>683.63752439858763</v>
      </c>
      <c r="P155" s="14">
        <f t="shared" si="26"/>
        <v>683.63752439858763</v>
      </c>
      <c r="Q155" s="12">
        <f>IF(J155=1,'1-Specification &amp; Data'!B$52,IF('1-Simulation'!J155=2,'1-Specification &amp; Data'!B$53,IF('1-Simulation'!J155=3,'1-Specification &amp; Data'!B$54)))</f>
        <v>700.1536873262387</v>
      </c>
      <c r="R155" s="12">
        <f>(0.5*'1-Specification &amp; Data'!B$18*'1-Simulation'!F155^2)/1000</f>
        <v>26.771454170468708</v>
      </c>
      <c r="S155" s="6">
        <f t="shared" si="22"/>
        <v>28.105933396567281</v>
      </c>
      <c r="T155" s="12">
        <v>4.0919999999999996</v>
      </c>
      <c r="U155" s="14">
        <f>O155*'1-Specification &amp; Data'!B$14*0.9</f>
        <v>181.42688147500979</v>
      </c>
    </row>
    <row r="156" spans="2:21" x14ac:dyDescent="0.25">
      <c r="B156" s="17" t="s">
        <v>114</v>
      </c>
      <c r="C156" s="6">
        <f t="shared" si="27"/>
        <v>154</v>
      </c>
      <c r="D156" s="6">
        <v>21</v>
      </c>
      <c r="E156" s="12">
        <f t="shared" si="23"/>
        <v>33.796167979471953</v>
      </c>
      <c r="F156" s="12">
        <f t="shared" si="28"/>
        <v>9.387824438742209</v>
      </c>
      <c r="G156" s="13">
        <f t="shared" si="29"/>
        <v>1196.0088334957577</v>
      </c>
      <c r="H156" s="12">
        <f t="shared" si="30"/>
        <v>9.209008735147119</v>
      </c>
      <c r="I156" s="12">
        <f t="shared" si="31"/>
        <v>0.35763140719017983</v>
      </c>
      <c r="J156" s="6">
        <f t="shared" si="32"/>
        <v>3</v>
      </c>
      <c r="K156" s="6">
        <f>-'1-Specification &amp; Data'!B$18*9.81*'1-Specification &amp; Data'!L$14</f>
        <v>-1312.2318191479201</v>
      </c>
      <c r="L156" s="12">
        <f>('1-Specification &amp; Data'!B$22*'1-Specification &amp; Data'!B$10*'1-Specification &amp; Data'!B$20*('1-Simulation'!F156^2-'1-Specification &amp; Data'!B$21^2))/2</f>
        <v>39.094897209435267</v>
      </c>
      <c r="M156" s="6">
        <f t="shared" si="24"/>
        <v>250.39694844787593</v>
      </c>
      <c r="N156" s="12">
        <f>'1-Specification &amp; Data'!B$26*'1-Specification &amp; Data'!B$18*8.91</f>
        <v>585.0400446000001</v>
      </c>
      <c r="O156" s="12">
        <f t="shared" si="25"/>
        <v>-437.69992889060882</v>
      </c>
      <c r="P156" s="14">
        <f t="shared" si="26"/>
        <v>437.69992889060882</v>
      </c>
      <c r="Q156" s="12">
        <f>IF(J156=1,'1-Specification &amp; Data'!B$52,IF('1-Simulation'!J156=2,'1-Specification &amp; Data'!B$53,IF('1-Simulation'!J156=3,'1-Specification &amp; Data'!B$54)))</f>
        <v>700.1536873262387</v>
      </c>
      <c r="R156" s="12">
        <f>(0.5*'1-Specification &amp; Data'!B$18*'1-Simulation'!F156^2)/1000</f>
        <v>28.933955713108279</v>
      </c>
      <c r="S156" s="6">
        <f t="shared" si="22"/>
        <v>28.105933396567281</v>
      </c>
      <c r="T156" s="12">
        <v>4.0919999999999996</v>
      </c>
      <c r="U156" s="14">
        <f>O156*'1-Specification &amp; Data'!B$14*0.9</f>
        <v>-116.15882728250773</v>
      </c>
    </row>
    <row r="157" spans="2:21" x14ac:dyDescent="0.25">
      <c r="B157" s="17" t="s">
        <v>114</v>
      </c>
      <c r="C157" s="6">
        <f t="shared" si="27"/>
        <v>155</v>
      </c>
      <c r="D157" s="6">
        <v>23</v>
      </c>
      <c r="E157" s="12">
        <f t="shared" si="23"/>
        <v>37.014850644183575</v>
      </c>
      <c r="F157" s="12">
        <f t="shared" si="28"/>
        <v>10.281902956717659</v>
      </c>
      <c r="G157" s="13">
        <f t="shared" si="29"/>
        <v>1205.8436971934877</v>
      </c>
      <c r="H157" s="12">
        <f t="shared" si="30"/>
        <v>9.8348636977299329</v>
      </c>
      <c r="I157" s="12">
        <f t="shared" si="31"/>
        <v>0.8940785179754478</v>
      </c>
      <c r="J157" s="6">
        <f t="shared" si="32"/>
        <v>3</v>
      </c>
      <c r="K157" s="6">
        <f>-'1-Specification &amp; Data'!B$18*9.81*'1-Specification &amp; Data'!L$14</f>
        <v>-1312.2318191479201</v>
      </c>
      <c r="L157" s="12">
        <f>('1-Specification &amp; Data'!B$22*'1-Specification &amp; Data'!B$10*'1-Specification &amp; Data'!B$20*('1-Simulation'!F157^2-'1-Specification &amp; Data'!B$21^2))/2</f>
        <v>47.362664139287297</v>
      </c>
      <c r="M157" s="6">
        <f t="shared" si="24"/>
        <v>625.99237111968853</v>
      </c>
      <c r="N157" s="12">
        <f>'1-Specification &amp; Data'!B$26*'1-Specification &amp; Data'!B$18*8.91</f>
        <v>585.0400446000001</v>
      </c>
      <c r="O157" s="12">
        <f t="shared" si="25"/>
        <v>-53.836739288944159</v>
      </c>
      <c r="P157" s="14">
        <f t="shared" si="26"/>
        <v>53.836739288944159</v>
      </c>
      <c r="Q157" s="12">
        <f>IF(J157=1,'1-Specification &amp; Data'!B$52,IF('1-Simulation'!J157=2,'1-Specification &amp; Data'!B$53,IF('1-Simulation'!J157=3,'1-Specification &amp; Data'!B$54)))</f>
        <v>700.1536873262387</v>
      </c>
      <c r="R157" s="12">
        <f>(0.5*'1-Specification &amp; Data'!B$18*'1-Simulation'!F157^2)/1000</f>
        <v>34.707624880349847</v>
      </c>
      <c r="S157" s="6">
        <f t="shared" si="22"/>
        <v>21.079450047425464</v>
      </c>
      <c r="T157" s="12">
        <f>3*T159</f>
        <v>3.069</v>
      </c>
      <c r="U157" s="14">
        <f>O157*'1-Specification &amp; Data'!B$14*0.9</f>
        <v>-14.287442349758258</v>
      </c>
    </row>
    <row r="158" spans="2:21" x14ac:dyDescent="0.25">
      <c r="B158" s="17" t="s">
        <v>114</v>
      </c>
      <c r="C158" s="6">
        <f t="shared" si="27"/>
        <v>156</v>
      </c>
      <c r="D158" s="6">
        <v>25</v>
      </c>
      <c r="E158" s="12">
        <f t="shared" si="23"/>
        <v>40.233533308895183</v>
      </c>
      <c r="F158" s="12">
        <f t="shared" si="28"/>
        <v>11.175981474693106</v>
      </c>
      <c r="G158" s="13">
        <f t="shared" si="29"/>
        <v>1216.572639409193</v>
      </c>
      <c r="H158" s="12">
        <f t="shared" si="30"/>
        <v>10.728942215705382</v>
      </c>
      <c r="I158" s="12">
        <f t="shared" si="31"/>
        <v>0.8940785179754478</v>
      </c>
      <c r="J158" s="6">
        <f t="shared" si="32"/>
        <v>3</v>
      </c>
      <c r="K158" s="6">
        <f>-'1-Specification &amp; Data'!B$18*9.81*'1-Specification &amp; Data'!L$14</f>
        <v>-1312.2318191479201</v>
      </c>
      <c r="L158" s="12">
        <f>('1-Specification &amp; Data'!B$22*'1-Specification &amp; Data'!B$10*'1-Specification &amp; Data'!B$20*('1-Simulation'!F158^2-'1-Specification &amp; Data'!B$21^2))/2</f>
        <v>56.382046244580415</v>
      </c>
      <c r="M158" s="6">
        <f t="shared" si="24"/>
        <v>625.99237111968853</v>
      </c>
      <c r="N158" s="12">
        <f>'1-Specification &amp; Data'!B$26*'1-Specification &amp; Data'!B$18*8.91</f>
        <v>585.0400446000001</v>
      </c>
      <c r="O158" s="12">
        <f t="shared" si="25"/>
        <v>-44.817357183651097</v>
      </c>
      <c r="P158" s="14">
        <f t="shared" si="26"/>
        <v>44.817357183651097</v>
      </c>
      <c r="Q158" s="12">
        <f>IF(J158=1,'1-Specification &amp; Data'!B$52,IF('1-Simulation'!J158=2,'1-Specification &amp; Data'!B$53,IF('1-Simulation'!J158=3,'1-Specification &amp; Data'!B$54)))</f>
        <v>700.1536873262387</v>
      </c>
      <c r="R158" s="12">
        <f>(0.5*'1-Specification &amp; Data'!B$18*'1-Simulation'!F158^2)/1000</f>
        <v>41.006173062795185</v>
      </c>
      <c r="S158" s="6">
        <f t="shared" si="22"/>
        <v>14.05296669828364</v>
      </c>
      <c r="T158" s="12">
        <f>2*T159</f>
        <v>2.0459999999999998</v>
      </c>
      <c r="U158" s="14">
        <f>O158*'1-Specification &amp; Data'!B$14*0.9</f>
        <v>-11.893837098738176</v>
      </c>
    </row>
    <row r="159" spans="2:21" x14ac:dyDescent="0.25">
      <c r="B159" s="17" t="s">
        <v>114</v>
      </c>
      <c r="C159" s="6">
        <f t="shared" si="27"/>
        <v>157</v>
      </c>
      <c r="D159" s="6">
        <v>27</v>
      </c>
      <c r="E159" s="12">
        <f t="shared" si="23"/>
        <v>43.452215973606805</v>
      </c>
      <c r="F159" s="12">
        <f t="shared" si="28"/>
        <v>12.070059992668556</v>
      </c>
      <c r="G159" s="13">
        <f t="shared" si="29"/>
        <v>1228.1956601428737</v>
      </c>
      <c r="H159" s="12">
        <f t="shared" si="30"/>
        <v>11.623020733680832</v>
      </c>
      <c r="I159" s="12">
        <f t="shared" si="31"/>
        <v>0.89407851797545135</v>
      </c>
      <c r="J159" s="6">
        <f t="shared" si="32"/>
        <v>3</v>
      </c>
      <c r="K159" s="6">
        <f>-'1-Specification &amp; Data'!B$18*9.81*'1-Specification &amp; Data'!L$14</f>
        <v>-1312.2318191479201</v>
      </c>
      <c r="L159" s="12">
        <f>('1-Specification &amp; Data'!B$22*'1-Specification &amp; Data'!B$10*'1-Specification &amp; Data'!B$20*('1-Simulation'!F159^2-'1-Specification &amp; Data'!B$21^2))/2</f>
        <v>66.153043525314629</v>
      </c>
      <c r="M159" s="6">
        <f t="shared" si="24"/>
        <v>625.99237111969103</v>
      </c>
      <c r="N159" s="12">
        <f>'1-Specification &amp; Data'!B$26*'1-Specification &amp; Data'!B$18*8.91</f>
        <v>585.0400446000001</v>
      </c>
      <c r="O159" s="12">
        <f t="shared" si="25"/>
        <v>-35.046359902914332</v>
      </c>
      <c r="P159" s="14">
        <f t="shared" si="26"/>
        <v>35.046359902914332</v>
      </c>
      <c r="Q159" s="12">
        <f>IF(J159=1,'1-Specification &amp; Data'!B$52,IF('1-Simulation'!J159=2,'1-Specification &amp; Data'!B$53,IF('1-Simulation'!J159=3,'1-Specification &amp; Data'!B$54)))</f>
        <v>700.1536873262387</v>
      </c>
      <c r="R159" s="12">
        <f>(0.5*'1-Specification &amp; Data'!B$18*'1-Simulation'!F159^2)/1000</f>
        <v>47.829600260444316</v>
      </c>
      <c r="S159" s="6">
        <f t="shared" si="22"/>
        <v>7.0264833491418202</v>
      </c>
      <c r="T159" s="12">
        <v>1.0229999999999999</v>
      </c>
      <c r="U159" s="14">
        <f>O159*'1-Specification &amp; Data'!B$14*0.9</f>
        <v>-9.3007647434657272</v>
      </c>
    </row>
    <row r="160" spans="2:21" x14ac:dyDescent="0.25">
      <c r="B160" s="17" t="s">
        <v>114</v>
      </c>
      <c r="C160" s="6">
        <f t="shared" si="27"/>
        <v>158</v>
      </c>
      <c r="D160" s="6">
        <v>29</v>
      </c>
      <c r="E160" s="12">
        <f t="shared" si="23"/>
        <v>46.670898638318413</v>
      </c>
      <c r="F160" s="12">
        <f t="shared" si="28"/>
        <v>12.964138510644004</v>
      </c>
      <c r="G160" s="13">
        <f t="shared" si="29"/>
        <v>1240.7127593945299</v>
      </c>
      <c r="H160" s="12">
        <f t="shared" si="30"/>
        <v>12.51709925165628</v>
      </c>
      <c r="I160" s="12">
        <f t="shared" si="31"/>
        <v>0.8940785179754478</v>
      </c>
      <c r="J160" s="6">
        <f t="shared" si="32"/>
        <v>3</v>
      </c>
      <c r="K160" s="6">
        <f>-'1-Specification &amp; Data'!B$18*9.81*'1-Specification &amp; Data'!L$14</f>
        <v>-1312.2318191479201</v>
      </c>
      <c r="L160" s="12">
        <f>('1-Specification &amp; Data'!B$22*'1-Specification &amp; Data'!B$10*'1-Specification &amp; Data'!B$20*('1-Simulation'!F160^2-'1-Specification &amp; Data'!B$21^2))/2</f>
        <v>76.675655981489925</v>
      </c>
      <c r="M160" s="6">
        <f t="shared" si="24"/>
        <v>625.99237111968853</v>
      </c>
      <c r="N160" s="12">
        <f>'1-Specification &amp; Data'!B$26*'1-Specification &amp; Data'!B$18*8.91</f>
        <v>585.0400446000001</v>
      </c>
      <c r="O160" s="12">
        <f t="shared" si="25"/>
        <v>-24.523747446741595</v>
      </c>
      <c r="P160" s="14">
        <f t="shared" si="26"/>
        <v>24.523747446741595</v>
      </c>
      <c r="Q160" s="12">
        <f>IF(J160=1,'1-Specification &amp; Data'!B$52,IF('1-Simulation'!J160=2,'1-Specification &amp; Data'!B$53,IF('1-Simulation'!J160=3,'1-Specification &amp; Data'!B$54)))</f>
        <v>700.1536873262387</v>
      </c>
      <c r="R160" s="12">
        <f>(0.5*'1-Specification &amp; Data'!B$18*'1-Simulation'!F160^2)/1000</f>
        <v>55.177906473297199</v>
      </c>
      <c r="S160" s="6">
        <f t="shared" si="22"/>
        <v>0</v>
      </c>
      <c r="T160" s="12">
        <v>0</v>
      </c>
      <c r="U160" s="14">
        <f>O160*'1-Specification &amp; Data'!B$14*0.9</f>
        <v>-6.508225283942962</v>
      </c>
    </row>
    <row r="161" spans="2:21" x14ac:dyDescent="0.25">
      <c r="C161" s="6">
        <f t="shared" si="27"/>
        <v>159</v>
      </c>
      <c r="D161" s="6">
        <v>29.5</v>
      </c>
      <c r="E161" s="12">
        <f t="shared" si="23"/>
        <v>47.475569304496318</v>
      </c>
      <c r="F161" s="12">
        <f t="shared" si="28"/>
        <v>13.187658140137867</v>
      </c>
      <c r="G161" s="13">
        <f t="shared" si="29"/>
        <v>1253.7886577199208</v>
      </c>
      <c r="H161" s="12">
        <f t="shared" si="30"/>
        <v>13.075898325390934</v>
      </c>
      <c r="I161" s="12">
        <f t="shared" si="31"/>
        <v>0.22351962949386106</v>
      </c>
      <c r="J161" s="6">
        <f t="shared" si="32"/>
        <v>3</v>
      </c>
      <c r="K161" s="6">
        <v>0</v>
      </c>
      <c r="L161" s="12">
        <f>('1-Specification &amp; Data'!B$22*'1-Specification &amp; Data'!B$10*'1-Specification &amp; Data'!B$20*('1-Simulation'!F161^2-'1-Specification &amp; Data'!B$21^2))/2</f>
        <v>79.423748966696436</v>
      </c>
      <c r="M161" s="6">
        <f t="shared" si="24"/>
        <v>156.49809277992151</v>
      </c>
      <c r="N161" s="12">
        <f>'1-Specification &amp; Data'!B$26*'1-Specification &amp; Data'!B$18*8.91</f>
        <v>585.0400446000001</v>
      </c>
      <c r="O161" s="12">
        <f t="shared" si="25"/>
        <v>820.96188634661803</v>
      </c>
      <c r="P161" s="14">
        <f t="shared" si="26"/>
        <v>820.96188634661803</v>
      </c>
      <c r="Q161" s="12">
        <f>IF(J161=1,'1-Specification &amp; Data'!B$52,IF('1-Simulation'!J161=2,'1-Specification &amp; Data'!B$53,IF('1-Simulation'!J161=3,'1-Specification &amp; Data'!B$54)))</f>
        <v>700.1536873262387</v>
      </c>
      <c r="R161" s="12">
        <f>(0.5*'1-Specification &amp; Data'!B$18*'1-Simulation'!F161^2)/1000</f>
        <v>57.096995372636016</v>
      </c>
      <c r="S161" s="6">
        <f t="shared" si="22"/>
        <v>0</v>
      </c>
      <c r="T161" s="12">
        <v>0</v>
      </c>
      <c r="U161" s="14">
        <f>O161*'1-Specification &amp; Data'!B$14*0.9</f>
        <v>217.87065445352556</v>
      </c>
    </row>
    <row r="162" spans="2:21" x14ac:dyDescent="0.25">
      <c r="C162" s="6">
        <f t="shared" si="27"/>
        <v>160</v>
      </c>
      <c r="D162" s="6">
        <v>30</v>
      </c>
      <c r="E162" s="12">
        <f t="shared" si="23"/>
        <v>48.280239970674224</v>
      </c>
      <c r="F162" s="12">
        <f t="shared" si="28"/>
        <v>13.411177769631728</v>
      </c>
      <c r="G162" s="13">
        <f t="shared" si="29"/>
        <v>1267.0880756748056</v>
      </c>
      <c r="H162" s="12">
        <f t="shared" si="30"/>
        <v>13.299417954884797</v>
      </c>
      <c r="I162" s="12">
        <f t="shared" si="31"/>
        <v>0.22351962949386106</v>
      </c>
      <c r="J162" s="6">
        <f t="shared" si="32"/>
        <v>3</v>
      </c>
      <c r="K162" s="6">
        <v>0</v>
      </c>
      <c r="L162" s="12">
        <f>('1-Specification &amp; Data'!B$22*'1-Specification &amp; Data'!B$10*'1-Specification &amp; Data'!B$20*('1-Simulation'!F162^2-'1-Specification &amp; Data'!B$21^2))/2</f>
        <v>82.218817900367981</v>
      </c>
      <c r="M162" s="6">
        <f t="shared" si="24"/>
        <v>156.49809277992151</v>
      </c>
      <c r="N162" s="12">
        <f>'1-Specification &amp; Data'!B$26*'1-Specification &amp; Data'!B$18*8.91</f>
        <v>585.0400446000001</v>
      </c>
      <c r="O162" s="12">
        <f t="shared" si="25"/>
        <v>823.75695528028962</v>
      </c>
      <c r="P162" s="14">
        <f t="shared" si="26"/>
        <v>823.75695528028962</v>
      </c>
      <c r="Q162" s="12">
        <f>IF(J162=1,'1-Specification &amp; Data'!B$52,IF('1-Simulation'!J162=2,'1-Specification &amp; Data'!B$53,IF('1-Simulation'!J162=3,'1-Specification &amp; Data'!B$54)))</f>
        <v>700.1536873262387</v>
      </c>
      <c r="R162" s="12">
        <f>(0.5*'1-Specification &amp; Data'!B$18*'1-Simulation'!F162^2)/1000</f>
        <v>59.04888921042506</v>
      </c>
      <c r="S162" s="6">
        <f t="shared" si="22"/>
        <v>0</v>
      </c>
      <c r="T162" s="12">
        <v>0</v>
      </c>
      <c r="U162" s="14">
        <f>O162*'1-Specification &amp; Data'!B$14*0.9</f>
        <v>218.61242274746147</v>
      </c>
    </row>
    <row r="163" spans="2:21" x14ac:dyDescent="0.25">
      <c r="C163" s="6">
        <f t="shared" si="27"/>
        <v>161</v>
      </c>
      <c r="D163" s="6">
        <v>29.5</v>
      </c>
      <c r="E163" s="12">
        <f t="shared" si="23"/>
        <v>47.475569304496318</v>
      </c>
      <c r="F163" s="12">
        <f t="shared" si="28"/>
        <v>13.187658140137867</v>
      </c>
      <c r="G163" s="13">
        <f t="shared" si="29"/>
        <v>1280.3874936296904</v>
      </c>
      <c r="H163" s="12">
        <f t="shared" si="30"/>
        <v>13.299417954884797</v>
      </c>
      <c r="I163" s="12">
        <f t="shared" si="31"/>
        <v>-0.22351962949386106</v>
      </c>
      <c r="J163" s="6">
        <f t="shared" si="32"/>
        <v>3</v>
      </c>
      <c r="K163" s="6">
        <v>0</v>
      </c>
      <c r="L163" s="12">
        <f>('1-Specification &amp; Data'!B$22*'1-Specification &amp; Data'!B$10*'1-Specification &amp; Data'!B$20*('1-Simulation'!F163^2-'1-Specification &amp; Data'!B$21^2))/2</f>
        <v>79.423748966696436</v>
      </c>
      <c r="M163" s="6">
        <f t="shared" si="24"/>
        <v>-156.49809277992151</v>
      </c>
      <c r="N163" s="12">
        <f>'1-Specification &amp; Data'!B$26*'1-Specification &amp; Data'!B$18*8.91</f>
        <v>585.0400446000001</v>
      </c>
      <c r="O163" s="12">
        <f t="shared" si="25"/>
        <v>507.96570078677502</v>
      </c>
      <c r="P163" s="14">
        <f t="shared" si="26"/>
        <v>507.96570078677502</v>
      </c>
      <c r="Q163" s="12">
        <f>IF(J163=1,'1-Specification &amp; Data'!B$52,IF('1-Simulation'!J163=2,'1-Specification &amp; Data'!B$53,IF('1-Simulation'!J163=3,'1-Specification &amp; Data'!B$54)))</f>
        <v>700.1536873262387</v>
      </c>
      <c r="R163" s="12">
        <f>(0.5*'1-Specification &amp; Data'!B$18*'1-Simulation'!F163^2)/1000</f>
        <v>57.096995372636016</v>
      </c>
      <c r="S163" s="6">
        <f t="shared" si="22"/>
        <v>0</v>
      </c>
      <c r="T163" s="12">
        <v>0</v>
      </c>
      <c r="U163" s="14">
        <f>O163*'1-Specification &amp; Data'!B$14*0.9</f>
        <v>134.80628213187492</v>
      </c>
    </row>
    <row r="164" spans="2:21" x14ac:dyDescent="0.25">
      <c r="C164" s="6">
        <f t="shared" si="27"/>
        <v>162</v>
      </c>
      <c r="D164" s="6">
        <v>28</v>
      </c>
      <c r="E164" s="12">
        <f t="shared" si="23"/>
        <v>45.061557305962609</v>
      </c>
      <c r="F164" s="12">
        <f t="shared" si="28"/>
        <v>12.51709925165628</v>
      </c>
      <c r="G164" s="13">
        <f t="shared" si="29"/>
        <v>1293.2398723255874</v>
      </c>
      <c r="H164" s="12">
        <f t="shared" si="30"/>
        <v>12.852378695897073</v>
      </c>
      <c r="I164" s="12">
        <f t="shared" si="31"/>
        <v>-0.67055888848158673</v>
      </c>
      <c r="J164" s="6">
        <f t="shared" si="32"/>
        <v>3</v>
      </c>
      <c r="K164" s="6">
        <v>0</v>
      </c>
      <c r="L164" s="12">
        <f>('1-Specification &amp; Data'!B$22*'1-Specification &amp; Data'!B$10*'1-Specification &amp; Data'!B$20*('1-Simulation'!F164^2-'1-Specification &amp; Data'!B$21^2))/2</f>
        <v>71.320397856472141</v>
      </c>
      <c r="M164" s="6">
        <f t="shared" si="24"/>
        <v>-469.49427833976705</v>
      </c>
      <c r="N164" s="12">
        <f>'1-Specification &amp; Data'!B$26*'1-Specification &amp; Data'!B$18*8.91</f>
        <v>585.0400446000001</v>
      </c>
      <c r="O164" s="12">
        <f t="shared" si="25"/>
        <v>186.86616411670519</v>
      </c>
      <c r="P164" s="14">
        <f t="shared" si="26"/>
        <v>186.86616411670519</v>
      </c>
      <c r="Q164" s="12">
        <f>IF(J164=1,'1-Specification &amp; Data'!B$52,IF('1-Simulation'!J164=2,'1-Specification &amp; Data'!B$53,IF('1-Simulation'!J164=3,'1-Specification &amp; Data'!B$54)))</f>
        <v>700.1536873262387</v>
      </c>
      <c r="R164" s="12">
        <f>(0.5*'1-Specification &amp; Data'!B$18*'1-Simulation'!F164^2)/1000</f>
        <v>51.43814348997028</v>
      </c>
      <c r="S164" s="6">
        <f t="shared" si="22"/>
        <v>0</v>
      </c>
      <c r="T164" s="12">
        <v>0</v>
      </c>
      <c r="U164" s="14">
        <f>O164*'1-Specification &amp; Data'!B$14*0.9</f>
        <v>49.591405092510222</v>
      </c>
    </row>
    <row r="165" spans="2:21" x14ac:dyDescent="0.25">
      <c r="C165" s="6">
        <f t="shared" si="27"/>
        <v>163</v>
      </c>
      <c r="D165" s="6">
        <v>26</v>
      </c>
      <c r="E165" s="12">
        <f t="shared" si="23"/>
        <v>41.842874641250987</v>
      </c>
      <c r="F165" s="12">
        <f t="shared" si="28"/>
        <v>11.62302073368083</v>
      </c>
      <c r="G165" s="13">
        <f t="shared" si="29"/>
        <v>1305.309932318256</v>
      </c>
      <c r="H165" s="12">
        <f t="shared" si="30"/>
        <v>12.070059992668554</v>
      </c>
      <c r="I165" s="12">
        <f t="shared" si="31"/>
        <v>-0.89407851797545135</v>
      </c>
      <c r="J165" s="6">
        <f t="shared" si="32"/>
        <v>3</v>
      </c>
      <c r="K165" s="6">
        <v>0</v>
      </c>
      <c r="L165" s="12">
        <f>('1-Specification &amp; Data'!B$22*'1-Specification &amp; Data'!B$10*'1-Specification &amp; Data'!B$20*('1-Simulation'!F165^2-'1-Specification &amp; Data'!B$21^2))/2</f>
        <v>61.173592988017361</v>
      </c>
      <c r="M165" s="6">
        <f t="shared" si="24"/>
        <v>-625.99237111969103</v>
      </c>
      <c r="N165" s="12">
        <f>'1-Specification &amp; Data'!B$26*'1-Specification &amp; Data'!B$18*8.91</f>
        <v>585.0400446000001</v>
      </c>
      <c r="O165" s="12">
        <f t="shared" si="25"/>
        <v>20.221266468326462</v>
      </c>
      <c r="P165" s="14">
        <f t="shared" si="26"/>
        <v>20.221266468326462</v>
      </c>
      <c r="Q165" s="12">
        <f>IF(J165=1,'1-Specification &amp; Data'!B$52,IF('1-Simulation'!J165=2,'1-Specification &amp; Data'!B$53,IF('1-Simulation'!J165=3,'1-Specification &amp; Data'!B$54)))</f>
        <v>700.1536873262387</v>
      </c>
      <c r="R165" s="12">
        <f>(0.5*'1-Specification &amp; Data'!B$18*'1-Simulation'!F165^2)/1000</f>
        <v>44.352276784719258</v>
      </c>
      <c r="S165" s="6">
        <f t="shared" si="22"/>
        <v>0</v>
      </c>
      <c r="T165" s="12">
        <v>0</v>
      </c>
      <c r="U165" s="14">
        <f>O165*'1-Specification &amp; Data'!B$14*0.9</f>
        <v>5.366413024286639</v>
      </c>
    </row>
    <row r="166" spans="2:21" x14ac:dyDescent="0.25">
      <c r="C166" s="6">
        <f t="shared" si="27"/>
        <v>164</v>
      </c>
      <c r="D166" s="6">
        <v>24</v>
      </c>
      <c r="E166" s="12">
        <f t="shared" si="23"/>
        <v>38.624191976539379</v>
      </c>
      <c r="F166" s="12">
        <f t="shared" si="28"/>
        <v>10.728942215705382</v>
      </c>
      <c r="G166" s="13">
        <f t="shared" si="29"/>
        <v>1316.4859137929491</v>
      </c>
      <c r="H166" s="12">
        <f t="shared" si="30"/>
        <v>11.175981474693106</v>
      </c>
      <c r="I166" s="12">
        <f t="shared" si="31"/>
        <v>-0.8940785179754478</v>
      </c>
      <c r="J166" s="6">
        <f t="shared" si="32"/>
        <v>3</v>
      </c>
      <c r="K166" s="6">
        <v>0</v>
      </c>
      <c r="L166" s="12">
        <f>('1-Specification &amp; Data'!B$22*'1-Specification &amp; Data'!B$10*'1-Specification &amp; Data'!B$20*('1-Simulation'!F166^2-'1-Specification &amp; Data'!B$21^2))/2</f>
        <v>51.77840329500372</v>
      </c>
      <c r="M166" s="6">
        <f t="shared" si="24"/>
        <v>-625.99237111968853</v>
      </c>
      <c r="N166" s="12">
        <f>'1-Specification &amp; Data'!B$26*'1-Specification &amp; Data'!B$18*8.91</f>
        <v>585.0400446000001</v>
      </c>
      <c r="O166" s="12">
        <f t="shared" si="25"/>
        <v>10.8260767753153</v>
      </c>
      <c r="P166" s="14">
        <f t="shared" si="26"/>
        <v>10.8260767753153</v>
      </c>
      <c r="Q166" s="12">
        <f>IF(J166=1,'1-Specification &amp; Data'!B$52,IF('1-Simulation'!J166=2,'1-Specification &amp; Data'!B$53,IF('1-Simulation'!J166=3,'1-Specification &amp; Data'!B$54)))</f>
        <v>700.1536873262387</v>
      </c>
      <c r="R166" s="12">
        <f>(0.5*'1-Specification &amp; Data'!B$18*'1-Simulation'!F166^2)/1000</f>
        <v>37.791289094672045</v>
      </c>
      <c r="S166" s="6">
        <f t="shared" si="22"/>
        <v>0</v>
      </c>
      <c r="T166" s="12">
        <v>0</v>
      </c>
      <c r="U166" s="14">
        <f>O166*'1-Specification &amp; Data'!B$14*0.9</f>
        <v>2.8730742211413682</v>
      </c>
    </row>
    <row r="167" spans="2:21" x14ac:dyDescent="0.25">
      <c r="C167" s="6">
        <f t="shared" si="27"/>
        <v>165</v>
      </c>
      <c r="D167" s="6">
        <v>22</v>
      </c>
      <c r="E167" s="12">
        <f t="shared" si="23"/>
        <v>35.405509311827764</v>
      </c>
      <c r="F167" s="12">
        <f t="shared" si="28"/>
        <v>9.8348636977299346</v>
      </c>
      <c r="G167" s="13">
        <f t="shared" si="29"/>
        <v>1326.7678167496667</v>
      </c>
      <c r="H167" s="12">
        <f t="shared" si="30"/>
        <v>10.281902956717659</v>
      </c>
      <c r="I167" s="12">
        <f t="shared" si="31"/>
        <v>-0.8940785179754478</v>
      </c>
      <c r="J167" s="6">
        <f t="shared" si="32"/>
        <v>3</v>
      </c>
      <c r="K167" s="6">
        <v>0</v>
      </c>
      <c r="L167" s="12">
        <f>('1-Specification &amp; Data'!B$22*'1-Specification &amp; Data'!B$10*'1-Specification &amp; Data'!B$20*('1-Simulation'!F167^2-'1-Specification &amp; Data'!B$21^2))/2</f>
        <v>43.134828777431153</v>
      </c>
      <c r="M167" s="6">
        <f t="shared" si="24"/>
        <v>-625.99237111968853</v>
      </c>
      <c r="N167" s="12">
        <f>'1-Specification &amp; Data'!B$26*'1-Specification &amp; Data'!B$18*8.91</f>
        <v>585.0400446000001</v>
      </c>
      <c r="O167" s="12">
        <f t="shared" si="25"/>
        <v>2.1825022577427262</v>
      </c>
      <c r="P167" s="14">
        <f t="shared" si="26"/>
        <v>2.1825022577427262</v>
      </c>
      <c r="Q167" s="12">
        <f>IF(J167=1,'1-Specification &amp; Data'!B$52,IF('1-Simulation'!J167=2,'1-Specification &amp; Data'!B$53,IF('1-Simulation'!J167=3,'1-Specification &amp; Data'!B$54)))</f>
        <v>700.1536873262387</v>
      </c>
      <c r="R167" s="12">
        <f>(0.5*'1-Specification &amp; Data'!B$18*'1-Simulation'!F167^2)/1000</f>
        <v>31.755180419828598</v>
      </c>
      <c r="S167" s="6">
        <f t="shared" si="22"/>
        <v>0</v>
      </c>
      <c r="T167" s="12">
        <v>0</v>
      </c>
      <c r="U167" s="14">
        <f>O167*'1-Specification &amp; Data'!B$14*0.9</f>
        <v>0.57920252224710822</v>
      </c>
    </row>
    <row r="168" spans="2:21" x14ac:dyDescent="0.25">
      <c r="C168" s="6">
        <f t="shared" si="27"/>
        <v>166</v>
      </c>
      <c r="D168" s="6">
        <v>21</v>
      </c>
      <c r="E168" s="12">
        <f t="shared" si="23"/>
        <v>33.796167979471953</v>
      </c>
      <c r="F168" s="12">
        <f t="shared" si="28"/>
        <v>9.387824438742209</v>
      </c>
      <c r="G168" s="13">
        <f t="shared" si="29"/>
        <v>1336.3791608179029</v>
      </c>
      <c r="H168" s="12">
        <f t="shared" si="30"/>
        <v>9.6113440682360718</v>
      </c>
      <c r="I168" s="12">
        <f t="shared" si="31"/>
        <v>-0.44703925898772567</v>
      </c>
      <c r="J168" s="6">
        <f t="shared" si="32"/>
        <v>3</v>
      </c>
      <c r="K168" s="6">
        <v>0</v>
      </c>
      <c r="L168" s="12">
        <f>('1-Specification &amp; Data'!B$22*'1-Specification &amp; Data'!B$10*'1-Specification &amp; Data'!B$20*('1-Simulation'!F168^2-'1-Specification &amp; Data'!B$21^2))/2</f>
        <v>39.094897209435267</v>
      </c>
      <c r="M168" s="6">
        <f t="shared" si="24"/>
        <v>-312.99618555984551</v>
      </c>
      <c r="N168" s="12">
        <f>'1-Specification &amp; Data'!B$26*'1-Specification &amp; Data'!B$18*8.91</f>
        <v>585.0400446000001</v>
      </c>
      <c r="O168" s="12">
        <f t="shared" si="25"/>
        <v>311.13875624958985</v>
      </c>
      <c r="P168" s="14">
        <f t="shared" si="26"/>
        <v>311.13875624958985</v>
      </c>
      <c r="Q168" s="12">
        <f>IF(J168=1,'1-Specification &amp; Data'!B$52,IF('1-Simulation'!J168=2,'1-Specification &amp; Data'!B$53,IF('1-Simulation'!J168=3,'1-Specification &amp; Data'!B$54)))</f>
        <v>700.1536873262387</v>
      </c>
      <c r="R168" s="12">
        <f>(0.5*'1-Specification &amp; Data'!B$18*'1-Simulation'!F168^2)/1000</f>
        <v>28.933955713108279</v>
      </c>
      <c r="S168" s="6">
        <f t="shared" si="22"/>
        <v>0</v>
      </c>
      <c r="T168" s="12">
        <v>0</v>
      </c>
      <c r="U168" s="14">
        <f>O168*'1-Specification &amp; Data'!B$14*0.9</f>
        <v>82.571439158545004</v>
      </c>
    </row>
    <row r="169" spans="2:21" x14ac:dyDescent="0.25">
      <c r="C169" s="6">
        <f t="shared" si="27"/>
        <v>167</v>
      </c>
      <c r="D169" s="6">
        <v>20</v>
      </c>
      <c r="E169" s="12">
        <f t="shared" si="23"/>
        <v>32.186826647116149</v>
      </c>
      <c r="F169" s="12">
        <f t="shared" si="28"/>
        <v>8.9407851797544851</v>
      </c>
      <c r="G169" s="13">
        <f t="shared" si="29"/>
        <v>1345.5434656271511</v>
      </c>
      <c r="H169" s="12">
        <f t="shared" si="30"/>
        <v>9.1643048092483461</v>
      </c>
      <c r="I169" s="12">
        <f t="shared" si="31"/>
        <v>-0.44703925898772567</v>
      </c>
      <c r="J169" s="6">
        <f t="shared" si="32"/>
        <v>2</v>
      </c>
      <c r="K169" s="6">
        <v>0</v>
      </c>
      <c r="L169" s="12">
        <f>('1-Specification &amp; Data'!B$22*'1-Specification &amp; Data'!B$10*'1-Specification &amp; Data'!B$20*('1-Simulation'!F169^2-'1-Specification &amp; Data'!B$21^2))/2</f>
        <v>35.24286943529966</v>
      </c>
      <c r="M169" s="6">
        <f t="shared" si="24"/>
        <v>-315.10401104555172</v>
      </c>
      <c r="N169" s="12">
        <f>'1-Specification &amp; Data'!B$26*'1-Specification &amp; Data'!B$18*8.91</f>
        <v>585.0400446000001</v>
      </c>
      <c r="O169" s="12">
        <f t="shared" si="25"/>
        <v>305.17890298974805</v>
      </c>
      <c r="P169" s="14">
        <f t="shared" si="26"/>
        <v>305.17890298974805</v>
      </c>
      <c r="Q169" s="12">
        <f>IF(J169=1,'1-Specification &amp; Data'!B$52,IF('1-Simulation'!J169=2,'1-Specification &amp; Data'!B$53,IF('1-Simulation'!J169=3,'1-Specification &amp; Data'!B$54)))</f>
        <v>704.8687664682343</v>
      </c>
      <c r="R169" s="12">
        <f>(0.5*'1-Specification &amp; Data'!B$18*'1-Simulation'!F169^2)/1000</f>
        <v>26.243950760188916</v>
      </c>
      <c r="S169" s="6">
        <f t="shared" si="22"/>
        <v>0</v>
      </c>
      <c r="T169" s="12">
        <v>0</v>
      </c>
      <c r="U169" s="14">
        <f>O169*'1-Specification &amp; Data'!B$14*0.9</f>
        <v>80.989785793433143</v>
      </c>
    </row>
    <row r="170" spans="2:21" x14ac:dyDescent="0.25">
      <c r="C170" s="6">
        <f t="shared" si="27"/>
        <v>168</v>
      </c>
      <c r="D170" s="6">
        <v>19.8</v>
      </c>
      <c r="E170" s="12">
        <f t="shared" si="23"/>
        <v>31.864958380644989</v>
      </c>
      <c r="F170" s="12">
        <f t="shared" si="28"/>
        <v>8.851377327956941</v>
      </c>
      <c r="G170" s="13">
        <f t="shared" si="29"/>
        <v>1354.4395468810069</v>
      </c>
      <c r="H170" s="12">
        <f t="shared" si="30"/>
        <v>8.8960812538557121</v>
      </c>
      <c r="I170" s="12">
        <f t="shared" si="31"/>
        <v>-8.9407851797545845E-2</v>
      </c>
      <c r="J170" s="6">
        <f t="shared" si="32"/>
        <v>2</v>
      </c>
      <c r="K170" s="6">
        <v>0</v>
      </c>
      <c r="L170" s="12">
        <f>('1-Specification &amp; Data'!B$22*'1-Specification &amp; Data'!B$10*'1-Specification &amp; Data'!B$20*('1-Simulation'!F170^2-'1-Specification &amp; Data'!B$21^2))/2</f>
        <v>34.49501233573578</v>
      </c>
      <c r="M170" s="6">
        <f t="shared" si="24"/>
        <v>-63.020802209110848</v>
      </c>
      <c r="N170" s="12">
        <f>'1-Specification &amp; Data'!B$26*'1-Specification &amp; Data'!B$18*8.91</f>
        <v>585.0400446000001</v>
      </c>
      <c r="O170" s="12">
        <f t="shared" si="25"/>
        <v>556.51425472662504</v>
      </c>
      <c r="P170" s="14">
        <f t="shared" si="26"/>
        <v>556.51425472662504</v>
      </c>
      <c r="Q170" s="12">
        <f>IF(J170=1,'1-Specification &amp; Data'!B$52,IF('1-Simulation'!J170=2,'1-Specification &amp; Data'!B$53,IF('1-Simulation'!J170=3,'1-Specification &amp; Data'!B$54)))</f>
        <v>704.8687664682343</v>
      </c>
      <c r="R170" s="12">
        <f>(0.5*'1-Specification &amp; Data'!B$18*'1-Simulation'!F170^2)/1000</f>
        <v>25.721696140061162</v>
      </c>
      <c r="S170" s="6">
        <f t="shared" si="22"/>
        <v>0</v>
      </c>
      <c r="T170" s="12">
        <v>0</v>
      </c>
      <c r="U170" s="14">
        <f>O170*'1-Specification &amp; Data'!B$14*0.9</f>
        <v>147.69032144668125</v>
      </c>
    </row>
    <row r="171" spans="2:21" x14ac:dyDescent="0.25">
      <c r="B171" s="17" t="s">
        <v>115</v>
      </c>
      <c r="C171" s="6">
        <f t="shared" si="27"/>
        <v>169</v>
      </c>
      <c r="D171" s="6">
        <v>17.5</v>
      </c>
      <c r="E171" s="12">
        <f t="shared" si="23"/>
        <v>28.163473316226629</v>
      </c>
      <c r="F171" s="12">
        <f t="shared" si="28"/>
        <v>7.8231870322851744</v>
      </c>
      <c r="G171" s="13">
        <f t="shared" si="29"/>
        <v>1362.776829061128</v>
      </c>
      <c r="H171" s="12">
        <f t="shared" si="30"/>
        <v>8.3372821801210577</v>
      </c>
      <c r="I171" s="12">
        <f t="shared" si="31"/>
        <v>-1.0281902956717666</v>
      </c>
      <c r="J171" s="6">
        <f t="shared" si="32"/>
        <v>2</v>
      </c>
      <c r="K171" s="6">
        <v>0</v>
      </c>
      <c r="L171" s="12">
        <f>('1-Specification &amp; Data'!B$22*'1-Specification &amp; Data'!B$10*'1-Specification &amp; Data'!B$20*('1-Simulation'!F171^2-'1-Specification &amp; Data'!B$21^2))/2</f>
        <v>26.434879098099351</v>
      </c>
      <c r="M171" s="6">
        <f t="shared" si="24"/>
        <v>-724.73922540476724</v>
      </c>
      <c r="N171" s="12">
        <f>'1-Specification &amp; Data'!B$26*'1-Specification &amp; Data'!B$18*8.91</f>
        <v>585.0400446000001</v>
      </c>
      <c r="O171" s="12">
        <f t="shared" si="25"/>
        <v>-113.26430170666777</v>
      </c>
      <c r="P171" s="14">
        <f t="shared" si="26"/>
        <v>113.26430170666777</v>
      </c>
      <c r="Q171" s="12">
        <f>IF(J171=1,'1-Specification &amp; Data'!B$52,IF('1-Simulation'!J171=2,'1-Specification &amp; Data'!B$53,IF('1-Simulation'!J171=3,'1-Specification &amp; Data'!B$54)))</f>
        <v>704.8687664682343</v>
      </c>
      <c r="R171" s="12">
        <f>(0.5*'1-Specification &amp; Data'!B$18*'1-Simulation'!F171^2)/1000</f>
        <v>20.093024800769641</v>
      </c>
      <c r="S171" s="6">
        <f t="shared" si="22"/>
        <v>0</v>
      </c>
      <c r="T171" s="12">
        <v>0</v>
      </c>
      <c r="U171" s="14">
        <f>O171*'1-Specification &amp; Data'!B$14*0.9</f>
        <v>-30.058603145231064</v>
      </c>
    </row>
    <row r="172" spans="2:21" x14ac:dyDescent="0.25">
      <c r="C172" s="6">
        <f t="shared" si="27"/>
        <v>170</v>
      </c>
      <c r="D172" s="6">
        <v>17.5</v>
      </c>
      <c r="E172" s="12">
        <f t="shared" si="23"/>
        <v>28.163473316226629</v>
      </c>
      <c r="F172" s="12">
        <f t="shared" si="28"/>
        <v>7.8231870322851744</v>
      </c>
      <c r="G172" s="13">
        <f t="shared" si="29"/>
        <v>1370.6000160934132</v>
      </c>
      <c r="H172" s="12">
        <f t="shared" si="30"/>
        <v>7.8231870322851744</v>
      </c>
      <c r="I172" s="12">
        <f t="shared" si="31"/>
        <v>0</v>
      </c>
      <c r="J172" s="6">
        <f t="shared" si="32"/>
        <v>2</v>
      </c>
      <c r="K172" s="6">
        <v>0</v>
      </c>
      <c r="L172" s="12">
        <f>('1-Specification &amp; Data'!B$22*'1-Specification &amp; Data'!B$10*'1-Specification &amp; Data'!B$20*('1-Simulation'!F172^2-'1-Specification &amp; Data'!B$21^2))/2</f>
        <v>26.434879098099351</v>
      </c>
      <c r="M172" s="6">
        <f t="shared" si="24"/>
        <v>0</v>
      </c>
      <c r="N172" s="12">
        <f>'1-Specification &amp; Data'!B$26*'1-Specification &amp; Data'!B$18*8.91</f>
        <v>585.0400446000001</v>
      </c>
      <c r="O172" s="12">
        <f t="shared" si="25"/>
        <v>611.47492369809947</v>
      </c>
      <c r="P172" s="14">
        <f t="shared" si="26"/>
        <v>611.47492369809947</v>
      </c>
      <c r="Q172" s="12">
        <f>IF(J172=1,'1-Specification &amp; Data'!B$52,IF('1-Simulation'!J172=2,'1-Specification &amp; Data'!B$53,IF('1-Simulation'!J172=3,'1-Specification &amp; Data'!B$54)))</f>
        <v>704.8687664682343</v>
      </c>
      <c r="R172" s="12">
        <f>(0.5*'1-Specification &amp; Data'!B$18*'1-Simulation'!F172^2)/1000</f>
        <v>20.093024800769641</v>
      </c>
      <c r="S172" s="6">
        <f t="shared" si="22"/>
        <v>0</v>
      </c>
      <c r="T172" s="12">
        <v>0</v>
      </c>
      <c r="U172" s="14">
        <f>O172*'1-Specification &amp; Data'!B$14*0.9</f>
        <v>162.27603744295718</v>
      </c>
    </row>
    <row r="173" spans="2:21" x14ac:dyDescent="0.25">
      <c r="C173" s="6">
        <f t="shared" si="27"/>
        <v>171</v>
      </c>
      <c r="D173" s="6">
        <v>17.5</v>
      </c>
      <c r="E173" s="12">
        <f t="shared" si="23"/>
        <v>28.163473316226629</v>
      </c>
      <c r="F173" s="12">
        <f t="shared" si="28"/>
        <v>7.8231870322851744</v>
      </c>
      <c r="G173" s="13">
        <f t="shared" si="29"/>
        <v>1378.4232031256984</v>
      </c>
      <c r="H173" s="12">
        <f t="shared" si="30"/>
        <v>7.8231870322851744</v>
      </c>
      <c r="I173" s="12">
        <f t="shared" si="31"/>
        <v>0</v>
      </c>
      <c r="J173" s="6">
        <f t="shared" si="32"/>
        <v>2</v>
      </c>
      <c r="K173" s="6">
        <v>0</v>
      </c>
      <c r="L173" s="12">
        <f>('1-Specification &amp; Data'!B$22*'1-Specification &amp; Data'!B$10*'1-Specification &amp; Data'!B$20*('1-Simulation'!F173^2-'1-Specification &amp; Data'!B$21^2))/2</f>
        <v>26.434879098099351</v>
      </c>
      <c r="M173" s="6">
        <f t="shared" si="24"/>
        <v>0</v>
      </c>
      <c r="N173" s="12">
        <f>'1-Specification &amp; Data'!B$26*'1-Specification &amp; Data'!B$18*8.91</f>
        <v>585.0400446000001</v>
      </c>
      <c r="O173" s="12">
        <f t="shared" si="25"/>
        <v>611.47492369809947</v>
      </c>
      <c r="P173" s="14">
        <f t="shared" si="26"/>
        <v>611.47492369809947</v>
      </c>
      <c r="Q173" s="12">
        <f>IF(J173=1,'1-Specification &amp; Data'!B$52,IF('1-Simulation'!J173=2,'1-Specification &amp; Data'!B$53,IF('1-Simulation'!J173=3,'1-Specification &amp; Data'!B$54)))</f>
        <v>704.8687664682343</v>
      </c>
      <c r="R173" s="12">
        <f>(0.5*'1-Specification &amp; Data'!B$18*'1-Simulation'!F173^2)/1000</f>
        <v>20.093024800769641</v>
      </c>
      <c r="S173" s="6">
        <f t="shared" si="22"/>
        <v>0</v>
      </c>
      <c r="T173" s="12">
        <v>0</v>
      </c>
      <c r="U173" s="14">
        <f>O173*'1-Specification &amp; Data'!B$14*0.9</f>
        <v>162.27603744295718</v>
      </c>
    </row>
    <row r="174" spans="2:21" x14ac:dyDescent="0.25">
      <c r="C174" s="6">
        <f t="shared" si="27"/>
        <v>172</v>
      </c>
      <c r="D174" s="6">
        <v>17.5</v>
      </c>
      <c r="E174" s="12">
        <f t="shared" si="23"/>
        <v>28.163473316226629</v>
      </c>
      <c r="F174" s="12">
        <f t="shared" si="28"/>
        <v>7.8231870322851744</v>
      </c>
      <c r="G174" s="13">
        <f t="shared" si="29"/>
        <v>1386.2463901579836</v>
      </c>
      <c r="H174" s="12">
        <f t="shared" si="30"/>
        <v>7.8231870322851744</v>
      </c>
      <c r="I174" s="12">
        <f t="shared" si="31"/>
        <v>0</v>
      </c>
      <c r="J174" s="6">
        <f t="shared" si="32"/>
        <v>2</v>
      </c>
      <c r="K174" s="6">
        <v>0</v>
      </c>
      <c r="L174" s="12">
        <f>('1-Specification &amp; Data'!B$22*'1-Specification &amp; Data'!B$10*'1-Specification &amp; Data'!B$20*('1-Simulation'!F174^2-'1-Specification &amp; Data'!B$21^2))/2</f>
        <v>26.434879098099351</v>
      </c>
      <c r="M174" s="6">
        <f t="shared" si="24"/>
        <v>0</v>
      </c>
      <c r="N174" s="12">
        <f>'1-Specification &amp; Data'!B$26*'1-Specification &amp; Data'!B$18*8.91</f>
        <v>585.0400446000001</v>
      </c>
      <c r="O174" s="12">
        <f t="shared" si="25"/>
        <v>611.47492369809947</v>
      </c>
      <c r="P174" s="14">
        <f t="shared" si="26"/>
        <v>611.47492369809947</v>
      </c>
      <c r="Q174" s="12">
        <f>IF(J174=1,'1-Specification &amp; Data'!B$52,IF('1-Simulation'!J174=2,'1-Specification &amp; Data'!B$53,IF('1-Simulation'!J174=3,'1-Specification &amp; Data'!B$54)))</f>
        <v>704.8687664682343</v>
      </c>
      <c r="R174" s="12">
        <f>(0.5*'1-Specification &amp; Data'!B$18*'1-Simulation'!F174^2)/1000</f>
        <v>20.093024800769641</v>
      </c>
      <c r="S174" s="6">
        <f t="shared" si="22"/>
        <v>0</v>
      </c>
      <c r="T174" s="12">
        <v>0</v>
      </c>
      <c r="U174" s="14">
        <f>O174*'1-Specification &amp; Data'!B$14*0.9</f>
        <v>162.27603744295718</v>
      </c>
    </row>
    <row r="175" spans="2:21" x14ac:dyDescent="0.25">
      <c r="C175" s="6">
        <f t="shared" si="27"/>
        <v>173</v>
      </c>
      <c r="D175" s="6">
        <v>17.5</v>
      </c>
      <c r="E175" s="12">
        <f t="shared" si="23"/>
        <v>28.163473316226629</v>
      </c>
      <c r="F175" s="12">
        <f t="shared" si="28"/>
        <v>7.8231870322851744</v>
      </c>
      <c r="G175" s="13">
        <f t="shared" si="29"/>
        <v>1394.0695771902688</v>
      </c>
      <c r="H175" s="12">
        <f t="shared" si="30"/>
        <v>7.8231870322851744</v>
      </c>
      <c r="I175" s="12">
        <f t="shared" si="31"/>
        <v>0</v>
      </c>
      <c r="J175" s="6">
        <f t="shared" si="32"/>
        <v>2</v>
      </c>
      <c r="K175" s="6">
        <v>0</v>
      </c>
      <c r="L175" s="12">
        <f>('1-Specification &amp; Data'!B$22*'1-Specification &amp; Data'!B$10*'1-Specification &amp; Data'!B$20*('1-Simulation'!F175^2-'1-Specification &amp; Data'!B$21^2))/2</f>
        <v>26.434879098099351</v>
      </c>
      <c r="M175" s="6">
        <f t="shared" si="24"/>
        <v>0</v>
      </c>
      <c r="N175" s="12">
        <f>'1-Specification &amp; Data'!B$26*'1-Specification &amp; Data'!B$18*8.91</f>
        <v>585.0400446000001</v>
      </c>
      <c r="O175" s="12">
        <f t="shared" si="25"/>
        <v>611.47492369809947</v>
      </c>
      <c r="P175" s="14">
        <f t="shared" si="26"/>
        <v>611.47492369809947</v>
      </c>
      <c r="Q175" s="12">
        <f>IF(J175=1,'1-Specification &amp; Data'!B$52,IF('1-Simulation'!J175=2,'1-Specification &amp; Data'!B$53,IF('1-Simulation'!J175=3,'1-Specification &amp; Data'!B$54)))</f>
        <v>704.8687664682343</v>
      </c>
      <c r="R175" s="12">
        <f>(0.5*'1-Specification &amp; Data'!B$18*'1-Simulation'!F175^2)/1000</f>
        <v>20.093024800769641</v>
      </c>
      <c r="S175" s="6">
        <f t="shared" si="22"/>
        <v>0</v>
      </c>
      <c r="T175" s="12">
        <v>0</v>
      </c>
      <c r="U175" s="14">
        <f>O175*'1-Specification &amp; Data'!B$14*0.9</f>
        <v>162.27603744295718</v>
      </c>
    </row>
    <row r="176" spans="2:21" x14ac:dyDescent="0.25">
      <c r="C176" s="6">
        <f t="shared" si="27"/>
        <v>174</v>
      </c>
      <c r="D176" s="6">
        <v>17.5</v>
      </c>
      <c r="E176" s="12">
        <f t="shared" si="23"/>
        <v>28.163473316226629</v>
      </c>
      <c r="F176" s="12">
        <f t="shared" si="28"/>
        <v>7.8231870322851744</v>
      </c>
      <c r="G176" s="13">
        <f t="shared" si="29"/>
        <v>1401.892764222554</v>
      </c>
      <c r="H176" s="12">
        <f t="shared" si="30"/>
        <v>7.8231870322851744</v>
      </c>
      <c r="I176" s="12">
        <f t="shared" si="31"/>
        <v>0</v>
      </c>
      <c r="J176" s="6">
        <f t="shared" si="32"/>
        <v>2</v>
      </c>
      <c r="K176" s="6">
        <v>0</v>
      </c>
      <c r="L176" s="12">
        <f>('1-Specification &amp; Data'!B$22*'1-Specification &amp; Data'!B$10*'1-Specification &amp; Data'!B$20*('1-Simulation'!F176^2-'1-Specification &amp; Data'!B$21^2))/2</f>
        <v>26.434879098099351</v>
      </c>
      <c r="M176" s="6">
        <f t="shared" si="24"/>
        <v>0</v>
      </c>
      <c r="N176" s="12">
        <f>'1-Specification &amp; Data'!B$26*'1-Specification &amp; Data'!B$18*8.91</f>
        <v>585.0400446000001</v>
      </c>
      <c r="O176" s="12">
        <f t="shared" si="25"/>
        <v>611.47492369809947</v>
      </c>
      <c r="P176" s="14">
        <f t="shared" si="26"/>
        <v>611.47492369809947</v>
      </c>
      <c r="Q176" s="12">
        <f>IF(J176=1,'1-Specification &amp; Data'!B$52,IF('1-Simulation'!J176=2,'1-Specification &amp; Data'!B$53,IF('1-Simulation'!J176=3,'1-Specification &amp; Data'!B$54)))</f>
        <v>704.8687664682343</v>
      </c>
      <c r="R176" s="12">
        <f>(0.5*'1-Specification &amp; Data'!B$18*'1-Simulation'!F176^2)/1000</f>
        <v>20.093024800769641</v>
      </c>
      <c r="S176" s="6">
        <f t="shared" si="22"/>
        <v>0</v>
      </c>
      <c r="T176" s="12">
        <v>0</v>
      </c>
      <c r="U176" s="14">
        <f>O176*'1-Specification &amp; Data'!B$14*0.9</f>
        <v>162.27603744295718</v>
      </c>
    </row>
    <row r="177" spans="1:21" x14ac:dyDescent="0.25">
      <c r="C177" s="6">
        <f t="shared" si="27"/>
        <v>175</v>
      </c>
      <c r="D177" s="6">
        <v>17.5</v>
      </c>
      <c r="E177" s="12">
        <f t="shared" si="23"/>
        <v>28.163473316226629</v>
      </c>
      <c r="F177" s="12">
        <f t="shared" si="28"/>
        <v>7.8231870322851744</v>
      </c>
      <c r="G177" s="13">
        <f t="shared" si="29"/>
        <v>1409.7159512548392</v>
      </c>
      <c r="H177" s="12">
        <f t="shared" si="30"/>
        <v>7.8231870322851744</v>
      </c>
      <c r="I177" s="12">
        <f t="shared" si="31"/>
        <v>0</v>
      </c>
      <c r="J177" s="6">
        <f t="shared" si="32"/>
        <v>2</v>
      </c>
      <c r="K177" s="6">
        <v>0</v>
      </c>
      <c r="L177" s="12">
        <f>('1-Specification &amp; Data'!B$22*'1-Specification &amp; Data'!B$10*'1-Specification &amp; Data'!B$20*('1-Simulation'!F177^2-'1-Specification &amp; Data'!B$21^2))/2</f>
        <v>26.434879098099351</v>
      </c>
      <c r="M177" s="6">
        <f t="shared" si="24"/>
        <v>0</v>
      </c>
      <c r="N177" s="12">
        <f>'1-Specification &amp; Data'!B$26*'1-Specification &amp; Data'!B$18*8.91</f>
        <v>585.0400446000001</v>
      </c>
      <c r="O177" s="12">
        <f t="shared" si="25"/>
        <v>611.47492369809947</v>
      </c>
      <c r="P177" s="14">
        <f t="shared" si="26"/>
        <v>611.47492369809947</v>
      </c>
      <c r="Q177" s="12">
        <f>IF(J177=1,'1-Specification &amp; Data'!B$52,IF('1-Simulation'!J177=2,'1-Specification &amp; Data'!B$53,IF('1-Simulation'!J177=3,'1-Specification &amp; Data'!B$54)))</f>
        <v>704.8687664682343</v>
      </c>
      <c r="R177" s="12">
        <f>(0.5*'1-Specification &amp; Data'!B$18*'1-Simulation'!F177^2)/1000</f>
        <v>20.093024800769641</v>
      </c>
      <c r="S177" s="6">
        <f t="shared" si="22"/>
        <v>0</v>
      </c>
      <c r="T177" s="12">
        <v>0</v>
      </c>
      <c r="U177" s="14">
        <f>O177*'1-Specification &amp; Data'!B$14*0.9</f>
        <v>162.27603744295718</v>
      </c>
    </row>
    <row r="178" spans="1:21" x14ac:dyDescent="0.25">
      <c r="C178" s="6">
        <f t="shared" si="27"/>
        <v>176</v>
      </c>
      <c r="D178" s="6">
        <v>17.5</v>
      </c>
      <c r="E178" s="12">
        <f t="shared" si="23"/>
        <v>28.163473316226629</v>
      </c>
      <c r="F178" s="12">
        <f t="shared" si="28"/>
        <v>7.8231870322851744</v>
      </c>
      <c r="G178" s="13">
        <f t="shared" si="29"/>
        <v>1417.5391382871244</v>
      </c>
      <c r="H178" s="12">
        <f t="shared" si="30"/>
        <v>7.8231870322851744</v>
      </c>
      <c r="I178" s="12">
        <f t="shared" si="31"/>
        <v>0</v>
      </c>
      <c r="J178" s="6">
        <f t="shared" si="32"/>
        <v>2</v>
      </c>
      <c r="K178" s="6">
        <v>0</v>
      </c>
      <c r="L178" s="12">
        <f>('1-Specification &amp; Data'!B$22*'1-Specification &amp; Data'!B$10*'1-Specification &amp; Data'!B$20*('1-Simulation'!F178^2-'1-Specification &amp; Data'!B$21^2))/2</f>
        <v>26.434879098099351</v>
      </c>
      <c r="M178" s="6">
        <f t="shared" si="24"/>
        <v>0</v>
      </c>
      <c r="N178" s="12">
        <f>'1-Specification &amp; Data'!B$26*'1-Specification &amp; Data'!B$18*8.91</f>
        <v>585.0400446000001</v>
      </c>
      <c r="O178" s="12">
        <f t="shared" si="25"/>
        <v>611.47492369809947</v>
      </c>
      <c r="P178" s="14">
        <f t="shared" si="26"/>
        <v>611.47492369809947</v>
      </c>
      <c r="Q178" s="12">
        <f>IF(J178=1,'1-Specification &amp; Data'!B$52,IF('1-Simulation'!J178=2,'1-Specification &amp; Data'!B$53,IF('1-Simulation'!J178=3,'1-Specification &amp; Data'!B$54)))</f>
        <v>704.8687664682343</v>
      </c>
      <c r="R178" s="12">
        <f>(0.5*'1-Specification &amp; Data'!B$18*'1-Simulation'!F178^2)/1000</f>
        <v>20.093024800769641</v>
      </c>
      <c r="S178" s="6">
        <f t="shared" si="22"/>
        <v>0</v>
      </c>
      <c r="T178" s="12">
        <v>0</v>
      </c>
      <c r="U178" s="14">
        <f>O178*'1-Specification &amp; Data'!B$14*0.9</f>
        <v>162.27603744295718</v>
      </c>
    </row>
    <row r="179" spans="1:21" x14ac:dyDescent="0.25">
      <c r="C179" s="6">
        <f t="shared" si="27"/>
        <v>177</v>
      </c>
      <c r="D179" s="6">
        <v>17.5</v>
      </c>
      <c r="E179" s="12">
        <f t="shared" si="23"/>
        <v>28.163473316226629</v>
      </c>
      <c r="F179" s="12">
        <f t="shared" si="28"/>
        <v>7.8231870322851744</v>
      </c>
      <c r="G179" s="13">
        <f t="shared" si="29"/>
        <v>1425.3623253194096</v>
      </c>
      <c r="H179" s="12">
        <f t="shared" si="30"/>
        <v>7.8231870322851744</v>
      </c>
      <c r="I179" s="12">
        <f t="shared" si="31"/>
        <v>0</v>
      </c>
      <c r="J179" s="6">
        <f t="shared" si="32"/>
        <v>2</v>
      </c>
      <c r="K179" s="6">
        <v>0</v>
      </c>
      <c r="L179" s="12">
        <f>('1-Specification &amp; Data'!B$22*'1-Specification &amp; Data'!B$10*'1-Specification &amp; Data'!B$20*('1-Simulation'!F179^2-'1-Specification &amp; Data'!B$21^2))/2</f>
        <v>26.434879098099351</v>
      </c>
      <c r="M179" s="6">
        <f t="shared" si="24"/>
        <v>0</v>
      </c>
      <c r="N179" s="12">
        <f>'1-Specification &amp; Data'!B$26*'1-Specification &amp; Data'!B$18*8.91</f>
        <v>585.0400446000001</v>
      </c>
      <c r="O179" s="12">
        <f t="shared" si="25"/>
        <v>611.47492369809947</v>
      </c>
      <c r="P179" s="14">
        <f t="shared" si="26"/>
        <v>611.47492369809947</v>
      </c>
      <c r="Q179" s="12">
        <f>IF(J179=1,'1-Specification &amp; Data'!B$52,IF('1-Simulation'!J179=2,'1-Specification &amp; Data'!B$53,IF('1-Simulation'!J179=3,'1-Specification &amp; Data'!B$54)))</f>
        <v>704.8687664682343</v>
      </c>
      <c r="R179" s="12">
        <f>(0.5*'1-Specification &amp; Data'!B$18*'1-Simulation'!F179^2)/1000</f>
        <v>20.093024800769641</v>
      </c>
      <c r="S179" s="6">
        <f t="shared" si="22"/>
        <v>0</v>
      </c>
      <c r="T179" s="12">
        <v>0</v>
      </c>
      <c r="U179" s="14">
        <f>O179*'1-Specification &amp; Data'!B$14*0.9</f>
        <v>162.27603744295718</v>
      </c>
    </row>
    <row r="180" spans="1:21" x14ac:dyDescent="0.25">
      <c r="C180" s="6">
        <f t="shared" si="27"/>
        <v>178</v>
      </c>
      <c r="D180" s="6">
        <v>17.5</v>
      </c>
      <c r="E180" s="12">
        <f t="shared" si="23"/>
        <v>28.163473316226629</v>
      </c>
      <c r="F180" s="12">
        <f t="shared" si="28"/>
        <v>7.8231870322851744</v>
      </c>
      <c r="G180" s="13">
        <f t="shared" si="29"/>
        <v>1433.1855123516948</v>
      </c>
      <c r="H180" s="12">
        <f t="shared" si="30"/>
        <v>7.8231870322851744</v>
      </c>
      <c r="I180" s="12">
        <f t="shared" si="31"/>
        <v>0</v>
      </c>
      <c r="J180" s="6">
        <f t="shared" si="32"/>
        <v>2</v>
      </c>
      <c r="K180" s="6">
        <v>0</v>
      </c>
      <c r="L180" s="12">
        <f>('1-Specification &amp; Data'!B$22*'1-Specification &amp; Data'!B$10*'1-Specification &amp; Data'!B$20*('1-Simulation'!F180^2-'1-Specification &amp; Data'!B$21^2))/2</f>
        <v>26.434879098099351</v>
      </c>
      <c r="M180" s="6">
        <f t="shared" si="24"/>
        <v>0</v>
      </c>
      <c r="N180" s="12">
        <f>'1-Specification &amp; Data'!B$26*'1-Specification &amp; Data'!B$18*8.91</f>
        <v>585.0400446000001</v>
      </c>
      <c r="O180" s="12">
        <f t="shared" si="25"/>
        <v>611.47492369809947</v>
      </c>
      <c r="P180" s="14">
        <f t="shared" si="26"/>
        <v>611.47492369809947</v>
      </c>
      <c r="Q180" s="12">
        <f>IF(J180=1,'1-Specification &amp; Data'!B$52,IF('1-Simulation'!J180=2,'1-Specification &amp; Data'!B$53,IF('1-Simulation'!J180=3,'1-Specification &amp; Data'!B$54)))</f>
        <v>704.8687664682343</v>
      </c>
      <c r="R180" s="12">
        <f>(0.5*'1-Specification &amp; Data'!B$18*'1-Simulation'!F180^2)/1000</f>
        <v>20.093024800769641</v>
      </c>
      <c r="S180" s="6">
        <f t="shared" si="22"/>
        <v>0</v>
      </c>
      <c r="T180" s="12">
        <v>0</v>
      </c>
      <c r="U180" s="14">
        <f>O180*'1-Specification &amp; Data'!B$14*0.9</f>
        <v>162.27603744295718</v>
      </c>
    </row>
    <row r="181" spans="1:21" x14ac:dyDescent="0.25">
      <c r="A181" s="6" t="s">
        <v>116</v>
      </c>
      <c r="B181" s="17" t="s">
        <v>117</v>
      </c>
      <c r="C181" s="6">
        <f t="shared" si="27"/>
        <v>179</v>
      </c>
      <c r="D181" s="6">
        <v>17.5</v>
      </c>
      <c r="E181" s="12">
        <f t="shared" si="23"/>
        <v>28.163473316226629</v>
      </c>
      <c r="F181" s="12">
        <f t="shared" si="28"/>
        <v>7.8231870322851744</v>
      </c>
      <c r="G181" s="13">
        <f t="shared" si="29"/>
        <v>1441.00869938398</v>
      </c>
      <c r="H181" s="12">
        <f t="shared" si="30"/>
        <v>7.8231870322851744</v>
      </c>
      <c r="I181" s="12">
        <f t="shared" si="31"/>
        <v>0</v>
      </c>
      <c r="J181" s="6">
        <f t="shared" si="32"/>
        <v>2</v>
      </c>
      <c r="K181" s="6">
        <v>0</v>
      </c>
      <c r="L181" s="12">
        <f>('1-Specification &amp; Data'!B$22*'1-Specification &amp; Data'!B$10*'1-Specification &amp; Data'!B$20*('1-Simulation'!F181^2-'1-Specification &amp; Data'!B$21^2))/2</f>
        <v>26.434879098099351</v>
      </c>
      <c r="M181" s="6">
        <f t="shared" si="24"/>
        <v>0</v>
      </c>
      <c r="N181" s="12">
        <f>'1-Specification &amp; Data'!B$26*'1-Specification &amp; Data'!B$18*8.91</f>
        <v>585.0400446000001</v>
      </c>
      <c r="O181" s="12">
        <f t="shared" si="25"/>
        <v>611.47492369809947</v>
      </c>
      <c r="P181" s="14">
        <f t="shared" si="26"/>
        <v>611.47492369809947</v>
      </c>
      <c r="Q181" s="12">
        <f>IF(J181=1,'1-Specification &amp; Data'!B$52,IF('1-Simulation'!J181=2,'1-Specification &amp; Data'!B$53,IF('1-Simulation'!J181=3,'1-Specification &amp; Data'!B$54)))</f>
        <v>704.8687664682343</v>
      </c>
      <c r="R181" s="12">
        <f>(0.5*'1-Specification &amp; Data'!B$18*'1-Simulation'!F181^2)/1000</f>
        <v>20.093024800769641</v>
      </c>
      <c r="S181" s="6">
        <f t="shared" si="22"/>
        <v>0</v>
      </c>
      <c r="T181" s="12">
        <v>0</v>
      </c>
      <c r="U181" s="14">
        <f>O181*'1-Specification &amp; Data'!B$14*0.9</f>
        <v>162.27603744295718</v>
      </c>
    </row>
    <row r="182" spans="1:21" x14ac:dyDescent="0.25">
      <c r="A182" s="6" t="s">
        <v>118</v>
      </c>
      <c r="C182" s="6">
        <f t="shared" si="27"/>
        <v>180</v>
      </c>
      <c r="D182" s="6">
        <v>18</v>
      </c>
      <c r="E182" s="12">
        <f t="shared" si="23"/>
        <v>28.968143982404534</v>
      </c>
      <c r="F182" s="12">
        <f t="shared" si="28"/>
        <v>8.0467066617790373</v>
      </c>
      <c r="G182" s="13">
        <f t="shared" si="29"/>
        <v>1448.9436462310121</v>
      </c>
      <c r="H182" s="12">
        <f t="shared" si="30"/>
        <v>7.9349468470321058</v>
      </c>
      <c r="I182" s="12">
        <f t="shared" si="31"/>
        <v>0.22351962949386284</v>
      </c>
      <c r="J182" s="6">
        <f t="shared" si="32"/>
        <v>2</v>
      </c>
      <c r="K182" s="6">
        <v>0</v>
      </c>
      <c r="L182" s="12">
        <f>('1-Specification &amp; Data'!B$22*'1-Specification &amp; Data'!B$10*'1-Specification &amp; Data'!B$20*('1-Simulation'!F182^2-'1-Specification &amp; Data'!B$21^2))/2</f>
        <v>28.102525268609277</v>
      </c>
      <c r="M182" s="6">
        <f t="shared" si="24"/>
        <v>157.55200552277586</v>
      </c>
      <c r="N182" s="12">
        <f>'1-Specification &amp; Data'!B$24*'1-Specification &amp; Data'!B$18*8.91</f>
        <v>117.00800891999999</v>
      </c>
      <c r="O182" s="12">
        <f t="shared" si="25"/>
        <v>302.66253971138514</v>
      </c>
      <c r="P182" s="14">
        <f t="shared" si="26"/>
        <v>302.66253971138514</v>
      </c>
      <c r="Q182" s="12">
        <f>IF(J182=1,'1-Specification &amp; Data'!B$52,IF('1-Simulation'!J182=2,'1-Specification &amp; Data'!B$53,IF('1-Simulation'!J182=3,'1-Specification &amp; Data'!B$54)))</f>
        <v>704.8687664682343</v>
      </c>
      <c r="R182" s="12">
        <f>(0.5*'1-Specification &amp; Data'!B$18*'1-Simulation'!F182^2)/1000</f>
        <v>21.257600115753025</v>
      </c>
      <c r="S182" s="6">
        <f t="shared" si="22"/>
        <v>0</v>
      </c>
      <c r="T182" s="12">
        <v>0</v>
      </c>
      <c r="U182" s="14">
        <f>O182*'1-Specification &amp; Data'!B$14*0.9</f>
        <v>80.321981692636825</v>
      </c>
    </row>
    <row r="183" spans="1:21" x14ac:dyDescent="0.25">
      <c r="C183" s="6">
        <f t="shared" si="27"/>
        <v>181</v>
      </c>
      <c r="D183" s="6">
        <v>19</v>
      </c>
      <c r="E183" s="12">
        <f t="shared" si="23"/>
        <v>30.577485314760342</v>
      </c>
      <c r="F183" s="12">
        <f t="shared" si="28"/>
        <v>8.4937459207667612</v>
      </c>
      <c r="G183" s="13">
        <f t="shared" si="29"/>
        <v>1457.2138725222849</v>
      </c>
      <c r="H183" s="12">
        <f t="shared" si="30"/>
        <v>8.2702262912728983</v>
      </c>
      <c r="I183" s="12">
        <f t="shared" si="31"/>
        <v>0.44703925898772212</v>
      </c>
      <c r="J183" s="6">
        <f t="shared" si="32"/>
        <v>2</v>
      </c>
      <c r="K183" s="6">
        <v>0</v>
      </c>
      <c r="L183" s="12">
        <f>('1-Specification &amp; Data'!B$22*'1-Specification &amp; Data'!B$10*'1-Specification &amp; Data'!B$20*('1-Simulation'!F183^2-'1-Specification &amp; Data'!B$21^2))/2</f>
        <v>31.578745455024336</v>
      </c>
      <c r="M183" s="6">
        <f t="shared" si="24"/>
        <v>315.10401104554921</v>
      </c>
      <c r="N183" s="12">
        <f>'1-Specification &amp; Data'!B$24*'1-Specification &amp; Data'!B$18*8.91</f>
        <v>117.00800891999999</v>
      </c>
      <c r="O183" s="12">
        <f t="shared" si="25"/>
        <v>463.69076542057354</v>
      </c>
      <c r="P183" s="14">
        <f t="shared" si="26"/>
        <v>463.69076542057354</v>
      </c>
      <c r="Q183" s="12">
        <f>IF(J183=1,'1-Specification &amp; Data'!B$52,IF('1-Simulation'!J183=2,'1-Specification &amp; Data'!B$53,IF('1-Simulation'!J183=3,'1-Specification &amp; Data'!B$54)))</f>
        <v>704.8687664682343</v>
      </c>
      <c r="R183" s="12">
        <f>(0.5*'1-Specification &amp; Data'!B$18*'1-Simulation'!F183^2)/1000</f>
        <v>23.685165561070498</v>
      </c>
      <c r="S183" s="6">
        <f t="shared" si="22"/>
        <v>0</v>
      </c>
      <c r="T183" s="12">
        <v>0</v>
      </c>
      <c r="U183" s="14">
        <f>O183*'1-Specification &amp; Data'!B$14*0.9</f>
        <v>123.05639543853682</v>
      </c>
    </row>
    <row r="184" spans="1:21" x14ac:dyDescent="0.25">
      <c r="C184" s="6">
        <f t="shared" si="27"/>
        <v>182</v>
      </c>
      <c r="D184" s="6">
        <v>20</v>
      </c>
      <c r="E184" s="12">
        <f t="shared" si="23"/>
        <v>32.186826647116149</v>
      </c>
      <c r="F184" s="12">
        <f t="shared" si="28"/>
        <v>8.9407851797544851</v>
      </c>
      <c r="G184" s="13">
        <f t="shared" si="29"/>
        <v>1465.9311380725455</v>
      </c>
      <c r="H184" s="12">
        <f t="shared" si="30"/>
        <v>8.717265550260624</v>
      </c>
      <c r="I184" s="12">
        <f t="shared" si="31"/>
        <v>0.44703925898772567</v>
      </c>
      <c r="J184" s="6">
        <f t="shared" si="32"/>
        <v>2</v>
      </c>
      <c r="K184" s="6">
        <v>0</v>
      </c>
      <c r="L184" s="12">
        <f>('1-Specification &amp; Data'!B$22*'1-Specification &amp; Data'!B$10*'1-Specification &amp; Data'!B$20*('1-Simulation'!F184^2-'1-Specification &amp; Data'!B$21^2))/2</f>
        <v>35.24286943529966</v>
      </c>
      <c r="M184" s="6">
        <f t="shared" si="24"/>
        <v>315.10401104555172</v>
      </c>
      <c r="N184" s="12">
        <f>'1-Specification &amp; Data'!B$24*'1-Specification &amp; Data'!B$18*8.91</f>
        <v>117.00800891999999</v>
      </c>
      <c r="O184" s="12">
        <f t="shared" si="25"/>
        <v>467.35488940085139</v>
      </c>
      <c r="P184" s="14">
        <f t="shared" si="26"/>
        <v>467.35488940085139</v>
      </c>
      <c r="Q184" s="12">
        <f>IF(J184=1,'1-Specification &amp; Data'!B$52,IF('1-Simulation'!J184=2,'1-Specification &amp; Data'!B$53,IF('1-Simulation'!J184=3,'1-Specification &amp; Data'!B$54)))</f>
        <v>704.8687664682343</v>
      </c>
      <c r="R184" s="12">
        <f>(0.5*'1-Specification &amp; Data'!B$18*'1-Simulation'!F184^2)/1000</f>
        <v>26.243950760188916</v>
      </c>
      <c r="S184" s="6">
        <f t="shared" si="22"/>
        <v>0</v>
      </c>
      <c r="T184" s="12">
        <v>0</v>
      </c>
      <c r="U184" s="14">
        <f>O184*'1-Specification &amp; Data'!B$14*0.9</f>
        <v>124.02879757176443</v>
      </c>
    </row>
    <row r="185" spans="1:21" x14ac:dyDescent="0.25">
      <c r="C185" s="6">
        <f t="shared" si="27"/>
        <v>183</v>
      </c>
      <c r="D185" s="6">
        <v>20</v>
      </c>
      <c r="E185" s="12">
        <f t="shared" si="23"/>
        <v>32.186826647116149</v>
      </c>
      <c r="F185" s="12">
        <f t="shared" si="28"/>
        <v>8.9407851797544851</v>
      </c>
      <c r="G185" s="13">
        <f t="shared" si="29"/>
        <v>1474.8719232523001</v>
      </c>
      <c r="H185" s="12">
        <f t="shared" si="30"/>
        <v>8.9407851797544851</v>
      </c>
      <c r="I185" s="12">
        <f t="shared" si="31"/>
        <v>0</v>
      </c>
      <c r="J185" s="6">
        <f t="shared" si="32"/>
        <v>2</v>
      </c>
      <c r="K185" s="6">
        <v>0</v>
      </c>
      <c r="L185" s="12">
        <f>('1-Specification &amp; Data'!B$22*'1-Specification &amp; Data'!B$10*'1-Specification &amp; Data'!B$20*('1-Simulation'!F185^2-'1-Specification &amp; Data'!B$21^2))/2</f>
        <v>35.24286943529966</v>
      </c>
      <c r="M185" s="6">
        <f t="shared" si="24"/>
        <v>0</v>
      </c>
      <c r="N185" s="12">
        <f>'1-Specification &amp; Data'!B$24*'1-Specification &amp; Data'!B$18*8.91</f>
        <v>117.00800891999999</v>
      </c>
      <c r="O185" s="12">
        <f t="shared" si="25"/>
        <v>152.25087835529965</v>
      </c>
      <c r="P185" s="14">
        <f t="shared" si="26"/>
        <v>152.25087835529965</v>
      </c>
      <c r="Q185" s="12">
        <f>IF(J185=1,'1-Specification &amp; Data'!B$52,IF('1-Simulation'!J185=2,'1-Specification &amp; Data'!B$53,IF('1-Simulation'!J185=3,'1-Specification &amp; Data'!B$54)))</f>
        <v>704.8687664682343</v>
      </c>
      <c r="R185" s="12">
        <f>(0.5*'1-Specification &amp; Data'!B$18*'1-Simulation'!F185^2)/1000</f>
        <v>26.243950760188916</v>
      </c>
      <c r="S185" s="6">
        <f t="shared" si="22"/>
        <v>0</v>
      </c>
      <c r="T185" s="12">
        <v>0</v>
      </c>
      <c r="U185" s="14">
        <f>O185*'1-Specification &amp; Data'!B$14*0.9</f>
        <v>40.405040794291061</v>
      </c>
    </row>
    <row r="186" spans="1:21" x14ac:dyDescent="0.25">
      <c r="C186" s="6">
        <f t="shared" si="27"/>
        <v>184</v>
      </c>
      <c r="D186" s="6">
        <v>19</v>
      </c>
      <c r="E186" s="12">
        <f t="shared" si="23"/>
        <v>30.577485314760342</v>
      </c>
      <c r="F186" s="12">
        <f t="shared" si="28"/>
        <v>8.4937459207667612</v>
      </c>
      <c r="G186" s="13">
        <f t="shared" si="29"/>
        <v>1483.5891888025608</v>
      </c>
      <c r="H186" s="12">
        <f t="shared" si="30"/>
        <v>8.717265550260624</v>
      </c>
      <c r="I186" s="12">
        <f t="shared" si="31"/>
        <v>-0.44703925898772212</v>
      </c>
      <c r="J186" s="6">
        <f t="shared" si="32"/>
        <v>2</v>
      </c>
      <c r="K186" s="6">
        <v>0</v>
      </c>
      <c r="L186" s="12">
        <f>('1-Specification &amp; Data'!B$22*'1-Specification &amp; Data'!B$10*'1-Specification &amp; Data'!B$20*('1-Simulation'!F186^2-'1-Specification &amp; Data'!B$21^2))/2</f>
        <v>31.578745455024336</v>
      </c>
      <c r="M186" s="6">
        <f t="shared" si="24"/>
        <v>-315.10401104554921</v>
      </c>
      <c r="N186" s="12">
        <f>'1-Specification &amp; Data'!B$24*'1-Specification &amp; Data'!B$18*8.91</f>
        <v>117.00800891999999</v>
      </c>
      <c r="O186" s="12">
        <f t="shared" si="25"/>
        <v>-166.51725667052489</v>
      </c>
      <c r="P186" s="14">
        <f t="shared" si="26"/>
        <v>166.51725667052489</v>
      </c>
      <c r="Q186" s="12">
        <f>IF(J186=1,'1-Specification &amp; Data'!B$52,IF('1-Simulation'!J186=2,'1-Specification &amp; Data'!B$53,IF('1-Simulation'!J186=3,'1-Specification &amp; Data'!B$54)))</f>
        <v>704.8687664682343</v>
      </c>
      <c r="R186" s="12">
        <f>(0.5*'1-Specification &amp; Data'!B$18*'1-Simulation'!F186^2)/1000</f>
        <v>23.685165561070498</v>
      </c>
      <c r="S186" s="6">
        <f t="shared" si="22"/>
        <v>0</v>
      </c>
      <c r="T186" s="12">
        <v>0</v>
      </c>
      <c r="U186" s="14">
        <f>O186*'1-Specification &amp; Data'!B$14*0.9</f>
        <v>-44.191118116408532</v>
      </c>
    </row>
    <row r="187" spans="1:21" x14ac:dyDescent="0.25">
      <c r="C187" s="6">
        <f t="shared" si="27"/>
        <v>185</v>
      </c>
      <c r="D187" s="6">
        <v>18</v>
      </c>
      <c r="E187" s="12">
        <f t="shared" si="23"/>
        <v>28.968143982404534</v>
      </c>
      <c r="F187" s="12">
        <f t="shared" si="28"/>
        <v>8.0467066617790373</v>
      </c>
      <c r="G187" s="13">
        <f t="shared" si="29"/>
        <v>1491.8594150938336</v>
      </c>
      <c r="H187" s="12">
        <f t="shared" si="30"/>
        <v>8.2702262912728983</v>
      </c>
      <c r="I187" s="12">
        <f t="shared" si="31"/>
        <v>-0.44703925898772567</v>
      </c>
      <c r="J187" s="6">
        <f t="shared" si="32"/>
        <v>2</v>
      </c>
      <c r="K187" s="6">
        <v>0</v>
      </c>
      <c r="L187" s="12">
        <f>('1-Specification &amp; Data'!B$22*'1-Specification &amp; Data'!B$10*'1-Specification &amp; Data'!B$20*('1-Simulation'!F187^2-'1-Specification &amp; Data'!B$21^2))/2</f>
        <v>28.102525268609277</v>
      </c>
      <c r="M187" s="6">
        <f t="shared" si="24"/>
        <v>-315.10401104555172</v>
      </c>
      <c r="N187" s="12">
        <f>'1-Specification &amp; Data'!B$24*'1-Specification &amp; Data'!B$18*8.91</f>
        <v>117.00800891999999</v>
      </c>
      <c r="O187" s="12">
        <f t="shared" si="25"/>
        <v>-169.99347685694244</v>
      </c>
      <c r="P187" s="14">
        <f t="shared" si="26"/>
        <v>169.99347685694244</v>
      </c>
      <c r="Q187" s="12">
        <f>IF(J187=1,'1-Specification &amp; Data'!B$52,IF('1-Simulation'!J187=2,'1-Specification &amp; Data'!B$53,IF('1-Simulation'!J187=3,'1-Specification &amp; Data'!B$54)))</f>
        <v>704.8687664682343</v>
      </c>
      <c r="R187" s="12">
        <f>(0.5*'1-Specification &amp; Data'!B$18*'1-Simulation'!F187^2)/1000</f>
        <v>21.257600115753025</v>
      </c>
      <c r="S187" s="6">
        <f t="shared" si="22"/>
        <v>0</v>
      </c>
      <c r="T187" s="12">
        <v>0</v>
      </c>
      <c r="U187" s="14">
        <f>O187*'1-Specification &amp; Data'!B$14*0.9</f>
        <v>-45.113653473573187</v>
      </c>
    </row>
    <row r="188" spans="1:21" x14ac:dyDescent="0.25">
      <c r="C188" s="6">
        <f t="shared" si="27"/>
        <v>186</v>
      </c>
      <c r="D188" s="6">
        <v>16.8</v>
      </c>
      <c r="E188" s="12">
        <f t="shared" si="23"/>
        <v>27.036934383577567</v>
      </c>
      <c r="F188" s="12">
        <f t="shared" si="28"/>
        <v>7.5102595509937684</v>
      </c>
      <c r="G188" s="13">
        <f t="shared" si="29"/>
        <v>1499.63789820022</v>
      </c>
      <c r="H188" s="12">
        <f t="shared" si="30"/>
        <v>7.7784831063864033</v>
      </c>
      <c r="I188" s="12">
        <f t="shared" si="31"/>
        <v>-0.53644711078526797</v>
      </c>
      <c r="J188" s="6">
        <f t="shared" si="32"/>
        <v>2</v>
      </c>
      <c r="K188" s="6">
        <v>0</v>
      </c>
      <c r="L188" s="12">
        <f>('1-Specification &amp; Data'!B$22*'1-Specification &amp; Data'!B$10*'1-Specification &amp; Data'!B$20*('1-Simulation'!F188^2-'1-Specification &amp; Data'!B$21^2))/2</f>
        <v>24.179094052806775</v>
      </c>
      <c r="M188" s="6">
        <f t="shared" si="24"/>
        <v>-378.12481325466007</v>
      </c>
      <c r="N188" s="12">
        <f>'1-Specification &amp; Data'!B$24*'1-Specification &amp; Data'!B$18*8.91</f>
        <v>117.00800891999999</v>
      </c>
      <c r="O188" s="12">
        <f t="shared" si="25"/>
        <v>-236.9377102818533</v>
      </c>
      <c r="P188" s="14">
        <f t="shared" si="26"/>
        <v>236.9377102818533</v>
      </c>
      <c r="Q188" s="12">
        <f>IF(J188=1,'1-Specification &amp; Data'!B$52,IF('1-Simulation'!J188=2,'1-Specification &amp; Data'!B$53,IF('1-Simulation'!J188=3,'1-Specification &amp; Data'!B$54)))</f>
        <v>704.8687664682343</v>
      </c>
      <c r="R188" s="12">
        <f>(0.5*'1-Specification &amp; Data'!B$18*'1-Simulation'!F188^2)/1000</f>
        <v>18.517731656389305</v>
      </c>
      <c r="S188" s="6">
        <f t="shared" si="22"/>
        <v>0</v>
      </c>
      <c r="T188" s="12">
        <v>0</v>
      </c>
      <c r="U188" s="14">
        <f>O188*'1-Specification &amp; Data'!B$14*0.9</f>
        <v>-62.879623113261076</v>
      </c>
    </row>
    <row r="189" spans="1:21" x14ac:dyDescent="0.25">
      <c r="C189" s="6">
        <f t="shared" si="27"/>
        <v>187</v>
      </c>
      <c r="D189" s="6">
        <v>15.6</v>
      </c>
      <c r="E189" s="12">
        <f t="shared" si="23"/>
        <v>25.105724784750596</v>
      </c>
      <c r="F189" s="12">
        <f t="shared" si="28"/>
        <v>6.9738124402084987</v>
      </c>
      <c r="G189" s="13">
        <f t="shared" si="29"/>
        <v>1506.8799341958211</v>
      </c>
      <c r="H189" s="12">
        <f t="shared" si="30"/>
        <v>7.2420359956011335</v>
      </c>
      <c r="I189" s="12">
        <f t="shared" si="31"/>
        <v>-0.53644711078526974</v>
      </c>
      <c r="J189" s="6">
        <f t="shared" si="32"/>
        <v>2</v>
      </c>
      <c r="K189" s="6">
        <v>0</v>
      </c>
      <c r="L189" s="12">
        <f>('1-Specification &amp; Data'!B$22*'1-Specification &amp; Data'!B$10*'1-Specification &amp; Data'!B$20*('1-Simulation'!F189^2-'1-Specification &amp; Data'!B$21^2))/2</f>
        <v>20.526244300163057</v>
      </c>
      <c r="M189" s="6">
        <f t="shared" si="24"/>
        <v>-378.12481325466132</v>
      </c>
      <c r="N189" s="12">
        <f>'1-Specification &amp; Data'!B$24*'1-Specification &amp; Data'!B$18*8.91</f>
        <v>117.00800891999999</v>
      </c>
      <c r="O189" s="12">
        <f t="shared" si="25"/>
        <v>-240.59056003449825</v>
      </c>
      <c r="P189" s="14">
        <f t="shared" si="26"/>
        <v>240.59056003449825</v>
      </c>
      <c r="Q189" s="12">
        <f>IF(J189=1,'1-Specification &amp; Data'!B$52,IF('1-Simulation'!J189=2,'1-Specification &amp; Data'!B$53,IF('1-Simulation'!J189=3,'1-Specification &amp; Data'!B$54)))</f>
        <v>704.8687664682343</v>
      </c>
      <c r="R189" s="12">
        <f>(0.5*'1-Specification &amp; Data'!B$18*'1-Simulation'!F189^2)/1000</f>
        <v>15.966819642498939</v>
      </c>
      <c r="S189" s="6">
        <f t="shared" si="22"/>
        <v>0</v>
      </c>
      <c r="T189" s="12">
        <v>0</v>
      </c>
      <c r="U189" s="14">
        <f>O189*'1-Specification &amp; Data'!B$14*0.9</f>
        <v>-63.849033239924537</v>
      </c>
    </row>
    <row r="190" spans="1:21" x14ac:dyDescent="0.25">
      <c r="C190" s="6">
        <f t="shared" si="27"/>
        <v>188</v>
      </c>
      <c r="D190" s="6">
        <v>13.8</v>
      </c>
      <c r="E190" s="12">
        <f t="shared" si="23"/>
        <v>22.208910386510141</v>
      </c>
      <c r="F190" s="12">
        <f t="shared" si="28"/>
        <v>6.1691417740305949</v>
      </c>
      <c r="G190" s="13">
        <f t="shared" si="29"/>
        <v>1513.4514113029406</v>
      </c>
      <c r="H190" s="12">
        <f t="shared" si="30"/>
        <v>6.5714771071195468</v>
      </c>
      <c r="I190" s="12">
        <f t="shared" si="31"/>
        <v>-0.80467066617790373</v>
      </c>
      <c r="J190" s="6">
        <f t="shared" si="32"/>
        <v>2</v>
      </c>
      <c r="K190" s="6">
        <v>0</v>
      </c>
      <c r="L190" s="12">
        <f>('1-Specification &amp; Data'!B$22*'1-Specification &amp; Data'!B$10*'1-Specification &amp; Data'!B$20*('1-Simulation'!F190^2-'1-Specification &amp; Data'!B$21^2))/2</f>
        <v>15.554309914620223</v>
      </c>
      <c r="M190" s="6">
        <f t="shared" si="24"/>
        <v>-567.18721988199138</v>
      </c>
      <c r="N190" s="12">
        <f>'1-Specification &amp; Data'!B$24*'1-Specification &amp; Data'!B$18*8.91</f>
        <v>117.00800891999999</v>
      </c>
      <c r="O190" s="12">
        <f t="shared" si="25"/>
        <v>-434.62490104737111</v>
      </c>
      <c r="P190" s="14">
        <f t="shared" si="26"/>
        <v>434.62490104737111</v>
      </c>
      <c r="Q190" s="12">
        <f>IF(J190=1,'1-Specification &amp; Data'!B$52,IF('1-Simulation'!J190=2,'1-Specification &amp; Data'!B$53,IF('1-Simulation'!J190=3,'1-Specification &amp; Data'!B$54)))</f>
        <v>704.8687664682343</v>
      </c>
      <c r="R190" s="12">
        <f>(0.5*'1-Specification &amp; Data'!B$18*'1-Simulation'!F190^2)/1000</f>
        <v>12.494744956925944</v>
      </c>
      <c r="S190" s="6">
        <f t="shared" si="22"/>
        <v>0</v>
      </c>
      <c r="T190" s="12">
        <v>0</v>
      </c>
      <c r="U190" s="14">
        <f>O190*'1-Specification &amp; Data'!B$14*0.9</f>
        <v>-115.34276220103311</v>
      </c>
    </row>
    <row r="191" spans="1:21" x14ac:dyDescent="0.25">
      <c r="C191" s="6">
        <f t="shared" si="27"/>
        <v>189</v>
      </c>
      <c r="D191" s="6">
        <v>12.4</v>
      </c>
      <c r="E191" s="12">
        <f t="shared" si="23"/>
        <v>19.955832521212013</v>
      </c>
      <c r="F191" s="12">
        <f t="shared" si="28"/>
        <v>5.5432868114477811</v>
      </c>
      <c r="G191" s="13">
        <f t="shared" si="29"/>
        <v>1519.3076255956798</v>
      </c>
      <c r="H191" s="12">
        <f t="shared" si="30"/>
        <v>5.856214292739188</v>
      </c>
      <c r="I191" s="12">
        <f t="shared" si="31"/>
        <v>-0.62585496258281381</v>
      </c>
      <c r="J191" s="6">
        <f t="shared" si="32"/>
        <v>2</v>
      </c>
      <c r="K191" s="6">
        <v>0</v>
      </c>
      <c r="L191" s="12">
        <f>('1-Specification &amp; Data'!B$22*'1-Specification &amp; Data'!B$10*'1-Specification &amp; Data'!B$20*('1-Simulation'!F191^2-'1-Specification &amp; Data'!B$21^2))/2</f>
        <v>12.108154335222814</v>
      </c>
      <c r="M191" s="6">
        <f t="shared" si="24"/>
        <v>-441.14561546377092</v>
      </c>
      <c r="N191" s="12">
        <f>'1-Specification &amp; Data'!B$24*'1-Specification &amp; Data'!B$18*8.91</f>
        <v>117.00800891999999</v>
      </c>
      <c r="O191" s="12">
        <f t="shared" si="25"/>
        <v>-312.02945220854809</v>
      </c>
      <c r="P191" s="14">
        <f t="shared" si="26"/>
        <v>312.02945220854809</v>
      </c>
      <c r="Q191" s="12">
        <f>IF(J191=1,'1-Specification &amp; Data'!B$52,IF('1-Simulation'!J191=2,'1-Specification &amp; Data'!B$53,IF('1-Simulation'!J191=3,'1-Specification &amp; Data'!B$54)))</f>
        <v>704.8687664682343</v>
      </c>
      <c r="R191" s="12">
        <f>(0.5*'1-Specification &amp; Data'!B$18*'1-Simulation'!F191^2)/1000</f>
        <v>10.088174672216621</v>
      </c>
      <c r="S191" s="6">
        <f t="shared" si="22"/>
        <v>0</v>
      </c>
      <c r="T191" s="12">
        <v>0</v>
      </c>
      <c r="U191" s="14">
        <f>O191*'1-Specification &amp; Data'!B$14*0.9</f>
        <v>-82.807816163037756</v>
      </c>
    </row>
    <row r="192" spans="1:21" x14ac:dyDescent="0.25">
      <c r="C192" s="6">
        <f t="shared" si="27"/>
        <v>190</v>
      </c>
      <c r="D192" s="6">
        <v>11</v>
      </c>
      <c r="E192" s="12">
        <f t="shared" si="23"/>
        <v>17.702754655913882</v>
      </c>
      <c r="F192" s="12">
        <f t="shared" si="28"/>
        <v>4.9174318488649673</v>
      </c>
      <c r="G192" s="13">
        <f t="shared" si="29"/>
        <v>1524.5379849258361</v>
      </c>
      <c r="H192" s="12">
        <f t="shared" si="30"/>
        <v>5.2303593301563742</v>
      </c>
      <c r="I192" s="12">
        <f t="shared" si="31"/>
        <v>-0.62585496258281381</v>
      </c>
      <c r="J192" s="6">
        <f t="shared" si="32"/>
        <v>2</v>
      </c>
      <c r="K192" s="6">
        <v>0</v>
      </c>
      <c r="L192" s="12">
        <f>('1-Specification &amp; Data'!B$22*'1-Specification &amp; Data'!B$10*'1-Specification &amp; Data'!B$20*('1-Simulation'!F192^2-'1-Specification &amp; Data'!B$21^2))/2</f>
        <v>9.0302901917915381</v>
      </c>
      <c r="M192" s="6">
        <f t="shared" si="24"/>
        <v>-441.14561546377092</v>
      </c>
      <c r="N192" s="12">
        <f>'1-Specification &amp; Data'!B$24*'1-Specification &amp; Data'!B$18*8.91</f>
        <v>117.00800891999999</v>
      </c>
      <c r="O192" s="12">
        <f t="shared" si="25"/>
        <v>-315.10731635197936</v>
      </c>
      <c r="P192" s="14">
        <f t="shared" si="26"/>
        <v>315.10731635197936</v>
      </c>
      <c r="Q192" s="12">
        <f>IF(J192=1,'1-Specification &amp; Data'!B$52,IF('1-Simulation'!J192=2,'1-Specification &amp; Data'!B$53,IF('1-Simulation'!J192=3,'1-Specification &amp; Data'!B$54)))</f>
        <v>704.8687664682343</v>
      </c>
      <c r="R192" s="12">
        <f>(0.5*'1-Specification &amp; Data'!B$18*'1-Simulation'!F192^2)/1000</f>
        <v>7.9387951049571495</v>
      </c>
      <c r="S192" s="6">
        <f t="shared" si="22"/>
        <v>0</v>
      </c>
      <c r="T192" s="12">
        <v>0</v>
      </c>
      <c r="U192" s="14">
        <f>O192*'1-Specification &amp; Data'!B$14*0.9</f>
        <v>-83.624633954948379</v>
      </c>
    </row>
    <row r="193" spans="2:21" x14ac:dyDescent="0.25">
      <c r="C193" s="6">
        <f t="shared" si="27"/>
        <v>191</v>
      </c>
      <c r="D193" s="6">
        <v>10</v>
      </c>
      <c r="E193" s="12">
        <f t="shared" si="23"/>
        <v>16.093413323558075</v>
      </c>
      <c r="F193" s="12">
        <f t="shared" si="28"/>
        <v>4.4703925898772425</v>
      </c>
      <c r="G193" s="13">
        <f t="shared" si="29"/>
        <v>1529.2318971452073</v>
      </c>
      <c r="H193" s="12">
        <f t="shared" si="30"/>
        <v>4.6939122193711054</v>
      </c>
      <c r="I193" s="12">
        <f t="shared" si="31"/>
        <v>-0.4470392589877239</v>
      </c>
      <c r="J193" s="6">
        <f t="shared" si="32"/>
        <v>1</v>
      </c>
      <c r="K193" s="6">
        <v>0</v>
      </c>
      <c r="L193" s="12">
        <f>('1-Specification &amp; Data'!B$22*'1-Specification &amp; Data'!B$10*'1-Specification &amp; Data'!B$20*('1-Simulation'!F193^2-'1-Specification &amp; Data'!B$21^2))/2</f>
        <v>7.0573003562586658</v>
      </c>
      <c r="M193" s="6">
        <f t="shared" si="24"/>
        <v>-318.7676965671069</v>
      </c>
      <c r="N193" s="12">
        <f>'1-Specification &amp; Data'!B$24*'1-Specification &amp; Data'!B$18*8.91</f>
        <v>117.00800891999999</v>
      </c>
      <c r="O193" s="12">
        <f t="shared" si="25"/>
        <v>-194.70238729084821</v>
      </c>
      <c r="P193" s="14">
        <f t="shared" si="26"/>
        <v>194.70238729084821</v>
      </c>
      <c r="Q193" s="12">
        <f>IF(J193=1,'1-Specification &amp; Data'!B$52,IF('1-Simulation'!J193=2,'1-Specification &amp; Data'!B$53,IF('1-Simulation'!J193=3,'1-Specification &amp; Data'!B$54)))</f>
        <v>713.06421115882472</v>
      </c>
      <c r="R193" s="12">
        <f>(0.5*'1-Specification &amp; Data'!B$18*'1-Simulation'!F193^2)/1000</f>
        <v>6.560987690047229</v>
      </c>
      <c r="S193" s="6">
        <f t="shared" si="22"/>
        <v>0</v>
      </c>
      <c r="T193" s="12">
        <v>0</v>
      </c>
      <c r="U193" s="14">
        <f>O193*'1-Specification &amp; Data'!B$14*0.9</f>
        <v>-51.671018165648178</v>
      </c>
    </row>
    <row r="194" spans="2:21" x14ac:dyDescent="0.25">
      <c r="C194" s="6">
        <f t="shared" si="27"/>
        <v>192</v>
      </c>
      <c r="D194" s="6">
        <v>9.8000000000000007</v>
      </c>
      <c r="E194" s="12">
        <f t="shared" si="23"/>
        <v>15.771545057086914</v>
      </c>
      <c r="F194" s="12">
        <f t="shared" si="28"/>
        <v>4.3809847380796985</v>
      </c>
      <c r="G194" s="13">
        <f t="shared" si="29"/>
        <v>1533.6575858091858</v>
      </c>
      <c r="H194" s="12">
        <f t="shared" si="30"/>
        <v>4.4256886639784705</v>
      </c>
      <c r="I194" s="12">
        <f t="shared" si="31"/>
        <v>-8.9407851797544069E-2</v>
      </c>
      <c r="J194" s="6">
        <f t="shared" si="32"/>
        <v>1</v>
      </c>
      <c r="K194" s="6">
        <v>0</v>
      </c>
      <c r="L194" s="12">
        <f>('1-Specification &amp; Data'!B$22*'1-Specification &amp; Data'!B$10*'1-Specification &amp; Data'!B$20*('1-Simulation'!F194^2-'1-Specification &amp; Data'!B$21^2))/2</f>
        <v>6.6852508444153269</v>
      </c>
      <c r="M194" s="6">
        <f t="shared" si="24"/>
        <v>-63.753539313420873</v>
      </c>
      <c r="N194" s="12">
        <f>'1-Specification &amp; Data'!B$24*'1-Specification &amp; Data'!B$18*8.91</f>
        <v>117.00800891999999</v>
      </c>
      <c r="O194" s="12">
        <f t="shared" si="25"/>
        <v>59.93972045099445</v>
      </c>
      <c r="P194" s="14">
        <f t="shared" si="26"/>
        <v>59.93972045099445</v>
      </c>
      <c r="Q194" s="12">
        <f>IF(J194=1,'1-Specification &amp; Data'!B$52,IF('1-Simulation'!J194=2,'1-Specification &amp; Data'!B$53,IF('1-Simulation'!J194=3,'1-Specification &amp; Data'!B$54)))</f>
        <v>713.06421115882472</v>
      </c>
      <c r="R194" s="12">
        <f>(0.5*'1-Specification &amp; Data'!B$18*'1-Simulation'!F194^2)/1000</f>
        <v>6.3011725775213607</v>
      </c>
      <c r="S194" s="6">
        <f t="shared" ref="S194:S257" si="33">(Q194*9.81*T194)/1000</f>
        <v>0</v>
      </c>
      <c r="T194" s="12">
        <v>0</v>
      </c>
      <c r="U194" s="14">
        <f>O194*'1-Specification &amp; Data'!B$14*0.9</f>
        <v>15.907079658148527</v>
      </c>
    </row>
    <row r="195" spans="2:21" x14ac:dyDescent="0.25">
      <c r="C195" s="6">
        <f t="shared" si="27"/>
        <v>193</v>
      </c>
      <c r="D195" s="6">
        <v>8.5</v>
      </c>
      <c r="E195" s="12">
        <f t="shared" ref="E195:E258" si="34">F195*3.6</f>
        <v>13.679401325024363</v>
      </c>
      <c r="F195" s="12">
        <f t="shared" si="28"/>
        <v>3.7998337013956562</v>
      </c>
      <c r="G195" s="13">
        <f t="shared" si="29"/>
        <v>1537.7479950289235</v>
      </c>
      <c r="H195" s="12">
        <f t="shared" si="30"/>
        <v>4.0904092197376771</v>
      </c>
      <c r="I195" s="12">
        <f t="shared" si="31"/>
        <v>-0.58115103668404267</v>
      </c>
      <c r="J195" s="6">
        <f t="shared" si="32"/>
        <v>1</v>
      </c>
      <c r="K195" s="6">
        <v>0</v>
      </c>
      <c r="L195" s="12">
        <f>('1-Specification &amp; Data'!B$22*'1-Specification &amp; Data'!B$10*'1-Specification &amp; Data'!B$20*('1-Simulation'!F195^2-'1-Specification &amp; Data'!B$21^2))/2</f>
        <v>4.4501352164473733</v>
      </c>
      <c r="M195" s="6">
        <f t="shared" ref="M195:M258" si="35">Q195*I195</f>
        <v>-414.39800553724007</v>
      </c>
      <c r="N195" s="12">
        <f>'1-Specification &amp; Data'!B$24*'1-Specification &amp; Data'!B$18*8.91</f>
        <v>117.00800891999999</v>
      </c>
      <c r="O195" s="12">
        <f t="shared" ref="O195:O258" si="36">K195+L195+M195+N195</f>
        <v>-292.93986140079267</v>
      </c>
      <c r="P195" s="14">
        <f t="shared" ref="P195:P258" si="37">IF(O195&gt;=0,O195,IF(O195&lt;0,-O195))</f>
        <v>292.93986140079267</v>
      </c>
      <c r="Q195" s="12">
        <f>IF(J195=1,'1-Specification &amp; Data'!B$52,IF('1-Simulation'!J195=2,'1-Specification &amp; Data'!B$53,IF('1-Simulation'!J195=3,'1-Specification &amp; Data'!B$54)))</f>
        <v>713.06421115882472</v>
      </c>
      <c r="R195" s="12">
        <f>(0.5*'1-Specification &amp; Data'!B$18*'1-Simulation'!F195^2)/1000</f>
        <v>4.7403136060591233</v>
      </c>
      <c r="S195" s="6">
        <f t="shared" si="33"/>
        <v>0</v>
      </c>
      <c r="T195" s="12">
        <v>0</v>
      </c>
      <c r="U195" s="14">
        <f>O195*'1-Specification &amp; Data'!B$14*0.9</f>
        <v>-77.741732448671897</v>
      </c>
    </row>
    <row r="196" spans="2:21" x14ac:dyDescent="0.25">
      <c r="B196" s="17" t="s">
        <v>119</v>
      </c>
      <c r="C196" s="6">
        <f t="shared" ref="C196:C259" si="38">C195+1</f>
        <v>194</v>
      </c>
      <c r="D196" s="6">
        <v>8.5</v>
      </c>
      <c r="E196" s="12">
        <f t="shared" si="34"/>
        <v>13.679401325024363</v>
      </c>
      <c r="F196" s="12">
        <f t="shared" ref="F196:F259" si="39">D196/2.23694</f>
        <v>3.7998337013956562</v>
      </c>
      <c r="G196" s="13">
        <f t="shared" ref="G196:G259" si="40">G195+((F196+F195)/2)</f>
        <v>1541.5478287303192</v>
      </c>
      <c r="H196" s="12">
        <f t="shared" ref="H196:H259" si="41">(F196+F195)/2</f>
        <v>3.7998337013956562</v>
      </c>
      <c r="I196" s="12">
        <f t="shared" ref="I196:I259" si="42">(H196-F195)*2</f>
        <v>0</v>
      </c>
      <c r="J196" s="6">
        <f t="shared" ref="J196:J259" si="43">IF(D196&lt;=10,1,IF(AND(D196&gt;10,D196&lt;=20),2,IF(D196&gt;20,3)))</f>
        <v>1</v>
      </c>
      <c r="K196" s="6">
        <v>0</v>
      </c>
      <c r="L196" s="12">
        <f>('1-Specification &amp; Data'!B$22*'1-Specification &amp; Data'!B$10*'1-Specification &amp; Data'!B$20*('1-Simulation'!F196^2-'1-Specification &amp; Data'!B$21^2))/2</f>
        <v>4.4501352164473733</v>
      </c>
      <c r="M196" s="6">
        <f t="shared" si="35"/>
        <v>0</v>
      </c>
      <c r="N196" s="12">
        <f>'1-Specification &amp; Data'!B$24*'1-Specification &amp; Data'!B$18*8.91</f>
        <v>117.00800891999999</v>
      </c>
      <c r="O196" s="12">
        <f t="shared" si="36"/>
        <v>121.45814413644737</v>
      </c>
      <c r="P196" s="14">
        <f t="shared" si="37"/>
        <v>121.45814413644737</v>
      </c>
      <c r="Q196" s="12">
        <f>IF(J196=1,'1-Specification &amp; Data'!B$52,IF('1-Simulation'!J196=2,'1-Specification &amp; Data'!B$53,IF('1-Simulation'!J196=3,'1-Specification &amp; Data'!B$54)))</f>
        <v>713.06421115882472</v>
      </c>
      <c r="R196" s="12">
        <f>(0.5*'1-Specification &amp; Data'!B$18*'1-Simulation'!F196^2)/1000</f>
        <v>4.7403136060591233</v>
      </c>
      <c r="S196" s="6">
        <f t="shared" si="33"/>
        <v>0</v>
      </c>
      <c r="T196" s="12">
        <v>0</v>
      </c>
      <c r="U196" s="14">
        <f>O196*'1-Specification &amp; Data'!B$14*0.9</f>
        <v>32.233122866980267</v>
      </c>
    </row>
    <row r="197" spans="2:21" x14ac:dyDescent="0.25">
      <c r="C197" s="6">
        <f t="shared" si="38"/>
        <v>195</v>
      </c>
      <c r="D197" s="6">
        <v>8.5</v>
      </c>
      <c r="E197" s="12">
        <f t="shared" si="34"/>
        <v>13.679401325024363</v>
      </c>
      <c r="F197" s="12">
        <f t="shared" si="39"/>
        <v>3.7998337013956562</v>
      </c>
      <c r="G197" s="13">
        <f t="shared" si="40"/>
        <v>1545.347662431715</v>
      </c>
      <c r="H197" s="12">
        <f t="shared" si="41"/>
        <v>3.7998337013956562</v>
      </c>
      <c r="I197" s="12">
        <f t="shared" si="42"/>
        <v>0</v>
      </c>
      <c r="J197" s="6">
        <f t="shared" si="43"/>
        <v>1</v>
      </c>
      <c r="K197" s="6">
        <v>0</v>
      </c>
      <c r="L197" s="12">
        <f>('1-Specification &amp; Data'!B$22*'1-Specification &amp; Data'!B$10*'1-Specification &amp; Data'!B$20*('1-Simulation'!F197^2-'1-Specification &amp; Data'!B$21^2))/2</f>
        <v>4.4501352164473733</v>
      </c>
      <c r="M197" s="6">
        <f t="shared" si="35"/>
        <v>0</v>
      </c>
      <c r="N197" s="12">
        <f>'1-Specification &amp; Data'!B$24*'1-Specification &amp; Data'!B$18*8.91</f>
        <v>117.00800891999999</v>
      </c>
      <c r="O197" s="12">
        <f t="shared" si="36"/>
        <v>121.45814413644737</v>
      </c>
      <c r="P197" s="14">
        <f t="shared" si="37"/>
        <v>121.45814413644737</v>
      </c>
      <c r="Q197" s="12">
        <f>IF(J197=1,'1-Specification &amp; Data'!B$52,IF('1-Simulation'!J197=2,'1-Specification &amp; Data'!B$53,IF('1-Simulation'!J197=3,'1-Specification &amp; Data'!B$54)))</f>
        <v>713.06421115882472</v>
      </c>
      <c r="R197" s="12">
        <f>(0.5*'1-Specification &amp; Data'!B$18*'1-Simulation'!F197^2)/1000</f>
        <v>4.7403136060591233</v>
      </c>
      <c r="S197" s="6">
        <f t="shared" si="33"/>
        <v>0</v>
      </c>
      <c r="T197" s="12">
        <v>0</v>
      </c>
      <c r="U197" s="14">
        <f>O197*'1-Specification &amp; Data'!B$14*0.9</f>
        <v>32.233122866980267</v>
      </c>
    </row>
    <row r="198" spans="2:21" x14ac:dyDescent="0.25">
      <c r="C198" s="6">
        <f t="shared" si="38"/>
        <v>196</v>
      </c>
      <c r="D198" s="6">
        <v>8.5</v>
      </c>
      <c r="E198" s="12">
        <f t="shared" si="34"/>
        <v>13.679401325024363</v>
      </c>
      <c r="F198" s="12">
        <f t="shared" si="39"/>
        <v>3.7998337013956562</v>
      </c>
      <c r="G198" s="13">
        <f t="shared" si="40"/>
        <v>1549.1474961331107</v>
      </c>
      <c r="H198" s="12">
        <f t="shared" si="41"/>
        <v>3.7998337013956562</v>
      </c>
      <c r="I198" s="12">
        <f t="shared" si="42"/>
        <v>0</v>
      </c>
      <c r="J198" s="6">
        <f t="shared" si="43"/>
        <v>1</v>
      </c>
      <c r="K198" s="6">
        <v>0</v>
      </c>
      <c r="L198" s="12">
        <f>('1-Specification &amp; Data'!B$22*'1-Specification &amp; Data'!B$10*'1-Specification &amp; Data'!B$20*('1-Simulation'!F198^2-'1-Specification &amp; Data'!B$21^2))/2</f>
        <v>4.4501352164473733</v>
      </c>
      <c r="M198" s="6">
        <f t="shared" si="35"/>
        <v>0</v>
      </c>
      <c r="N198" s="12">
        <f>'1-Specification &amp; Data'!B$24*'1-Specification &amp; Data'!B$18*8.91</f>
        <v>117.00800891999999</v>
      </c>
      <c r="O198" s="12">
        <f t="shared" si="36"/>
        <v>121.45814413644737</v>
      </c>
      <c r="P198" s="14">
        <f t="shared" si="37"/>
        <v>121.45814413644737</v>
      </c>
      <c r="Q198" s="12">
        <f>IF(J198=1,'1-Specification &amp; Data'!B$52,IF('1-Simulation'!J198=2,'1-Specification &amp; Data'!B$53,IF('1-Simulation'!J198=3,'1-Specification &amp; Data'!B$54)))</f>
        <v>713.06421115882472</v>
      </c>
      <c r="R198" s="12">
        <f>(0.5*'1-Specification &amp; Data'!B$18*'1-Simulation'!F198^2)/1000</f>
        <v>4.7403136060591233</v>
      </c>
      <c r="S198" s="6">
        <f t="shared" si="33"/>
        <v>0</v>
      </c>
      <c r="T198" s="12">
        <v>0</v>
      </c>
      <c r="U198" s="14">
        <f>O198*'1-Specification &amp; Data'!B$14*0.9</f>
        <v>32.233122866980267</v>
      </c>
    </row>
    <row r="199" spans="2:21" x14ac:dyDescent="0.25">
      <c r="C199" s="6">
        <f t="shared" si="38"/>
        <v>197</v>
      </c>
      <c r="D199" s="6">
        <v>8.5</v>
      </c>
      <c r="E199" s="12">
        <f t="shared" si="34"/>
        <v>13.679401325024363</v>
      </c>
      <c r="F199" s="12">
        <f t="shared" si="39"/>
        <v>3.7998337013956562</v>
      </c>
      <c r="G199" s="13">
        <f t="shared" si="40"/>
        <v>1552.9473298345065</v>
      </c>
      <c r="H199" s="12">
        <f t="shared" si="41"/>
        <v>3.7998337013956562</v>
      </c>
      <c r="I199" s="12">
        <f t="shared" si="42"/>
        <v>0</v>
      </c>
      <c r="J199" s="6">
        <f t="shared" si="43"/>
        <v>1</v>
      </c>
      <c r="K199" s="6">
        <v>0</v>
      </c>
      <c r="L199" s="12">
        <f>('1-Specification &amp; Data'!B$22*'1-Specification &amp; Data'!B$10*'1-Specification &amp; Data'!B$20*('1-Simulation'!F199^2-'1-Specification &amp; Data'!B$21^2))/2</f>
        <v>4.4501352164473733</v>
      </c>
      <c r="M199" s="6">
        <f t="shared" si="35"/>
        <v>0</v>
      </c>
      <c r="N199" s="12">
        <f>'1-Specification &amp; Data'!B$24*'1-Specification &amp; Data'!B$18*8.91</f>
        <v>117.00800891999999</v>
      </c>
      <c r="O199" s="12">
        <f t="shared" si="36"/>
        <v>121.45814413644737</v>
      </c>
      <c r="P199" s="14">
        <f t="shared" si="37"/>
        <v>121.45814413644737</v>
      </c>
      <c r="Q199" s="12">
        <f>IF(J199=1,'1-Specification &amp; Data'!B$52,IF('1-Simulation'!J199=2,'1-Specification &amp; Data'!B$53,IF('1-Simulation'!J199=3,'1-Specification &amp; Data'!B$54)))</f>
        <v>713.06421115882472</v>
      </c>
      <c r="R199" s="12">
        <f>(0.5*'1-Specification &amp; Data'!B$18*'1-Simulation'!F199^2)/1000</f>
        <v>4.7403136060591233</v>
      </c>
      <c r="S199" s="6">
        <f t="shared" si="33"/>
        <v>0</v>
      </c>
      <c r="T199" s="12">
        <v>0</v>
      </c>
      <c r="U199" s="14">
        <f>O199*'1-Specification &amp; Data'!B$14*0.9</f>
        <v>32.233122866980267</v>
      </c>
    </row>
    <row r="200" spans="2:21" x14ac:dyDescent="0.25">
      <c r="C200" s="6">
        <f t="shared" si="38"/>
        <v>198</v>
      </c>
      <c r="D200" s="6">
        <v>8.5</v>
      </c>
      <c r="E200" s="12">
        <f t="shared" si="34"/>
        <v>13.679401325024363</v>
      </c>
      <c r="F200" s="12">
        <f t="shared" si="39"/>
        <v>3.7998337013956562</v>
      </c>
      <c r="G200" s="13">
        <f t="shared" si="40"/>
        <v>1556.7471635359022</v>
      </c>
      <c r="H200" s="12">
        <f t="shared" si="41"/>
        <v>3.7998337013956562</v>
      </c>
      <c r="I200" s="12">
        <f t="shared" si="42"/>
        <v>0</v>
      </c>
      <c r="J200" s="6">
        <f t="shared" si="43"/>
        <v>1</v>
      </c>
      <c r="K200" s="6">
        <v>0</v>
      </c>
      <c r="L200" s="12">
        <f>('1-Specification &amp; Data'!B$22*'1-Specification &amp; Data'!B$10*'1-Specification &amp; Data'!B$20*('1-Simulation'!F200^2-'1-Specification &amp; Data'!B$21^2))/2</f>
        <v>4.4501352164473733</v>
      </c>
      <c r="M200" s="6">
        <f t="shared" si="35"/>
        <v>0</v>
      </c>
      <c r="N200" s="12">
        <f>'1-Specification &amp; Data'!B$24*'1-Specification &amp; Data'!B$18*8.91</f>
        <v>117.00800891999999</v>
      </c>
      <c r="O200" s="12">
        <f t="shared" si="36"/>
        <v>121.45814413644737</v>
      </c>
      <c r="P200" s="14">
        <f t="shared" si="37"/>
        <v>121.45814413644737</v>
      </c>
      <c r="Q200" s="12">
        <f>IF(J200=1,'1-Specification &amp; Data'!B$52,IF('1-Simulation'!J200=2,'1-Specification &amp; Data'!B$53,IF('1-Simulation'!J200=3,'1-Specification &amp; Data'!B$54)))</f>
        <v>713.06421115882472</v>
      </c>
      <c r="R200" s="12">
        <f>(0.5*'1-Specification &amp; Data'!B$18*'1-Simulation'!F200^2)/1000</f>
        <v>4.7403136060591233</v>
      </c>
      <c r="S200" s="6">
        <f t="shared" si="33"/>
        <v>0</v>
      </c>
      <c r="T200" s="12">
        <v>0</v>
      </c>
      <c r="U200" s="14">
        <f>O200*'1-Specification &amp; Data'!B$14*0.9</f>
        <v>32.233122866980267</v>
      </c>
    </row>
    <row r="201" spans="2:21" x14ac:dyDescent="0.25">
      <c r="C201" s="6">
        <f t="shared" si="38"/>
        <v>199</v>
      </c>
      <c r="D201" s="6">
        <v>8.5</v>
      </c>
      <c r="E201" s="12">
        <f t="shared" si="34"/>
        <v>13.679401325024363</v>
      </c>
      <c r="F201" s="12">
        <f t="shared" si="39"/>
        <v>3.7998337013956562</v>
      </c>
      <c r="G201" s="13">
        <f t="shared" si="40"/>
        <v>1560.546997237298</v>
      </c>
      <c r="H201" s="12">
        <f t="shared" si="41"/>
        <v>3.7998337013956562</v>
      </c>
      <c r="I201" s="12">
        <f t="shared" si="42"/>
        <v>0</v>
      </c>
      <c r="J201" s="6">
        <f t="shared" si="43"/>
        <v>1</v>
      </c>
      <c r="K201" s="6">
        <v>0</v>
      </c>
      <c r="L201" s="12">
        <f>('1-Specification &amp; Data'!B$22*'1-Specification &amp; Data'!B$10*'1-Specification &amp; Data'!B$20*('1-Simulation'!F201^2-'1-Specification &amp; Data'!B$21^2))/2</f>
        <v>4.4501352164473733</v>
      </c>
      <c r="M201" s="6">
        <f t="shared" si="35"/>
        <v>0</v>
      </c>
      <c r="N201" s="12">
        <f>'1-Specification &amp; Data'!B$24*'1-Specification &amp; Data'!B$18*8.91</f>
        <v>117.00800891999999</v>
      </c>
      <c r="O201" s="12">
        <f t="shared" si="36"/>
        <v>121.45814413644737</v>
      </c>
      <c r="P201" s="14">
        <f t="shared" si="37"/>
        <v>121.45814413644737</v>
      </c>
      <c r="Q201" s="12">
        <f>IF(J201=1,'1-Specification &amp; Data'!B$52,IF('1-Simulation'!J201=2,'1-Specification &amp; Data'!B$53,IF('1-Simulation'!J201=3,'1-Specification &amp; Data'!B$54)))</f>
        <v>713.06421115882472</v>
      </c>
      <c r="R201" s="12">
        <f>(0.5*'1-Specification &amp; Data'!B$18*'1-Simulation'!F201^2)/1000</f>
        <v>4.7403136060591233</v>
      </c>
      <c r="S201" s="6">
        <f t="shared" si="33"/>
        <v>0</v>
      </c>
      <c r="T201" s="12">
        <v>0</v>
      </c>
      <c r="U201" s="14">
        <f>O201*'1-Specification &amp; Data'!B$14*0.9</f>
        <v>32.233122866980267</v>
      </c>
    </row>
    <row r="202" spans="2:21" x14ac:dyDescent="0.25">
      <c r="C202" s="6">
        <f t="shared" si="38"/>
        <v>200</v>
      </c>
      <c r="D202" s="6">
        <v>8.5</v>
      </c>
      <c r="E202" s="12">
        <f t="shared" si="34"/>
        <v>13.679401325024363</v>
      </c>
      <c r="F202" s="12">
        <f t="shared" si="39"/>
        <v>3.7998337013956562</v>
      </c>
      <c r="G202" s="13">
        <f t="shared" si="40"/>
        <v>1564.3468309386938</v>
      </c>
      <c r="H202" s="12">
        <f t="shared" si="41"/>
        <v>3.7998337013956562</v>
      </c>
      <c r="I202" s="12">
        <f t="shared" si="42"/>
        <v>0</v>
      </c>
      <c r="J202" s="6">
        <f t="shared" si="43"/>
        <v>1</v>
      </c>
      <c r="K202" s="6">
        <v>0</v>
      </c>
      <c r="L202" s="12">
        <f>('1-Specification &amp; Data'!B$22*'1-Specification &amp; Data'!B$10*'1-Specification &amp; Data'!B$20*('1-Simulation'!F202^2-'1-Specification &amp; Data'!B$21^2))/2</f>
        <v>4.4501352164473733</v>
      </c>
      <c r="M202" s="6">
        <f t="shared" si="35"/>
        <v>0</v>
      </c>
      <c r="N202" s="12">
        <f>'1-Specification &amp; Data'!B$24*'1-Specification &amp; Data'!B$18*8.91</f>
        <v>117.00800891999999</v>
      </c>
      <c r="O202" s="12">
        <f t="shared" si="36"/>
        <v>121.45814413644737</v>
      </c>
      <c r="P202" s="14">
        <f t="shared" si="37"/>
        <v>121.45814413644737</v>
      </c>
      <c r="Q202" s="12">
        <f>IF(J202=1,'1-Specification &amp; Data'!B$52,IF('1-Simulation'!J202=2,'1-Specification &amp; Data'!B$53,IF('1-Simulation'!J202=3,'1-Specification &amp; Data'!B$54)))</f>
        <v>713.06421115882472</v>
      </c>
      <c r="R202" s="12">
        <f>(0.5*'1-Specification &amp; Data'!B$18*'1-Simulation'!F202^2)/1000</f>
        <v>4.7403136060591233</v>
      </c>
      <c r="S202" s="6">
        <f t="shared" si="33"/>
        <v>0</v>
      </c>
      <c r="T202" s="12">
        <v>0</v>
      </c>
      <c r="U202" s="14">
        <f>O202*'1-Specification &amp; Data'!B$14*0.9</f>
        <v>32.233122866980267</v>
      </c>
    </row>
    <row r="203" spans="2:21" x14ac:dyDescent="0.25">
      <c r="C203" s="6">
        <f t="shared" si="38"/>
        <v>201</v>
      </c>
      <c r="D203" s="6">
        <v>8.5</v>
      </c>
      <c r="E203" s="12">
        <f t="shared" si="34"/>
        <v>13.679401325024363</v>
      </c>
      <c r="F203" s="12">
        <f t="shared" si="39"/>
        <v>3.7998337013956562</v>
      </c>
      <c r="G203" s="13">
        <f t="shared" si="40"/>
        <v>1568.1466646400895</v>
      </c>
      <c r="H203" s="12">
        <f t="shared" si="41"/>
        <v>3.7998337013956562</v>
      </c>
      <c r="I203" s="12">
        <f t="shared" si="42"/>
        <v>0</v>
      </c>
      <c r="J203" s="6">
        <f t="shared" si="43"/>
        <v>1</v>
      </c>
      <c r="K203" s="6">
        <v>0</v>
      </c>
      <c r="L203" s="12">
        <f>('1-Specification &amp; Data'!B$22*'1-Specification &amp; Data'!B$10*'1-Specification &amp; Data'!B$20*('1-Simulation'!F203^2-'1-Specification &amp; Data'!B$21^2))/2</f>
        <v>4.4501352164473733</v>
      </c>
      <c r="M203" s="6">
        <f t="shared" si="35"/>
        <v>0</v>
      </c>
      <c r="N203" s="12">
        <f>'1-Specification &amp; Data'!B$24*'1-Specification &amp; Data'!B$18*8.91</f>
        <v>117.00800891999999</v>
      </c>
      <c r="O203" s="12">
        <f t="shared" si="36"/>
        <v>121.45814413644737</v>
      </c>
      <c r="P203" s="14">
        <f t="shared" si="37"/>
        <v>121.45814413644737</v>
      </c>
      <c r="Q203" s="12">
        <f>IF(J203=1,'1-Specification &amp; Data'!B$52,IF('1-Simulation'!J203=2,'1-Specification &amp; Data'!B$53,IF('1-Simulation'!J203=3,'1-Specification &amp; Data'!B$54)))</f>
        <v>713.06421115882472</v>
      </c>
      <c r="R203" s="12">
        <f>(0.5*'1-Specification &amp; Data'!B$18*'1-Simulation'!F203^2)/1000</f>
        <v>4.7403136060591233</v>
      </c>
      <c r="S203" s="6">
        <f t="shared" si="33"/>
        <v>0</v>
      </c>
      <c r="T203" s="12">
        <v>0</v>
      </c>
      <c r="U203" s="14">
        <f>O203*'1-Specification &amp; Data'!B$14*0.9</f>
        <v>32.233122866980267</v>
      </c>
    </row>
    <row r="204" spans="2:21" x14ac:dyDescent="0.25">
      <c r="C204" s="6">
        <f t="shared" si="38"/>
        <v>202</v>
      </c>
      <c r="D204" s="6">
        <v>8.5</v>
      </c>
      <c r="E204" s="12">
        <f t="shared" si="34"/>
        <v>13.679401325024363</v>
      </c>
      <c r="F204" s="12">
        <f t="shared" si="39"/>
        <v>3.7998337013956562</v>
      </c>
      <c r="G204" s="13">
        <f t="shared" si="40"/>
        <v>1571.9464983414853</v>
      </c>
      <c r="H204" s="12">
        <f t="shared" si="41"/>
        <v>3.7998337013956562</v>
      </c>
      <c r="I204" s="12">
        <f t="shared" si="42"/>
        <v>0</v>
      </c>
      <c r="J204" s="6">
        <f t="shared" si="43"/>
        <v>1</v>
      </c>
      <c r="K204" s="6">
        <v>0</v>
      </c>
      <c r="L204" s="12">
        <f>('1-Specification &amp; Data'!B$22*'1-Specification &amp; Data'!B$10*'1-Specification &amp; Data'!B$20*('1-Simulation'!F204^2-'1-Specification &amp; Data'!B$21^2))/2</f>
        <v>4.4501352164473733</v>
      </c>
      <c r="M204" s="6">
        <f t="shared" si="35"/>
        <v>0</v>
      </c>
      <c r="N204" s="12">
        <f>'1-Specification &amp; Data'!B$24*'1-Specification &amp; Data'!B$18*8.91</f>
        <v>117.00800891999999</v>
      </c>
      <c r="O204" s="12">
        <f t="shared" si="36"/>
        <v>121.45814413644737</v>
      </c>
      <c r="P204" s="14">
        <f t="shared" si="37"/>
        <v>121.45814413644737</v>
      </c>
      <c r="Q204" s="12">
        <f>IF(J204=1,'1-Specification &amp; Data'!B$52,IF('1-Simulation'!J204=2,'1-Specification &amp; Data'!B$53,IF('1-Simulation'!J204=3,'1-Specification &amp; Data'!B$54)))</f>
        <v>713.06421115882472</v>
      </c>
      <c r="R204" s="12">
        <f>(0.5*'1-Specification &amp; Data'!B$18*'1-Simulation'!F204^2)/1000</f>
        <v>4.7403136060591233</v>
      </c>
      <c r="S204" s="6">
        <f t="shared" si="33"/>
        <v>0</v>
      </c>
      <c r="T204" s="12">
        <v>0</v>
      </c>
      <c r="U204" s="14">
        <f>O204*'1-Specification &amp; Data'!B$14*0.9</f>
        <v>32.233122866980267</v>
      </c>
    </row>
    <row r="205" spans="2:21" x14ac:dyDescent="0.25">
      <c r="C205" s="6">
        <f t="shared" si="38"/>
        <v>203</v>
      </c>
      <c r="D205" s="6">
        <v>8.5</v>
      </c>
      <c r="E205" s="12">
        <f t="shared" si="34"/>
        <v>13.679401325024363</v>
      </c>
      <c r="F205" s="12">
        <f t="shared" si="39"/>
        <v>3.7998337013956562</v>
      </c>
      <c r="G205" s="13">
        <f t="shared" si="40"/>
        <v>1575.746332042881</v>
      </c>
      <c r="H205" s="12">
        <f t="shared" si="41"/>
        <v>3.7998337013956562</v>
      </c>
      <c r="I205" s="12">
        <f t="shared" si="42"/>
        <v>0</v>
      </c>
      <c r="J205" s="6">
        <f t="shared" si="43"/>
        <v>1</v>
      </c>
      <c r="K205" s="6">
        <v>0</v>
      </c>
      <c r="L205" s="12">
        <f>('1-Specification &amp; Data'!B$22*'1-Specification &amp; Data'!B$10*'1-Specification &amp; Data'!B$20*('1-Simulation'!F205^2-'1-Specification &amp; Data'!B$21^2))/2</f>
        <v>4.4501352164473733</v>
      </c>
      <c r="M205" s="6">
        <f t="shared" si="35"/>
        <v>0</v>
      </c>
      <c r="N205" s="12">
        <f>'1-Specification &amp; Data'!B$24*'1-Specification &amp; Data'!B$18*8.91</f>
        <v>117.00800891999999</v>
      </c>
      <c r="O205" s="12">
        <f t="shared" si="36"/>
        <v>121.45814413644737</v>
      </c>
      <c r="P205" s="14">
        <f t="shared" si="37"/>
        <v>121.45814413644737</v>
      </c>
      <c r="Q205" s="12">
        <f>IF(J205=1,'1-Specification &amp; Data'!B$52,IF('1-Simulation'!J205=2,'1-Specification &amp; Data'!B$53,IF('1-Simulation'!J205=3,'1-Specification &amp; Data'!B$54)))</f>
        <v>713.06421115882472</v>
      </c>
      <c r="R205" s="12">
        <f>(0.5*'1-Specification &amp; Data'!B$18*'1-Simulation'!F205^2)/1000</f>
        <v>4.7403136060591233</v>
      </c>
      <c r="S205" s="6">
        <f t="shared" si="33"/>
        <v>0</v>
      </c>
      <c r="T205" s="12">
        <v>0</v>
      </c>
      <c r="U205" s="14">
        <f>O205*'1-Specification &amp; Data'!B$14*0.9</f>
        <v>32.233122866980267</v>
      </c>
    </row>
    <row r="206" spans="2:21" x14ac:dyDescent="0.25">
      <c r="C206" s="6">
        <f t="shared" si="38"/>
        <v>204</v>
      </c>
      <c r="D206" s="6">
        <v>8.5</v>
      </c>
      <c r="E206" s="12">
        <f t="shared" si="34"/>
        <v>13.679401325024363</v>
      </c>
      <c r="F206" s="12">
        <f t="shared" si="39"/>
        <v>3.7998337013956562</v>
      </c>
      <c r="G206" s="13">
        <f t="shared" si="40"/>
        <v>1579.5461657442768</v>
      </c>
      <c r="H206" s="12">
        <f t="shared" si="41"/>
        <v>3.7998337013956562</v>
      </c>
      <c r="I206" s="12">
        <f t="shared" si="42"/>
        <v>0</v>
      </c>
      <c r="J206" s="6">
        <f t="shared" si="43"/>
        <v>1</v>
      </c>
      <c r="K206" s="6">
        <v>0</v>
      </c>
      <c r="L206" s="12">
        <f>('1-Specification &amp; Data'!B$22*'1-Specification &amp; Data'!B$10*'1-Specification &amp; Data'!B$20*('1-Simulation'!F206^2-'1-Specification &amp; Data'!B$21^2))/2</f>
        <v>4.4501352164473733</v>
      </c>
      <c r="M206" s="6">
        <f t="shared" si="35"/>
        <v>0</v>
      </c>
      <c r="N206" s="12">
        <f>'1-Specification &amp; Data'!B$24*'1-Specification &amp; Data'!B$18*8.91</f>
        <v>117.00800891999999</v>
      </c>
      <c r="O206" s="12">
        <f t="shared" si="36"/>
        <v>121.45814413644737</v>
      </c>
      <c r="P206" s="14">
        <f t="shared" si="37"/>
        <v>121.45814413644737</v>
      </c>
      <c r="Q206" s="12">
        <f>IF(J206=1,'1-Specification &amp; Data'!B$52,IF('1-Simulation'!J206=2,'1-Specification &amp; Data'!B$53,IF('1-Simulation'!J206=3,'1-Specification &amp; Data'!B$54)))</f>
        <v>713.06421115882472</v>
      </c>
      <c r="R206" s="12">
        <f>(0.5*'1-Specification &amp; Data'!B$18*'1-Simulation'!F206^2)/1000</f>
        <v>4.7403136060591233</v>
      </c>
      <c r="S206" s="6">
        <f t="shared" si="33"/>
        <v>0</v>
      </c>
      <c r="T206" s="12">
        <v>0</v>
      </c>
      <c r="U206" s="14">
        <f>O206*'1-Specification &amp; Data'!B$14*0.9</f>
        <v>32.233122866980267</v>
      </c>
    </row>
    <row r="207" spans="2:21" x14ac:dyDescent="0.25">
      <c r="B207" s="17" t="s">
        <v>120</v>
      </c>
      <c r="C207" s="6">
        <f t="shared" si="38"/>
        <v>205</v>
      </c>
      <c r="D207" s="6">
        <v>8.5</v>
      </c>
      <c r="E207" s="12">
        <f t="shared" si="34"/>
        <v>13.679401325024363</v>
      </c>
      <c r="F207" s="12">
        <f t="shared" si="39"/>
        <v>3.7998337013956562</v>
      </c>
      <c r="G207" s="13">
        <f t="shared" si="40"/>
        <v>1583.3459994456725</v>
      </c>
      <c r="H207" s="12">
        <f t="shared" si="41"/>
        <v>3.7998337013956562</v>
      </c>
      <c r="I207" s="12">
        <f t="shared" si="42"/>
        <v>0</v>
      </c>
      <c r="J207" s="6">
        <f t="shared" si="43"/>
        <v>1</v>
      </c>
      <c r="K207" s="6">
        <v>0</v>
      </c>
      <c r="L207" s="12">
        <f>('1-Specification &amp; Data'!B$22*'1-Specification &amp; Data'!B$10*'1-Specification &amp; Data'!B$20*('1-Simulation'!F207^2-'1-Specification &amp; Data'!B$21^2))/2</f>
        <v>4.4501352164473733</v>
      </c>
      <c r="M207" s="6">
        <f t="shared" si="35"/>
        <v>0</v>
      </c>
      <c r="N207" s="12">
        <f>'1-Specification &amp; Data'!B$24*'1-Specification &amp; Data'!B$18*8.91</f>
        <v>117.00800891999999</v>
      </c>
      <c r="O207" s="12">
        <f t="shared" si="36"/>
        <v>121.45814413644737</v>
      </c>
      <c r="P207" s="14">
        <f t="shared" si="37"/>
        <v>121.45814413644737</v>
      </c>
      <c r="Q207" s="12">
        <f>IF(J207=1,'1-Specification &amp; Data'!B$52,IF('1-Simulation'!J207=2,'1-Specification &amp; Data'!B$53,IF('1-Simulation'!J207=3,'1-Specification &amp; Data'!B$54)))</f>
        <v>713.06421115882472</v>
      </c>
      <c r="R207" s="12">
        <f>(0.5*'1-Specification &amp; Data'!B$18*'1-Simulation'!F207^2)/1000</f>
        <v>4.7403136060591233</v>
      </c>
      <c r="S207" s="6">
        <f t="shared" si="33"/>
        <v>0</v>
      </c>
      <c r="T207" s="12">
        <v>0</v>
      </c>
      <c r="U207" s="14">
        <f>O207*'1-Specification &amp; Data'!B$14*0.9</f>
        <v>32.233122866980267</v>
      </c>
    </row>
    <row r="208" spans="2:21" x14ac:dyDescent="0.25">
      <c r="C208" s="6">
        <f t="shared" si="38"/>
        <v>206</v>
      </c>
      <c r="D208" s="6">
        <v>9.5</v>
      </c>
      <c r="E208" s="12">
        <f t="shared" si="34"/>
        <v>15.288742657380171</v>
      </c>
      <c r="F208" s="12">
        <f t="shared" si="39"/>
        <v>4.2468729603833806</v>
      </c>
      <c r="G208" s="13">
        <f t="shared" si="40"/>
        <v>1587.369352776562</v>
      </c>
      <c r="H208" s="12">
        <f t="shared" si="41"/>
        <v>4.0233533308895186</v>
      </c>
      <c r="I208" s="12">
        <f t="shared" si="42"/>
        <v>0.44703925898772479</v>
      </c>
      <c r="J208" s="6">
        <f t="shared" si="43"/>
        <v>1</v>
      </c>
      <c r="K208" s="6">
        <v>0</v>
      </c>
      <c r="L208" s="12">
        <f>('1-Specification &amp; Data'!B$22*'1-Specification &amp; Data'!B$10*'1-Specification &amp; Data'!B$20*('1-Simulation'!F208^2-'1-Specification &amp; Data'!B$21^2))/2</f>
        <v>6.1412693611898339</v>
      </c>
      <c r="M208" s="6">
        <f t="shared" si="35"/>
        <v>318.76769656710752</v>
      </c>
      <c r="N208" s="12">
        <f>'1-Specification &amp; Data'!B$24*'1-Specification &amp; Data'!B$18*8.91</f>
        <v>117.00800891999999</v>
      </c>
      <c r="O208" s="12">
        <f t="shared" si="36"/>
        <v>441.91697484829734</v>
      </c>
      <c r="P208" s="14">
        <f t="shared" si="37"/>
        <v>441.91697484829734</v>
      </c>
      <c r="Q208" s="12">
        <f>IF(J208=1,'1-Specification &amp; Data'!B$52,IF('1-Simulation'!J208=2,'1-Specification &amp; Data'!B$53,IF('1-Simulation'!J208=3,'1-Specification &amp; Data'!B$54)))</f>
        <v>713.06421115882472</v>
      </c>
      <c r="R208" s="12">
        <f>(0.5*'1-Specification &amp; Data'!B$18*'1-Simulation'!F208^2)/1000</f>
        <v>5.9212913902676245</v>
      </c>
      <c r="S208" s="6">
        <f t="shared" si="33"/>
        <v>0</v>
      </c>
      <c r="T208" s="12">
        <v>0</v>
      </c>
      <c r="U208" s="14">
        <f>O208*'1-Specification &amp; Data'!B$14*0.9</f>
        <v>117.27796640204815</v>
      </c>
    </row>
    <row r="209" spans="2:21" x14ac:dyDescent="0.25">
      <c r="C209" s="6">
        <f t="shared" si="38"/>
        <v>207</v>
      </c>
      <c r="D209" s="6">
        <v>10</v>
      </c>
      <c r="E209" s="12">
        <f t="shared" si="34"/>
        <v>16.093413323558075</v>
      </c>
      <c r="F209" s="12">
        <f t="shared" si="39"/>
        <v>4.4703925898772425</v>
      </c>
      <c r="G209" s="13">
        <f t="shared" si="40"/>
        <v>1591.7279855516922</v>
      </c>
      <c r="H209" s="12">
        <f t="shared" si="41"/>
        <v>4.358632775130312</v>
      </c>
      <c r="I209" s="12">
        <f t="shared" si="42"/>
        <v>0.22351962949386284</v>
      </c>
      <c r="J209" s="6">
        <f t="shared" si="43"/>
        <v>1</v>
      </c>
      <c r="K209" s="6">
        <v>0</v>
      </c>
      <c r="L209" s="12">
        <f>('1-Specification &amp; Data'!B$22*'1-Specification &amp; Data'!B$10*'1-Specification &amp; Data'!B$20*('1-Simulation'!F209^2-'1-Specification &amp; Data'!B$21^2))/2</f>
        <v>7.0573003562586658</v>
      </c>
      <c r="M209" s="6">
        <f t="shared" si="35"/>
        <v>159.38384828355407</v>
      </c>
      <c r="N209" s="12">
        <f>'1-Specification &amp; Data'!B$24*'1-Specification &amp; Data'!B$18*8.91</f>
        <v>117.00800891999999</v>
      </c>
      <c r="O209" s="12">
        <f t="shared" si="36"/>
        <v>283.44915755981276</v>
      </c>
      <c r="P209" s="14">
        <f t="shared" si="37"/>
        <v>283.44915755981276</v>
      </c>
      <c r="Q209" s="12">
        <f>IF(J209=1,'1-Specification &amp; Data'!B$52,IF('1-Simulation'!J209=2,'1-Specification &amp; Data'!B$53,IF('1-Simulation'!J209=3,'1-Specification &amp; Data'!B$54)))</f>
        <v>713.06421115882472</v>
      </c>
      <c r="R209" s="12">
        <f>(0.5*'1-Specification &amp; Data'!B$18*'1-Simulation'!F209^2)/1000</f>
        <v>6.560987690047229</v>
      </c>
      <c r="S209" s="6">
        <f t="shared" si="33"/>
        <v>0</v>
      </c>
      <c r="T209" s="12">
        <v>0</v>
      </c>
      <c r="U209" s="14">
        <f>O209*'1-Specification &amp; Data'!B$14*0.9</f>
        <v>75.223045660104162</v>
      </c>
    </row>
    <row r="210" spans="2:21" x14ac:dyDescent="0.25">
      <c r="C210" s="6">
        <f t="shared" si="38"/>
        <v>208</v>
      </c>
      <c r="D210" s="6">
        <v>10</v>
      </c>
      <c r="E210" s="12">
        <f t="shared" si="34"/>
        <v>16.093413323558075</v>
      </c>
      <c r="F210" s="12">
        <f t="shared" si="39"/>
        <v>4.4703925898772425</v>
      </c>
      <c r="G210" s="13">
        <f t="shared" si="40"/>
        <v>1596.1983781415695</v>
      </c>
      <c r="H210" s="12">
        <f t="shared" si="41"/>
        <v>4.4703925898772425</v>
      </c>
      <c r="I210" s="12">
        <f t="shared" si="42"/>
        <v>0</v>
      </c>
      <c r="J210" s="6">
        <f t="shared" si="43"/>
        <v>1</v>
      </c>
      <c r="K210" s="6">
        <v>0</v>
      </c>
      <c r="L210" s="12">
        <f>('1-Specification &amp; Data'!B$22*'1-Specification &amp; Data'!B$10*'1-Specification &amp; Data'!B$20*('1-Simulation'!F210^2-'1-Specification &amp; Data'!B$21^2))/2</f>
        <v>7.0573003562586658</v>
      </c>
      <c r="M210" s="6">
        <f t="shared" si="35"/>
        <v>0</v>
      </c>
      <c r="N210" s="12">
        <f>'1-Specification &amp; Data'!B$24*'1-Specification &amp; Data'!B$18*8.91</f>
        <v>117.00800891999999</v>
      </c>
      <c r="O210" s="12">
        <f t="shared" si="36"/>
        <v>124.06530927625866</v>
      </c>
      <c r="P210" s="14">
        <f t="shared" si="37"/>
        <v>124.06530927625866</v>
      </c>
      <c r="Q210" s="12">
        <f>IF(J210=1,'1-Specification &amp; Data'!B$52,IF('1-Simulation'!J210=2,'1-Specification &amp; Data'!B$53,IF('1-Simulation'!J210=3,'1-Specification &amp; Data'!B$54)))</f>
        <v>713.06421115882472</v>
      </c>
      <c r="R210" s="12">
        <f>(0.5*'1-Specification &amp; Data'!B$18*'1-Simulation'!F210^2)/1000</f>
        <v>6.560987690047229</v>
      </c>
      <c r="S210" s="6">
        <f t="shared" si="33"/>
        <v>0</v>
      </c>
      <c r="T210" s="12">
        <v>0</v>
      </c>
      <c r="U210" s="14">
        <f>O210*'1-Specification &amp; Data'!B$14*0.9</f>
        <v>32.925024384853266</v>
      </c>
    </row>
    <row r="211" spans="2:21" x14ac:dyDescent="0.25">
      <c r="C211" s="6">
        <f t="shared" si="38"/>
        <v>209</v>
      </c>
      <c r="D211" s="6">
        <v>10</v>
      </c>
      <c r="E211" s="12">
        <f t="shared" si="34"/>
        <v>16.093413323558075</v>
      </c>
      <c r="F211" s="12">
        <f t="shared" si="39"/>
        <v>4.4703925898772425</v>
      </c>
      <c r="G211" s="13">
        <f t="shared" si="40"/>
        <v>1600.6687707314468</v>
      </c>
      <c r="H211" s="12">
        <f t="shared" si="41"/>
        <v>4.4703925898772425</v>
      </c>
      <c r="I211" s="12">
        <f t="shared" si="42"/>
        <v>0</v>
      </c>
      <c r="J211" s="6">
        <f t="shared" si="43"/>
        <v>1</v>
      </c>
      <c r="K211" s="6">
        <v>0</v>
      </c>
      <c r="L211" s="12">
        <f>('1-Specification &amp; Data'!B$22*'1-Specification &amp; Data'!B$10*'1-Specification &amp; Data'!B$20*('1-Simulation'!F211^2-'1-Specification &amp; Data'!B$21^2))/2</f>
        <v>7.0573003562586658</v>
      </c>
      <c r="M211" s="6">
        <f t="shared" si="35"/>
        <v>0</v>
      </c>
      <c r="N211" s="12">
        <f>'1-Specification &amp; Data'!B$24*'1-Specification &amp; Data'!B$18*8.91</f>
        <v>117.00800891999999</v>
      </c>
      <c r="O211" s="12">
        <f t="shared" si="36"/>
        <v>124.06530927625866</v>
      </c>
      <c r="P211" s="14">
        <f t="shared" si="37"/>
        <v>124.06530927625866</v>
      </c>
      <c r="Q211" s="12">
        <f>IF(J211=1,'1-Specification &amp; Data'!B$52,IF('1-Simulation'!J211=2,'1-Specification &amp; Data'!B$53,IF('1-Simulation'!J211=3,'1-Specification &amp; Data'!B$54)))</f>
        <v>713.06421115882472</v>
      </c>
      <c r="R211" s="12">
        <f>(0.5*'1-Specification &amp; Data'!B$18*'1-Simulation'!F211^2)/1000</f>
        <v>6.560987690047229</v>
      </c>
      <c r="S211" s="6">
        <f t="shared" si="33"/>
        <v>0</v>
      </c>
      <c r="T211" s="12">
        <v>0</v>
      </c>
      <c r="U211" s="14">
        <f>O211*'1-Specification &amp; Data'!B$14*0.9</f>
        <v>32.925024384853266</v>
      </c>
    </row>
    <row r="212" spans="2:21" x14ac:dyDescent="0.25">
      <c r="C212" s="6">
        <f t="shared" si="38"/>
        <v>210</v>
      </c>
      <c r="D212" s="6">
        <v>9</v>
      </c>
      <c r="E212" s="12">
        <f t="shared" si="34"/>
        <v>14.484071991202267</v>
      </c>
      <c r="F212" s="12">
        <f t="shared" si="39"/>
        <v>4.0233533308895186</v>
      </c>
      <c r="G212" s="13">
        <f t="shared" si="40"/>
        <v>1604.9156436918302</v>
      </c>
      <c r="H212" s="12">
        <f t="shared" si="41"/>
        <v>4.2468729603833806</v>
      </c>
      <c r="I212" s="12">
        <f t="shared" si="42"/>
        <v>-0.4470392589877239</v>
      </c>
      <c r="J212" s="6">
        <f t="shared" si="43"/>
        <v>1</v>
      </c>
      <c r="K212" s="6">
        <v>0</v>
      </c>
      <c r="L212" s="12">
        <f>('1-Specification &amp; Data'!B$22*'1-Specification &amp; Data'!B$10*'1-Specification &amp; Data'!B$20*('1-Simulation'!F212^2-'1-Specification &amp; Data'!B$21^2))/2</f>
        <v>5.27221431458607</v>
      </c>
      <c r="M212" s="6">
        <f t="shared" si="35"/>
        <v>-318.7676965671069</v>
      </c>
      <c r="N212" s="12">
        <f>'1-Specification &amp; Data'!B$24*'1-Specification &amp; Data'!B$18*8.91</f>
        <v>117.00800891999999</v>
      </c>
      <c r="O212" s="12">
        <f t="shared" si="36"/>
        <v>-196.48747333252084</v>
      </c>
      <c r="P212" s="14">
        <f t="shared" si="37"/>
        <v>196.48747333252084</v>
      </c>
      <c r="Q212" s="12">
        <f>IF(J212=1,'1-Specification &amp; Data'!B$52,IF('1-Simulation'!J212=2,'1-Specification &amp; Data'!B$53,IF('1-Simulation'!J212=3,'1-Specification &amp; Data'!B$54)))</f>
        <v>713.06421115882472</v>
      </c>
      <c r="R212" s="12">
        <f>(0.5*'1-Specification &amp; Data'!B$18*'1-Simulation'!F212^2)/1000</f>
        <v>5.3144000289382562</v>
      </c>
      <c r="S212" s="6">
        <f t="shared" si="33"/>
        <v>0</v>
      </c>
      <c r="T212" s="12">
        <v>0</v>
      </c>
      <c r="U212" s="14">
        <f>O212*'1-Specification &amp; Data'!B$14*0.9</f>
        <v>-52.144752538245918</v>
      </c>
    </row>
    <row r="213" spans="2:21" x14ac:dyDescent="0.25">
      <c r="C213" s="6">
        <f t="shared" si="38"/>
        <v>211</v>
      </c>
      <c r="D213" s="6">
        <v>8</v>
      </c>
      <c r="E213" s="12">
        <f t="shared" si="34"/>
        <v>12.87473065884646</v>
      </c>
      <c r="F213" s="12">
        <f t="shared" si="39"/>
        <v>3.5763140719017943</v>
      </c>
      <c r="G213" s="13">
        <f t="shared" si="40"/>
        <v>1608.7154773932259</v>
      </c>
      <c r="H213" s="12">
        <f t="shared" si="41"/>
        <v>3.7998337013956567</v>
      </c>
      <c r="I213" s="12">
        <f t="shared" si="42"/>
        <v>-0.4470392589877239</v>
      </c>
      <c r="J213" s="6">
        <f t="shared" si="43"/>
        <v>1</v>
      </c>
      <c r="K213" s="6">
        <v>0</v>
      </c>
      <c r="L213" s="12">
        <f>('1-Specification &amp; Data'!B$22*'1-Specification &amp; Data'!B$10*'1-Specification &amp; Data'!B$20*('1-Simulation'!F213^2-'1-Specification &amp; Data'!B$21^2))/2</f>
        <v>3.6750320667737468</v>
      </c>
      <c r="M213" s="6">
        <f t="shared" si="35"/>
        <v>-318.7676965671069</v>
      </c>
      <c r="N213" s="12">
        <f>'1-Specification &amp; Data'!B$24*'1-Specification &amp; Data'!B$18*8.91</f>
        <v>117.00800891999999</v>
      </c>
      <c r="O213" s="12">
        <f t="shared" si="36"/>
        <v>-198.08465558033316</v>
      </c>
      <c r="P213" s="14">
        <f t="shared" si="37"/>
        <v>198.08465558033316</v>
      </c>
      <c r="Q213" s="12">
        <f>IF(J213=1,'1-Specification &amp; Data'!B$52,IF('1-Simulation'!J213=2,'1-Specification &amp; Data'!B$53,IF('1-Simulation'!J213=3,'1-Specification &amp; Data'!B$54)))</f>
        <v>713.06421115882472</v>
      </c>
      <c r="R213" s="12">
        <f>(0.5*'1-Specification &amp; Data'!B$18*'1-Simulation'!F213^2)/1000</f>
        <v>4.1990321216302275</v>
      </c>
      <c r="S213" s="6">
        <f t="shared" si="33"/>
        <v>0</v>
      </c>
      <c r="T213" s="12">
        <v>0</v>
      </c>
      <c r="U213" s="14">
        <f>O213*'1-Specification &amp; Data'!B$14*0.9</f>
        <v>-52.568620134780723</v>
      </c>
    </row>
    <row r="214" spans="2:21" x14ac:dyDescent="0.25">
      <c r="B214" s="17" t="s">
        <v>121</v>
      </c>
      <c r="C214" s="6">
        <f t="shared" si="38"/>
        <v>212</v>
      </c>
      <c r="D214" s="6">
        <v>8</v>
      </c>
      <c r="E214" s="12">
        <f t="shared" si="34"/>
        <v>12.87473065884646</v>
      </c>
      <c r="F214" s="12">
        <f t="shared" si="39"/>
        <v>3.5763140719017943</v>
      </c>
      <c r="G214" s="13">
        <f t="shared" si="40"/>
        <v>1612.2917914651277</v>
      </c>
      <c r="H214" s="12">
        <f t="shared" si="41"/>
        <v>3.5763140719017943</v>
      </c>
      <c r="I214" s="12">
        <f t="shared" si="42"/>
        <v>0</v>
      </c>
      <c r="J214" s="6">
        <f t="shared" si="43"/>
        <v>1</v>
      </c>
      <c r="K214" s="6">
        <v>0</v>
      </c>
      <c r="L214" s="12">
        <f>('1-Specification &amp; Data'!B$22*'1-Specification &amp; Data'!B$10*'1-Specification &amp; Data'!B$20*('1-Simulation'!F214^2-'1-Specification &amp; Data'!B$21^2))/2</f>
        <v>3.6750320667737468</v>
      </c>
      <c r="M214" s="6">
        <f t="shared" si="35"/>
        <v>0</v>
      </c>
      <c r="N214" s="12">
        <f>'1-Specification &amp; Data'!B$24*'1-Specification &amp; Data'!B$18*8.91</f>
        <v>117.00800891999999</v>
      </c>
      <c r="O214" s="12">
        <f t="shared" si="36"/>
        <v>120.68304098677375</v>
      </c>
      <c r="P214" s="14">
        <f t="shared" si="37"/>
        <v>120.68304098677375</v>
      </c>
      <c r="Q214" s="12">
        <f>IF(J214=1,'1-Specification &amp; Data'!B$52,IF('1-Simulation'!J214=2,'1-Specification &amp; Data'!B$53,IF('1-Simulation'!J214=3,'1-Specification &amp; Data'!B$54)))</f>
        <v>713.06421115882472</v>
      </c>
      <c r="R214" s="12">
        <f>(0.5*'1-Specification &amp; Data'!B$18*'1-Simulation'!F214^2)/1000</f>
        <v>4.1990321216302275</v>
      </c>
      <c r="S214" s="6">
        <f t="shared" si="33"/>
        <v>0</v>
      </c>
      <c r="T214" s="12">
        <v>0</v>
      </c>
      <c r="U214" s="14">
        <f>O214*'1-Specification &amp; Data'!B$14*0.9</f>
        <v>32.027422415720729</v>
      </c>
    </row>
    <row r="215" spans="2:21" x14ac:dyDescent="0.25">
      <c r="C215" s="6">
        <f t="shared" si="38"/>
        <v>213</v>
      </c>
      <c r="D215" s="6">
        <v>8</v>
      </c>
      <c r="E215" s="12">
        <f t="shared" si="34"/>
        <v>12.87473065884646</v>
      </c>
      <c r="F215" s="12">
        <f t="shared" si="39"/>
        <v>3.5763140719017943</v>
      </c>
      <c r="G215" s="13">
        <f t="shared" si="40"/>
        <v>1615.8681055370296</v>
      </c>
      <c r="H215" s="12">
        <f t="shared" si="41"/>
        <v>3.5763140719017943</v>
      </c>
      <c r="I215" s="12">
        <f t="shared" si="42"/>
        <v>0</v>
      </c>
      <c r="J215" s="6">
        <f t="shared" si="43"/>
        <v>1</v>
      </c>
      <c r="K215" s="6">
        <v>0</v>
      </c>
      <c r="L215" s="12">
        <f>('1-Specification &amp; Data'!B$22*'1-Specification &amp; Data'!B$10*'1-Specification &amp; Data'!B$20*('1-Simulation'!F215^2-'1-Specification &amp; Data'!B$21^2))/2</f>
        <v>3.6750320667737468</v>
      </c>
      <c r="M215" s="6">
        <f t="shared" si="35"/>
        <v>0</v>
      </c>
      <c r="N215" s="12">
        <f>'1-Specification &amp; Data'!B$24*'1-Specification &amp; Data'!B$18*8.91</f>
        <v>117.00800891999999</v>
      </c>
      <c r="O215" s="12">
        <f t="shared" si="36"/>
        <v>120.68304098677375</v>
      </c>
      <c r="P215" s="14">
        <f t="shared" si="37"/>
        <v>120.68304098677375</v>
      </c>
      <c r="Q215" s="12">
        <f>IF(J215=1,'1-Specification &amp; Data'!B$52,IF('1-Simulation'!J215=2,'1-Specification &amp; Data'!B$53,IF('1-Simulation'!J215=3,'1-Specification &amp; Data'!B$54)))</f>
        <v>713.06421115882472</v>
      </c>
      <c r="R215" s="12">
        <f>(0.5*'1-Specification &amp; Data'!B$18*'1-Simulation'!F215^2)/1000</f>
        <v>4.1990321216302275</v>
      </c>
      <c r="S215" s="6">
        <f t="shared" si="33"/>
        <v>0</v>
      </c>
      <c r="T215" s="12">
        <v>0</v>
      </c>
      <c r="U215" s="14">
        <f>O215*'1-Specification &amp; Data'!B$14*0.9</f>
        <v>32.027422415720729</v>
      </c>
    </row>
    <row r="216" spans="2:21" x14ac:dyDescent="0.25">
      <c r="C216" s="6">
        <f t="shared" si="38"/>
        <v>214</v>
      </c>
      <c r="D216" s="6">
        <v>8</v>
      </c>
      <c r="E216" s="12">
        <f t="shared" si="34"/>
        <v>12.87473065884646</v>
      </c>
      <c r="F216" s="12">
        <f t="shared" si="39"/>
        <v>3.5763140719017943</v>
      </c>
      <c r="G216" s="13">
        <f t="shared" si="40"/>
        <v>1619.4444196089314</v>
      </c>
      <c r="H216" s="12">
        <f t="shared" si="41"/>
        <v>3.5763140719017943</v>
      </c>
      <c r="I216" s="12">
        <f t="shared" si="42"/>
        <v>0</v>
      </c>
      <c r="J216" s="6">
        <f t="shared" si="43"/>
        <v>1</v>
      </c>
      <c r="K216" s="6">
        <v>0</v>
      </c>
      <c r="L216" s="12">
        <f>('1-Specification &amp; Data'!B$22*'1-Specification &amp; Data'!B$10*'1-Specification &amp; Data'!B$20*('1-Simulation'!F216^2-'1-Specification &amp; Data'!B$21^2))/2</f>
        <v>3.6750320667737468</v>
      </c>
      <c r="M216" s="6">
        <f t="shared" si="35"/>
        <v>0</v>
      </c>
      <c r="N216" s="12">
        <f>'1-Specification &amp; Data'!B$24*'1-Specification &amp; Data'!B$18*8.91</f>
        <v>117.00800891999999</v>
      </c>
      <c r="O216" s="12">
        <f t="shared" si="36"/>
        <v>120.68304098677375</v>
      </c>
      <c r="P216" s="14">
        <f t="shared" si="37"/>
        <v>120.68304098677375</v>
      </c>
      <c r="Q216" s="12">
        <f>IF(J216=1,'1-Specification &amp; Data'!B$52,IF('1-Simulation'!J216=2,'1-Specification &amp; Data'!B$53,IF('1-Simulation'!J216=3,'1-Specification &amp; Data'!B$54)))</f>
        <v>713.06421115882472</v>
      </c>
      <c r="R216" s="12">
        <f>(0.5*'1-Specification &amp; Data'!B$18*'1-Simulation'!F216^2)/1000</f>
        <v>4.1990321216302275</v>
      </c>
      <c r="S216" s="6">
        <f t="shared" si="33"/>
        <v>0</v>
      </c>
      <c r="T216" s="12">
        <v>0</v>
      </c>
      <c r="U216" s="14">
        <f>O216*'1-Specification &amp; Data'!B$14*0.9</f>
        <v>32.027422415720729</v>
      </c>
    </row>
    <row r="217" spans="2:21" x14ac:dyDescent="0.25">
      <c r="C217" s="6">
        <f t="shared" si="38"/>
        <v>215</v>
      </c>
      <c r="D217" s="6">
        <v>8</v>
      </c>
      <c r="E217" s="12">
        <f t="shared" si="34"/>
        <v>12.87473065884646</v>
      </c>
      <c r="F217" s="12">
        <f t="shared" si="39"/>
        <v>3.5763140719017943</v>
      </c>
      <c r="G217" s="13">
        <f t="shared" si="40"/>
        <v>1623.0207336808332</v>
      </c>
      <c r="H217" s="12">
        <f t="shared" si="41"/>
        <v>3.5763140719017943</v>
      </c>
      <c r="I217" s="12">
        <f t="shared" si="42"/>
        <v>0</v>
      </c>
      <c r="J217" s="6">
        <f t="shared" si="43"/>
        <v>1</v>
      </c>
      <c r="K217" s="6">
        <v>0</v>
      </c>
      <c r="L217" s="12">
        <f>('1-Specification &amp; Data'!B$22*'1-Specification &amp; Data'!B$10*'1-Specification &amp; Data'!B$20*('1-Simulation'!F217^2-'1-Specification &amp; Data'!B$21^2))/2</f>
        <v>3.6750320667737468</v>
      </c>
      <c r="M217" s="6">
        <f t="shared" si="35"/>
        <v>0</v>
      </c>
      <c r="N217" s="12">
        <f>'1-Specification &amp; Data'!B$24*'1-Specification &amp; Data'!B$18*8.91</f>
        <v>117.00800891999999</v>
      </c>
      <c r="O217" s="12">
        <f t="shared" si="36"/>
        <v>120.68304098677375</v>
      </c>
      <c r="P217" s="14">
        <f t="shared" si="37"/>
        <v>120.68304098677375</v>
      </c>
      <c r="Q217" s="12">
        <f>IF(J217=1,'1-Specification &amp; Data'!B$52,IF('1-Simulation'!J217=2,'1-Specification &amp; Data'!B$53,IF('1-Simulation'!J217=3,'1-Specification &amp; Data'!B$54)))</f>
        <v>713.06421115882472</v>
      </c>
      <c r="R217" s="12">
        <f>(0.5*'1-Specification &amp; Data'!B$18*'1-Simulation'!F217^2)/1000</f>
        <v>4.1990321216302275</v>
      </c>
      <c r="S217" s="6">
        <f t="shared" si="33"/>
        <v>0</v>
      </c>
      <c r="T217" s="12">
        <v>0</v>
      </c>
      <c r="U217" s="14">
        <f>O217*'1-Specification &amp; Data'!B$14*0.9</f>
        <v>32.027422415720729</v>
      </c>
    </row>
    <row r="218" spans="2:21" x14ac:dyDescent="0.25">
      <c r="C218" s="6">
        <f t="shared" si="38"/>
        <v>216</v>
      </c>
      <c r="D218" s="6">
        <v>8</v>
      </c>
      <c r="E218" s="12">
        <f t="shared" si="34"/>
        <v>12.87473065884646</v>
      </c>
      <c r="F218" s="12">
        <f t="shared" si="39"/>
        <v>3.5763140719017943</v>
      </c>
      <c r="G218" s="13">
        <f t="shared" si="40"/>
        <v>1626.5970477527351</v>
      </c>
      <c r="H218" s="12">
        <f t="shared" si="41"/>
        <v>3.5763140719017943</v>
      </c>
      <c r="I218" s="12">
        <f t="shared" si="42"/>
        <v>0</v>
      </c>
      <c r="J218" s="6">
        <f t="shared" si="43"/>
        <v>1</v>
      </c>
      <c r="K218" s="6">
        <v>0</v>
      </c>
      <c r="L218" s="12">
        <f>('1-Specification &amp; Data'!B$22*'1-Specification &amp; Data'!B$10*'1-Specification &amp; Data'!B$20*('1-Simulation'!F218^2-'1-Specification &amp; Data'!B$21^2))/2</f>
        <v>3.6750320667737468</v>
      </c>
      <c r="M218" s="6">
        <f t="shared" si="35"/>
        <v>0</v>
      </c>
      <c r="N218" s="12">
        <f>'1-Specification &amp; Data'!B$24*'1-Specification &amp; Data'!B$18*8.91</f>
        <v>117.00800891999999</v>
      </c>
      <c r="O218" s="12">
        <f t="shared" si="36"/>
        <v>120.68304098677375</v>
      </c>
      <c r="P218" s="14">
        <f t="shared" si="37"/>
        <v>120.68304098677375</v>
      </c>
      <c r="Q218" s="12">
        <f>IF(J218=1,'1-Specification &amp; Data'!B$52,IF('1-Simulation'!J218=2,'1-Specification &amp; Data'!B$53,IF('1-Simulation'!J218=3,'1-Specification &amp; Data'!B$54)))</f>
        <v>713.06421115882472</v>
      </c>
      <c r="R218" s="12">
        <f>(0.5*'1-Specification &amp; Data'!B$18*'1-Simulation'!F218^2)/1000</f>
        <v>4.1990321216302275</v>
      </c>
      <c r="S218" s="6">
        <f t="shared" si="33"/>
        <v>0</v>
      </c>
      <c r="T218" s="12">
        <v>0</v>
      </c>
      <c r="U218" s="14">
        <f>O218*'1-Specification &amp; Data'!B$14*0.9</f>
        <v>32.027422415720729</v>
      </c>
    </row>
    <row r="219" spans="2:21" x14ac:dyDescent="0.25">
      <c r="C219" s="6">
        <f t="shared" si="38"/>
        <v>217</v>
      </c>
      <c r="D219" s="6">
        <v>8</v>
      </c>
      <c r="E219" s="12">
        <f t="shared" si="34"/>
        <v>12.87473065884646</v>
      </c>
      <c r="F219" s="12">
        <f t="shared" si="39"/>
        <v>3.5763140719017943</v>
      </c>
      <c r="G219" s="13">
        <f t="shared" si="40"/>
        <v>1630.1733618246369</v>
      </c>
      <c r="H219" s="12">
        <f t="shared" si="41"/>
        <v>3.5763140719017943</v>
      </c>
      <c r="I219" s="12">
        <f t="shared" si="42"/>
        <v>0</v>
      </c>
      <c r="J219" s="6">
        <f t="shared" si="43"/>
        <v>1</v>
      </c>
      <c r="K219" s="6">
        <v>0</v>
      </c>
      <c r="L219" s="12">
        <f>('1-Specification &amp; Data'!B$22*'1-Specification &amp; Data'!B$10*'1-Specification &amp; Data'!B$20*('1-Simulation'!F219^2-'1-Specification &amp; Data'!B$21^2))/2</f>
        <v>3.6750320667737468</v>
      </c>
      <c r="M219" s="6">
        <f t="shared" si="35"/>
        <v>0</v>
      </c>
      <c r="N219" s="12">
        <f>'1-Specification &amp; Data'!B$24*'1-Specification &amp; Data'!B$18*8.91</f>
        <v>117.00800891999999</v>
      </c>
      <c r="O219" s="12">
        <f t="shared" si="36"/>
        <v>120.68304098677375</v>
      </c>
      <c r="P219" s="14">
        <f t="shared" si="37"/>
        <v>120.68304098677375</v>
      </c>
      <c r="Q219" s="12">
        <f>IF(J219=1,'1-Specification &amp; Data'!B$52,IF('1-Simulation'!J219=2,'1-Specification &amp; Data'!B$53,IF('1-Simulation'!J219=3,'1-Specification &amp; Data'!B$54)))</f>
        <v>713.06421115882472</v>
      </c>
      <c r="R219" s="12">
        <f>(0.5*'1-Specification &amp; Data'!B$18*'1-Simulation'!F219^2)/1000</f>
        <v>4.1990321216302275</v>
      </c>
      <c r="S219" s="6">
        <f t="shared" si="33"/>
        <v>0</v>
      </c>
      <c r="T219" s="12">
        <v>0</v>
      </c>
      <c r="U219" s="14">
        <f>O219*'1-Specification &amp; Data'!B$14*0.9</f>
        <v>32.027422415720729</v>
      </c>
    </row>
    <row r="220" spans="2:21" x14ac:dyDescent="0.25">
      <c r="B220" s="17" t="s">
        <v>122</v>
      </c>
      <c r="C220" s="6">
        <f t="shared" si="38"/>
        <v>218</v>
      </c>
      <c r="D220" s="6">
        <v>8</v>
      </c>
      <c r="E220" s="12">
        <f t="shared" si="34"/>
        <v>12.87473065884646</v>
      </c>
      <c r="F220" s="12">
        <f t="shared" si="39"/>
        <v>3.5763140719017943</v>
      </c>
      <c r="G220" s="13">
        <f t="shared" si="40"/>
        <v>1633.7496758965387</v>
      </c>
      <c r="H220" s="12">
        <f t="shared" si="41"/>
        <v>3.5763140719017943</v>
      </c>
      <c r="I220" s="12">
        <f t="shared" si="42"/>
        <v>0</v>
      </c>
      <c r="J220" s="6">
        <f t="shared" si="43"/>
        <v>1</v>
      </c>
      <c r="K220" s="6">
        <v>0</v>
      </c>
      <c r="L220" s="12">
        <f>('1-Specification &amp; Data'!B$22*'1-Specification &amp; Data'!B$10*'1-Specification &amp; Data'!B$20*('1-Simulation'!F220^2-'1-Specification &amp; Data'!B$21^2))/2</f>
        <v>3.6750320667737468</v>
      </c>
      <c r="M220" s="6">
        <f t="shared" si="35"/>
        <v>0</v>
      </c>
      <c r="N220" s="12">
        <f>'1-Specification &amp; Data'!B$24*'1-Specification &amp; Data'!B$18*8.91</f>
        <v>117.00800891999999</v>
      </c>
      <c r="O220" s="12">
        <f t="shared" si="36"/>
        <v>120.68304098677375</v>
      </c>
      <c r="P220" s="14">
        <f t="shared" si="37"/>
        <v>120.68304098677375</v>
      </c>
      <c r="Q220" s="12">
        <f>IF(J220=1,'1-Specification &amp; Data'!B$52,IF('1-Simulation'!J220=2,'1-Specification &amp; Data'!B$53,IF('1-Simulation'!J220=3,'1-Specification &amp; Data'!B$54)))</f>
        <v>713.06421115882472</v>
      </c>
      <c r="R220" s="12">
        <f>(0.5*'1-Specification &amp; Data'!B$18*'1-Simulation'!F220^2)/1000</f>
        <v>4.1990321216302275</v>
      </c>
      <c r="S220" s="6">
        <f t="shared" si="33"/>
        <v>0</v>
      </c>
      <c r="T220" s="12">
        <v>0</v>
      </c>
      <c r="U220" s="14">
        <f>O220*'1-Specification &amp; Data'!B$14*0.9</f>
        <v>32.027422415720729</v>
      </c>
    </row>
    <row r="221" spans="2:21" x14ac:dyDescent="0.25">
      <c r="C221" s="6">
        <f t="shared" si="38"/>
        <v>219</v>
      </c>
      <c r="D221" s="6">
        <v>9</v>
      </c>
      <c r="E221" s="12">
        <f t="shared" si="34"/>
        <v>14.484071991202267</v>
      </c>
      <c r="F221" s="12">
        <f t="shared" si="39"/>
        <v>4.0233533308895186</v>
      </c>
      <c r="G221" s="13">
        <f t="shared" si="40"/>
        <v>1637.5495095979345</v>
      </c>
      <c r="H221" s="12">
        <f t="shared" si="41"/>
        <v>3.7998337013956567</v>
      </c>
      <c r="I221" s="12">
        <f t="shared" si="42"/>
        <v>0.44703925898772479</v>
      </c>
      <c r="J221" s="6">
        <f t="shared" si="43"/>
        <v>1</v>
      </c>
      <c r="K221" s="6">
        <v>0</v>
      </c>
      <c r="L221" s="12">
        <f>('1-Specification &amp; Data'!B$22*'1-Specification &amp; Data'!B$10*'1-Specification &amp; Data'!B$20*('1-Simulation'!F221^2-'1-Specification &amp; Data'!B$21^2))/2</f>
        <v>5.27221431458607</v>
      </c>
      <c r="M221" s="6">
        <f t="shared" si="35"/>
        <v>318.76769656710752</v>
      </c>
      <c r="N221" s="12">
        <f>'1-Specification &amp; Data'!B$24*'1-Specification &amp; Data'!B$18*8.91</f>
        <v>117.00800891999999</v>
      </c>
      <c r="O221" s="12">
        <f t="shared" si="36"/>
        <v>441.04791980169358</v>
      </c>
      <c r="P221" s="14">
        <f t="shared" si="37"/>
        <v>441.04791980169358</v>
      </c>
      <c r="Q221" s="12">
        <f>IF(J221=1,'1-Specification &amp; Data'!B$52,IF('1-Simulation'!J221=2,'1-Specification &amp; Data'!B$53,IF('1-Simulation'!J221=3,'1-Specification &amp; Data'!B$54)))</f>
        <v>713.06421115882472</v>
      </c>
      <c r="R221" s="12">
        <f>(0.5*'1-Specification &amp; Data'!B$18*'1-Simulation'!F221^2)/1000</f>
        <v>5.3144000289382562</v>
      </c>
      <c r="S221" s="6">
        <f t="shared" si="33"/>
        <v>0</v>
      </c>
      <c r="T221" s="12">
        <v>0</v>
      </c>
      <c r="U221" s="14">
        <f>O221*'1-Specification &amp; Data'!B$14*0.9</f>
        <v>117.04733256275715</v>
      </c>
    </row>
    <row r="222" spans="2:21" x14ac:dyDescent="0.25">
      <c r="C222" s="6">
        <f t="shared" si="38"/>
        <v>220</v>
      </c>
      <c r="D222" s="6">
        <v>10</v>
      </c>
      <c r="E222" s="12">
        <f t="shared" si="34"/>
        <v>16.093413323558075</v>
      </c>
      <c r="F222" s="12">
        <f t="shared" si="39"/>
        <v>4.4703925898772425</v>
      </c>
      <c r="G222" s="13">
        <f t="shared" si="40"/>
        <v>1641.7963825583179</v>
      </c>
      <c r="H222" s="12">
        <f t="shared" si="41"/>
        <v>4.2468729603833806</v>
      </c>
      <c r="I222" s="12">
        <f t="shared" si="42"/>
        <v>0.4470392589877239</v>
      </c>
      <c r="J222" s="6">
        <f t="shared" si="43"/>
        <v>1</v>
      </c>
      <c r="K222" s="6">
        <v>0</v>
      </c>
      <c r="L222" s="12">
        <f>('1-Specification &amp; Data'!B$22*'1-Specification &amp; Data'!B$10*'1-Specification &amp; Data'!B$20*('1-Simulation'!F222^2-'1-Specification &amp; Data'!B$21^2))/2</f>
        <v>7.0573003562586658</v>
      </c>
      <c r="M222" s="6">
        <f t="shared" si="35"/>
        <v>318.7676965671069</v>
      </c>
      <c r="N222" s="12">
        <f>'1-Specification &amp; Data'!B$24*'1-Specification &amp; Data'!B$18*8.91</f>
        <v>117.00800891999999</v>
      </c>
      <c r="O222" s="12">
        <f t="shared" si="36"/>
        <v>442.83300584336558</v>
      </c>
      <c r="P222" s="14">
        <f t="shared" si="37"/>
        <v>442.83300584336558</v>
      </c>
      <c r="Q222" s="12">
        <f>IF(J222=1,'1-Specification &amp; Data'!B$52,IF('1-Simulation'!J222=2,'1-Specification &amp; Data'!B$53,IF('1-Simulation'!J222=3,'1-Specification &amp; Data'!B$54)))</f>
        <v>713.06421115882472</v>
      </c>
      <c r="R222" s="12">
        <f>(0.5*'1-Specification &amp; Data'!B$18*'1-Simulation'!F222^2)/1000</f>
        <v>6.560987690047229</v>
      </c>
      <c r="S222" s="6">
        <f t="shared" si="33"/>
        <v>0</v>
      </c>
      <c r="T222" s="12">
        <v>0</v>
      </c>
      <c r="U222" s="14">
        <f>O222*'1-Specification &amp; Data'!B$14*0.9</f>
        <v>117.52106693535471</v>
      </c>
    </row>
    <row r="223" spans="2:21" x14ac:dyDescent="0.25">
      <c r="C223" s="6">
        <f t="shared" si="38"/>
        <v>221</v>
      </c>
      <c r="D223" s="6">
        <v>10.199999999999999</v>
      </c>
      <c r="E223" s="12">
        <f t="shared" si="34"/>
        <v>16.415281590029235</v>
      </c>
      <c r="F223" s="12">
        <f t="shared" si="39"/>
        <v>4.5598004416747875</v>
      </c>
      <c r="G223" s="13">
        <f t="shared" si="40"/>
        <v>1646.311479074094</v>
      </c>
      <c r="H223" s="12">
        <f t="shared" si="41"/>
        <v>4.5150965157760155</v>
      </c>
      <c r="I223" s="12">
        <f t="shared" si="42"/>
        <v>8.9407851797545845E-2</v>
      </c>
      <c r="J223" s="6">
        <f t="shared" si="43"/>
        <v>2</v>
      </c>
      <c r="K223" s="6">
        <v>0</v>
      </c>
      <c r="L223" s="12">
        <f>('1-Specification &amp; Data'!B$22*'1-Specification &amp; Data'!B$10*'1-Specification &amp; Data'!B$20*('1-Simulation'!F223^2-'1-Specification &amp; Data'!B$21^2))/2</f>
        <v>7.436866019856418</v>
      </c>
      <c r="M223" s="6">
        <f t="shared" si="35"/>
        <v>63.020802209110848</v>
      </c>
      <c r="N223" s="12">
        <f>'1-Specification &amp; Data'!B$24*'1-Specification &amp; Data'!B$18*8.91</f>
        <v>117.00800891999999</v>
      </c>
      <c r="O223" s="12">
        <f t="shared" si="36"/>
        <v>187.46567714896725</v>
      </c>
      <c r="P223" s="14">
        <f t="shared" si="37"/>
        <v>187.46567714896725</v>
      </c>
      <c r="Q223" s="12">
        <f>IF(J223=1,'1-Specification &amp; Data'!B$52,IF('1-Simulation'!J223=2,'1-Specification &amp; Data'!B$53,IF('1-Simulation'!J223=3,'1-Specification &amp; Data'!B$54)))</f>
        <v>704.8687664682343</v>
      </c>
      <c r="R223" s="12">
        <f>(0.5*'1-Specification &amp; Data'!B$18*'1-Simulation'!F223^2)/1000</f>
        <v>6.8260515927251371</v>
      </c>
      <c r="S223" s="6">
        <f t="shared" si="33"/>
        <v>0</v>
      </c>
      <c r="T223" s="12">
        <v>0</v>
      </c>
      <c r="U223" s="14">
        <f>O223*'1-Specification &amp; Data'!B$14*0.9</f>
        <v>49.750506627995158</v>
      </c>
    </row>
    <row r="224" spans="2:21" x14ac:dyDescent="0.25">
      <c r="C224" s="6">
        <f t="shared" si="38"/>
        <v>222</v>
      </c>
      <c r="D224" s="6">
        <v>12.5</v>
      </c>
      <c r="E224" s="12">
        <f t="shared" si="34"/>
        <v>20.116766654447591</v>
      </c>
      <c r="F224" s="12">
        <f t="shared" si="39"/>
        <v>5.5879907373465532</v>
      </c>
      <c r="G224" s="13">
        <f t="shared" si="40"/>
        <v>1651.3853746636046</v>
      </c>
      <c r="H224" s="12">
        <f t="shared" si="41"/>
        <v>5.0738955895106699</v>
      </c>
      <c r="I224" s="12">
        <f t="shared" si="42"/>
        <v>1.0281902956717648</v>
      </c>
      <c r="J224" s="6">
        <f t="shared" si="43"/>
        <v>2</v>
      </c>
      <c r="K224" s="6">
        <v>0</v>
      </c>
      <c r="L224" s="12">
        <f>('1-Specification &amp; Data'!B$22*'1-Specification &amp; Data'!B$10*'1-Specification &amp; Data'!B$20*('1-Simulation'!F224^2-'1-Specification &amp; Data'!B$21^2))/2</f>
        <v>12.342094558578854</v>
      </c>
      <c r="M224" s="6">
        <f t="shared" si="35"/>
        <v>724.73922540476599</v>
      </c>
      <c r="N224" s="12">
        <f>'1-Specification &amp; Data'!B$24*'1-Specification &amp; Data'!B$18*8.91</f>
        <v>117.00800891999999</v>
      </c>
      <c r="O224" s="12">
        <f t="shared" si="36"/>
        <v>854.08932888334482</v>
      </c>
      <c r="P224" s="14">
        <f t="shared" si="37"/>
        <v>854.08932888334482</v>
      </c>
      <c r="Q224" s="12">
        <f>IF(J224=1,'1-Specification &amp; Data'!B$52,IF('1-Simulation'!J224=2,'1-Specification &amp; Data'!B$53,IF('1-Simulation'!J224=3,'1-Specification &amp; Data'!B$54)))</f>
        <v>704.8687664682343</v>
      </c>
      <c r="R224" s="12">
        <f>(0.5*'1-Specification &amp; Data'!B$18*'1-Simulation'!F224^2)/1000</f>
        <v>10.251543265698796</v>
      </c>
      <c r="S224" s="6">
        <f t="shared" si="33"/>
        <v>0</v>
      </c>
      <c r="T224" s="12">
        <v>0</v>
      </c>
      <c r="U224" s="14">
        <f>O224*'1-Specification &amp; Data'!B$14*0.9</f>
        <v>226.66216804981073</v>
      </c>
    </row>
    <row r="225" spans="2:21" x14ac:dyDescent="0.25">
      <c r="C225" s="6">
        <f t="shared" si="38"/>
        <v>223</v>
      </c>
      <c r="D225" s="6">
        <v>15</v>
      </c>
      <c r="E225" s="12">
        <f t="shared" si="34"/>
        <v>24.140119985337112</v>
      </c>
      <c r="F225" s="12">
        <f t="shared" si="39"/>
        <v>6.7055888848158638</v>
      </c>
      <c r="G225" s="13">
        <f t="shared" si="40"/>
        <v>1657.5321644746857</v>
      </c>
      <c r="H225" s="12">
        <f t="shared" si="41"/>
        <v>6.1467898110812085</v>
      </c>
      <c r="I225" s="12">
        <f t="shared" si="42"/>
        <v>1.1175981474693106</v>
      </c>
      <c r="J225" s="6">
        <f t="shared" si="43"/>
        <v>2</v>
      </c>
      <c r="K225" s="6">
        <v>0</v>
      </c>
      <c r="L225" s="12">
        <f>('1-Specification &amp; Data'!B$22*'1-Specification &amp; Data'!B$10*'1-Specification &amp; Data'!B$20*('1-Simulation'!F225^2-'1-Specification &amp; Data'!B$21^2))/2</f>
        <v>18.801287472525743</v>
      </c>
      <c r="M225" s="6">
        <f t="shared" si="35"/>
        <v>787.76002761387679</v>
      </c>
      <c r="N225" s="12">
        <f>'1-Specification &amp; Data'!B$24*'1-Specification &amp; Data'!B$18*8.91</f>
        <v>117.00800891999999</v>
      </c>
      <c r="O225" s="12">
        <f t="shared" si="36"/>
        <v>923.56932400640244</v>
      </c>
      <c r="P225" s="14">
        <f t="shared" si="37"/>
        <v>923.56932400640244</v>
      </c>
      <c r="Q225" s="12">
        <f>IF(J225=1,'1-Specification &amp; Data'!B$52,IF('1-Simulation'!J225=2,'1-Specification &amp; Data'!B$53,IF('1-Simulation'!J225=3,'1-Specification &amp; Data'!B$54)))</f>
        <v>704.8687664682343</v>
      </c>
      <c r="R225" s="12">
        <f>(0.5*'1-Specification &amp; Data'!B$18*'1-Simulation'!F225^2)/1000</f>
        <v>14.762222302606265</v>
      </c>
      <c r="S225" s="6">
        <f t="shared" si="33"/>
        <v>0</v>
      </c>
      <c r="T225" s="12">
        <v>0</v>
      </c>
      <c r="U225" s="14">
        <f>O225*'1-Specification &amp; Data'!B$14*0.9</f>
        <v>245.10108983246832</v>
      </c>
    </row>
    <row r="226" spans="2:21" x14ac:dyDescent="0.25">
      <c r="C226" s="6">
        <f t="shared" si="38"/>
        <v>224</v>
      </c>
      <c r="D226" s="6">
        <v>17.5</v>
      </c>
      <c r="E226" s="12">
        <f t="shared" si="34"/>
        <v>28.163473316226629</v>
      </c>
      <c r="F226" s="12">
        <f t="shared" si="39"/>
        <v>7.8231870322851744</v>
      </c>
      <c r="G226" s="13">
        <f t="shared" si="40"/>
        <v>1664.7965524332362</v>
      </c>
      <c r="H226" s="12">
        <f t="shared" si="41"/>
        <v>7.2643879585505191</v>
      </c>
      <c r="I226" s="12">
        <f t="shared" si="42"/>
        <v>1.1175981474693106</v>
      </c>
      <c r="J226" s="6">
        <f t="shared" si="43"/>
        <v>2</v>
      </c>
      <c r="K226" s="6">
        <v>0</v>
      </c>
      <c r="L226" s="12">
        <f>('1-Specification &amp; Data'!B$22*'1-Specification &amp; Data'!B$10*'1-Specification &amp; Data'!B$20*('1-Simulation'!F226^2-'1-Specification &amp; Data'!B$21^2))/2</f>
        <v>26.434879098099351</v>
      </c>
      <c r="M226" s="6">
        <f t="shared" si="35"/>
        <v>787.76002761387679</v>
      </c>
      <c r="N226" s="12">
        <f>'1-Specification &amp; Data'!B$24*'1-Specification &amp; Data'!B$18*8.91</f>
        <v>117.00800891999999</v>
      </c>
      <c r="O226" s="12">
        <f t="shared" si="36"/>
        <v>931.20291563197611</v>
      </c>
      <c r="P226" s="14">
        <f t="shared" si="37"/>
        <v>931.20291563197611</v>
      </c>
      <c r="Q226" s="12">
        <f>IF(J226=1,'1-Specification &amp; Data'!B$52,IF('1-Simulation'!J226=2,'1-Specification &amp; Data'!B$53,IF('1-Simulation'!J226=3,'1-Specification &amp; Data'!B$54)))</f>
        <v>704.8687664682343</v>
      </c>
      <c r="R226" s="12">
        <f>(0.5*'1-Specification &amp; Data'!B$18*'1-Simulation'!F226^2)/1000</f>
        <v>20.093024800769641</v>
      </c>
      <c r="S226" s="6">
        <f t="shared" si="33"/>
        <v>0</v>
      </c>
      <c r="T226" s="12">
        <v>0</v>
      </c>
      <c r="U226" s="14">
        <f>O226*'1-Specification &amp; Data'!B$14*0.9</f>
        <v>247.12692761002444</v>
      </c>
    </row>
    <row r="227" spans="2:21" x14ac:dyDescent="0.25">
      <c r="C227" s="6">
        <f t="shared" si="38"/>
        <v>225</v>
      </c>
      <c r="D227" s="6">
        <v>20</v>
      </c>
      <c r="E227" s="12">
        <f t="shared" si="34"/>
        <v>32.186826647116149</v>
      </c>
      <c r="F227" s="12">
        <f t="shared" si="39"/>
        <v>8.9407851797544851</v>
      </c>
      <c r="G227" s="13">
        <f t="shared" si="40"/>
        <v>1673.1785385392561</v>
      </c>
      <c r="H227" s="12">
        <f t="shared" si="41"/>
        <v>8.3819861060198306</v>
      </c>
      <c r="I227" s="12">
        <f t="shared" si="42"/>
        <v>1.1175981474693124</v>
      </c>
      <c r="J227" s="6">
        <f t="shared" si="43"/>
        <v>2</v>
      </c>
      <c r="K227" s="6">
        <v>0</v>
      </c>
      <c r="L227" s="12">
        <f>('1-Specification &amp; Data'!B$22*'1-Specification &amp; Data'!B$10*'1-Specification &amp; Data'!B$20*('1-Simulation'!F227^2-'1-Specification &amp; Data'!B$21^2))/2</f>
        <v>35.24286943529966</v>
      </c>
      <c r="M227" s="6">
        <f t="shared" si="35"/>
        <v>787.76002761387804</v>
      </c>
      <c r="N227" s="12">
        <f>'1-Specification &amp; Data'!B$24*'1-Specification &amp; Data'!B$18*8.91</f>
        <v>117.00800891999999</v>
      </c>
      <c r="O227" s="12">
        <f t="shared" si="36"/>
        <v>940.01090596917766</v>
      </c>
      <c r="P227" s="14">
        <f t="shared" si="37"/>
        <v>940.01090596917766</v>
      </c>
      <c r="Q227" s="12">
        <f>IF(J227=1,'1-Specification &amp; Data'!B$52,IF('1-Simulation'!J227=2,'1-Specification &amp; Data'!B$53,IF('1-Simulation'!J227=3,'1-Specification &amp; Data'!B$54)))</f>
        <v>704.8687664682343</v>
      </c>
      <c r="R227" s="12">
        <f>(0.5*'1-Specification &amp; Data'!B$18*'1-Simulation'!F227^2)/1000</f>
        <v>26.243950760188916</v>
      </c>
      <c r="S227" s="6">
        <f t="shared" si="33"/>
        <v>0</v>
      </c>
      <c r="T227" s="12">
        <v>0</v>
      </c>
      <c r="U227" s="14">
        <f>O227*'1-Specification &amp; Data'!B$14*0.9</f>
        <v>249.46443273797405</v>
      </c>
    </row>
    <row r="228" spans="2:21" x14ac:dyDescent="0.25">
      <c r="C228" s="6">
        <f t="shared" si="38"/>
        <v>226</v>
      </c>
      <c r="D228" s="6">
        <v>20.2</v>
      </c>
      <c r="E228" s="12">
        <f t="shared" si="34"/>
        <v>32.508694913587306</v>
      </c>
      <c r="F228" s="12">
        <f t="shared" si="39"/>
        <v>9.0301930315520291</v>
      </c>
      <c r="G228" s="13">
        <f t="shared" si="40"/>
        <v>1682.1640276449093</v>
      </c>
      <c r="H228" s="12">
        <f t="shared" si="41"/>
        <v>8.985489105653258</v>
      </c>
      <c r="I228" s="12">
        <f t="shared" si="42"/>
        <v>8.9407851797545845E-2</v>
      </c>
      <c r="J228" s="6">
        <f t="shared" si="43"/>
        <v>3</v>
      </c>
      <c r="K228" s="6">
        <v>0</v>
      </c>
      <c r="L228" s="12">
        <f>('1-Specification &amp; Data'!B$22*'1-Specification &amp; Data'!B$10*'1-Specification &amp; Data'!B$20*('1-Simulation'!F228^2-'1-Specification &amp; Data'!B$21^2))/2</f>
        <v>35.998242686617957</v>
      </c>
      <c r="M228" s="6">
        <f t="shared" si="35"/>
        <v>62.5992371119696</v>
      </c>
      <c r="N228" s="12">
        <f>'1-Specification &amp; Data'!B$24*'1-Specification &amp; Data'!B$18*8.91</f>
        <v>117.00800891999999</v>
      </c>
      <c r="O228" s="12">
        <f t="shared" si="36"/>
        <v>215.60548871858754</v>
      </c>
      <c r="P228" s="14">
        <f t="shared" si="37"/>
        <v>215.60548871858754</v>
      </c>
      <c r="Q228" s="12">
        <f>IF(J228=1,'1-Specification &amp; Data'!B$52,IF('1-Simulation'!J228=2,'1-Specification &amp; Data'!B$53,IF('1-Simulation'!J228=3,'1-Specification &amp; Data'!B$54)))</f>
        <v>700.1536873262387</v>
      </c>
      <c r="R228" s="12">
        <f>(0.5*'1-Specification &amp; Data'!B$18*'1-Simulation'!F228^2)/1000</f>
        <v>26.771454170468708</v>
      </c>
      <c r="S228" s="6">
        <f t="shared" si="33"/>
        <v>0</v>
      </c>
      <c r="T228" s="12">
        <v>0</v>
      </c>
      <c r="U228" s="14">
        <f>O228*'1-Specification &amp; Data'!B$14*0.9</f>
        <v>57.218379698394386</v>
      </c>
    </row>
    <row r="229" spans="2:21" x14ac:dyDescent="0.25">
      <c r="C229" s="6">
        <f t="shared" si="38"/>
        <v>227</v>
      </c>
      <c r="D229" s="6">
        <v>21</v>
      </c>
      <c r="E229" s="12">
        <f t="shared" si="34"/>
        <v>33.796167979471953</v>
      </c>
      <c r="F229" s="12">
        <f t="shared" si="39"/>
        <v>9.387824438742209</v>
      </c>
      <c r="G229" s="13">
        <f t="shared" si="40"/>
        <v>1691.3730363800564</v>
      </c>
      <c r="H229" s="12">
        <f t="shared" si="41"/>
        <v>9.209008735147119</v>
      </c>
      <c r="I229" s="12">
        <f t="shared" si="42"/>
        <v>0.35763140719017983</v>
      </c>
      <c r="J229" s="6">
        <f t="shared" si="43"/>
        <v>3</v>
      </c>
      <c r="K229" s="6">
        <v>0</v>
      </c>
      <c r="L229" s="12">
        <f>('1-Specification &amp; Data'!B$22*'1-Specification &amp; Data'!B$10*'1-Specification &amp; Data'!B$20*('1-Simulation'!F229^2-'1-Specification &amp; Data'!B$21^2))/2</f>
        <v>39.094897209435267</v>
      </c>
      <c r="M229" s="6">
        <f t="shared" si="35"/>
        <v>250.39694844787593</v>
      </c>
      <c r="N229" s="12">
        <f>'1-Specification &amp; Data'!B$24*'1-Specification &amp; Data'!B$18*8.91</f>
        <v>117.00800891999999</v>
      </c>
      <c r="O229" s="12">
        <f t="shared" si="36"/>
        <v>406.49985457731123</v>
      </c>
      <c r="P229" s="14">
        <f t="shared" si="37"/>
        <v>406.49985457731123</v>
      </c>
      <c r="Q229" s="12">
        <f>IF(J229=1,'1-Specification &amp; Data'!B$52,IF('1-Simulation'!J229=2,'1-Specification &amp; Data'!B$53,IF('1-Simulation'!J229=3,'1-Specification &amp; Data'!B$54)))</f>
        <v>700.1536873262387</v>
      </c>
      <c r="R229" s="12">
        <f>(0.5*'1-Specification &amp; Data'!B$18*'1-Simulation'!F229^2)/1000</f>
        <v>28.933955713108279</v>
      </c>
      <c r="S229" s="6">
        <f t="shared" si="33"/>
        <v>0</v>
      </c>
      <c r="T229" s="12">
        <v>0</v>
      </c>
      <c r="U229" s="14">
        <f>O229*'1-Specification &amp; Data'!B$14*0.9</f>
        <v>107.87880756090182</v>
      </c>
    </row>
    <row r="230" spans="2:21" x14ac:dyDescent="0.25">
      <c r="B230" s="17" t="s">
        <v>123</v>
      </c>
      <c r="C230" s="6">
        <f t="shared" si="38"/>
        <v>228</v>
      </c>
      <c r="D230" s="6">
        <v>21</v>
      </c>
      <c r="E230" s="12">
        <f t="shared" si="34"/>
        <v>33.796167979471953</v>
      </c>
      <c r="F230" s="12">
        <f t="shared" si="39"/>
        <v>9.387824438742209</v>
      </c>
      <c r="G230" s="13">
        <f t="shared" si="40"/>
        <v>1700.7608608187986</v>
      </c>
      <c r="H230" s="12">
        <f t="shared" si="41"/>
        <v>9.387824438742209</v>
      </c>
      <c r="I230" s="12">
        <f t="shared" si="42"/>
        <v>0</v>
      </c>
      <c r="J230" s="6">
        <f t="shared" si="43"/>
        <v>3</v>
      </c>
      <c r="K230" s="6">
        <f>'1-Specification &amp; Data'!B$18*9.81*'1-Specification &amp; Data'!L$15</f>
        <v>760.27253884757999</v>
      </c>
      <c r="L230" s="12">
        <f>('1-Specification &amp; Data'!B$22*'1-Specification &amp; Data'!B$10*'1-Specification &amp; Data'!B$20*('1-Simulation'!F230^2-'1-Specification &amp; Data'!B$21^2))/2</f>
        <v>39.094897209435267</v>
      </c>
      <c r="M230" s="6">
        <f t="shared" si="35"/>
        <v>0</v>
      </c>
      <c r="N230" s="12">
        <f>'1-Specification &amp; Data'!B$24*'1-Specification &amp; Data'!B$18*8.91</f>
        <v>117.00800891999999</v>
      </c>
      <c r="O230" s="12">
        <f t="shared" si="36"/>
        <v>916.37544497701526</v>
      </c>
      <c r="P230" s="14">
        <f t="shared" si="37"/>
        <v>916.37544497701526</v>
      </c>
      <c r="Q230" s="12">
        <f>IF(J230=1,'1-Specification &amp; Data'!B$52,IF('1-Simulation'!J230=2,'1-Specification &amp; Data'!B$53,IF('1-Simulation'!J230=3,'1-Specification &amp; Data'!B$54)))</f>
        <v>700.1536873262387</v>
      </c>
      <c r="R230" s="12">
        <f>(0.5*'1-Specification &amp; Data'!B$18*'1-Simulation'!F230^2)/1000</f>
        <v>28.933955713108279</v>
      </c>
      <c r="S230" s="6">
        <f t="shared" si="33"/>
        <v>0</v>
      </c>
      <c r="T230" s="12">
        <v>0</v>
      </c>
      <c r="U230" s="14">
        <f>O230*'1-Specification &amp; Data'!B$14*0.9</f>
        <v>243.19194501313098</v>
      </c>
    </row>
    <row r="231" spans="2:21" x14ac:dyDescent="0.25">
      <c r="B231" s="17" t="s">
        <v>123</v>
      </c>
      <c r="C231" s="6">
        <f t="shared" si="38"/>
        <v>229</v>
      </c>
      <c r="D231" s="6">
        <v>21</v>
      </c>
      <c r="E231" s="12">
        <f t="shared" si="34"/>
        <v>33.796167979471953</v>
      </c>
      <c r="F231" s="12">
        <f t="shared" si="39"/>
        <v>9.387824438742209</v>
      </c>
      <c r="G231" s="13">
        <f t="shared" si="40"/>
        <v>1710.1486852575408</v>
      </c>
      <c r="H231" s="12">
        <f t="shared" si="41"/>
        <v>9.387824438742209</v>
      </c>
      <c r="I231" s="12">
        <f t="shared" si="42"/>
        <v>0</v>
      </c>
      <c r="J231" s="6">
        <f t="shared" si="43"/>
        <v>3</v>
      </c>
      <c r="K231" s="6">
        <f>'1-Specification &amp; Data'!B$18*9.81*'1-Specification &amp; Data'!L$15</f>
        <v>760.27253884757999</v>
      </c>
      <c r="L231" s="12">
        <f>('1-Specification &amp; Data'!B$22*'1-Specification &amp; Data'!B$10*'1-Specification &amp; Data'!B$20*('1-Simulation'!F231^2-'1-Specification &amp; Data'!B$21^2))/2</f>
        <v>39.094897209435267</v>
      </c>
      <c r="M231" s="6">
        <f t="shared" si="35"/>
        <v>0</v>
      </c>
      <c r="N231" s="12">
        <f>'1-Specification &amp; Data'!B$24*'1-Specification &amp; Data'!B$18*8.91</f>
        <v>117.00800891999999</v>
      </c>
      <c r="O231" s="12">
        <f t="shared" si="36"/>
        <v>916.37544497701526</v>
      </c>
      <c r="P231" s="14">
        <f t="shared" si="37"/>
        <v>916.37544497701526</v>
      </c>
      <c r="Q231" s="12">
        <f>IF(J231=1,'1-Specification &amp; Data'!B$52,IF('1-Simulation'!J231=2,'1-Specification &amp; Data'!B$53,IF('1-Simulation'!J231=3,'1-Specification &amp; Data'!B$54)))</f>
        <v>700.1536873262387</v>
      </c>
      <c r="R231" s="12">
        <f>(0.5*'1-Specification &amp; Data'!B$18*'1-Simulation'!F231^2)/1000</f>
        <v>28.933955713108279</v>
      </c>
      <c r="S231" s="6">
        <f t="shared" si="33"/>
        <v>9.5623363818917344</v>
      </c>
      <c r="T231" s="12">
        <v>1.3922000000000001</v>
      </c>
      <c r="U231" s="14">
        <f>O231*'1-Specification &amp; Data'!B$14*0.9</f>
        <v>243.19194501313098</v>
      </c>
    </row>
    <row r="232" spans="2:21" x14ac:dyDescent="0.25">
      <c r="B232" s="17" t="s">
        <v>123</v>
      </c>
      <c r="C232" s="6">
        <f t="shared" si="38"/>
        <v>230</v>
      </c>
      <c r="D232" s="6">
        <v>21</v>
      </c>
      <c r="E232" s="12">
        <f t="shared" si="34"/>
        <v>33.796167979471953</v>
      </c>
      <c r="F232" s="12">
        <f t="shared" si="39"/>
        <v>9.387824438742209</v>
      </c>
      <c r="G232" s="13">
        <f t="shared" si="40"/>
        <v>1719.536509696283</v>
      </c>
      <c r="H232" s="12">
        <f t="shared" si="41"/>
        <v>9.387824438742209</v>
      </c>
      <c r="I232" s="12">
        <f t="shared" si="42"/>
        <v>0</v>
      </c>
      <c r="J232" s="6">
        <f t="shared" si="43"/>
        <v>3</v>
      </c>
      <c r="K232" s="6">
        <f>'1-Specification &amp; Data'!B$18*9.81*'1-Specification &amp; Data'!L$15</f>
        <v>760.27253884757999</v>
      </c>
      <c r="L232" s="12">
        <f>('1-Specification &amp; Data'!B$22*'1-Specification &amp; Data'!B$10*'1-Specification &amp; Data'!B$20*('1-Simulation'!F232^2-'1-Specification &amp; Data'!B$21^2))/2</f>
        <v>39.094897209435267</v>
      </c>
      <c r="M232" s="6">
        <f t="shared" si="35"/>
        <v>0</v>
      </c>
      <c r="N232" s="12">
        <f>'1-Specification &amp; Data'!B$24*'1-Specification &amp; Data'!B$18*8.91</f>
        <v>117.00800891999999</v>
      </c>
      <c r="O232" s="12">
        <f t="shared" si="36"/>
        <v>916.37544497701526</v>
      </c>
      <c r="P232" s="14">
        <f t="shared" si="37"/>
        <v>916.37544497701526</v>
      </c>
      <c r="Q232" s="12">
        <f>IF(J232=1,'1-Specification &amp; Data'!B$52,IF('1-Simulation'!J232=2,'1-Specification &amp; Data'!B$53,IF('1-Simulation'!J232=3,'1-Specification &amp; Data'!B$54)))</f>
        <v>700.1536873262387</v>
      </c>
      <c r="R232" s="12">
        <f>(0.5*'1-Specification &amp; Data'!B$18*'1-Simulation'!F232^2)/1000</f>
        <v>28.933955713108279</v>
      </c>
      <c r="S232" s="6">
        <f t="shared" si="33"/>
        <v>19.124672763783469</v>
      </c>
      <c r="T232" s="12">
        <f>T231*2</f>
        <v>2.7844000000000002</v>
      </c>
      <c r="U232" s="14">
        <f>O232*'1-Specification &amp; Data'!B$14*0.9</f>
        <v>243.19194501313098</v>
      </c>
    </row>
    <row r="233" spans="2:21" x14ac:dyDescent="0.25">
      <c r="B233" s="17" t="s">
        <v>123</v>
      </c>
      <c r="C233" s="6">
        <f t="shared" si="38"/>
        <v>231</v>
      </c>
      <c r="D233" s="6">
        <v>21</v>
      </c>
      <c r="E233" s="12">
        <f t="shared" si="34"/>
        <v>33.796167979471953</v>
      </c>
      <c r="F233" s="12">
        <f t="shared" si="39"/>
        <v>9.387824438742209</v>
      </c>
      <c r="G233" s="13">
        <f t="shared" si="40"/>
        <v>1728.9243341350252</v>
      </c>
      <c r="H233" s="12">
        <f t="shared" si="41"/>
        <v>9.387824438742209</v>
      </c>
      <c r="I233" s="12">
        <f t="shared" si="42"/>
        <v>0</v>
      </c>
      <c r="J233" s="6">
        <f t="shared" si="43"/>
        <v>3</v>
      </c>
      <c r="K233" s="6">
        <f>'1-Specification &amp; Data'!B$18*9.81*'1-Specification &amp; Data'!L$15</f>
        <v>760.27253884757999</v>
      </c>
      <c r="L233" s="12">
        <f>('1-Specification &amp; Data'!B$22*'1-Specification &amp; Data'!B$10*'1-Specification &amp; Data'!B$20*('1-Simulation'!F233^2-'1-Specification &amp; Data'!B$21^2))/2</f>
        <v>39.094897209435267</v>
      </c>
      <c r="M233" s="6">
        <f t="shared" si="35"/>
        <v>0</v>
      </c>
      <c r="N233" s="12">
        <f>'1-Specification &amp; Data'!B$24*'1-Specification &amp; Data'!B$18*8.91</f>
        <v>117.00800891999999</v>
      </c>
      <c r="O233" s="12">
        <f t="shared" si="36"/>
        <v>916.37544497701526</v>
      </c>
      <c r="P233" s="14">
        <f t="shared" si="37"/>
        <v>916.37544497701526</v>
      </c>
      <c r="Q233" s="12">
        <f>IF(J233=1,'1-Specification &amp; Data'!B$52,IF('1-Simulation'!J233=2,'1-Specification &amp; Data'!B$53,IF('1-Simulation'!J233=3,'1-Specification &amp; Data'!B$54)))</f>
        <v>700.1536873262387</v>
      </c>
      <c r="R233" s="12">
        <f>(0.5*'1-Specification &amp; Data'!B$18*'1-Simulation'!F233^2)/1000</f>
        <v>28.933955713108279</v>
      </c>
      <c r="S233" s="6">
        <f t="shared" si="33"/>
        <v>28.687009145675205</v>
      </c>
      <c r="T233" s="12">
        <f>T231*3</f>
        <v>4.1766000000000005</v>
      </c>
      <c r="U233" s="14">
        <f>O233*'1-Specification &amp; Data'!B$14*0.9</f>
        <v>243.19194501313098</v>
      </c>
    </row>
    <row r="234" spans="2:21" x14ac:dyDescent="0.25">
      <c r="B234" s="17" t="s">
        <v>123</v>
      </c>
      <c r="C234" s="6">
        <f t="shared" si="38"/>
        <v>232</v>
      </c>
      <c r="D234" s="6">
        <v>21</v>
      </c>
      <c r="E234" s="12">
        <f t="shared" si="34"/>
        <v>33.796167979471953</v>
      </c>
      <c r="F234" s="12">
        <f t="shared" si="39"/>
        <v>9.387824438742209</v>
      </c>
      <c r="G234" s="13">
        <f t="shared" si="40"/>
        <v>1738.3121585737674</v>
      </c>
      <c r="H234" s="12">
        <f t="shared" si="41"/>
        <v>9.387824438742209</v>
      </c>
      <c r="I234" s="12">
        <f t="shared" si="42"/>
        <v>0</v>
      </c>
      <c r="J234" s="6">
        <f t="shared" si="43"/>
        <v>3</v>
      </c>
      <c r="K234" s="6">
        <f>'1-Specification &amp; Data'!B$18*9.81*'1-Specification &amp; Data'!L$15</f>
        <v>760.27253884757999</v>
      </c>
      <c r="L234" s="12">
        <f>('1-Specification &amp; Data'!B$22*'1-Specification &amp; Data'!B$10*'1-Specification &amp; Data'!B$20*('1-Simulation'!F234^2-'1-Specification &amp; Data'!B$21^2))/2</f>
        <v>39.094897209435267</v>
      </c>
      <c r="M234" s="6">
        <f t="shared" si="35"/>
        <v>0</v>
      </c>
      <c r="N234" s="12">
        <f>'1-Specification &amp; Data'!B$24*'1-Specification &amp; Data'!B$18*8.91</f>
        <v>117.00800891999999</v>
      </c>
      <c r="O234" s="12">
        <f t="shared" si="36"/>
        <v>916.37544497701526</v>
      </c>
      <c r="P234" s="14">
        <f t="shared" si="37"/>
        <v>916.37544497701526</v>
      </c>
      <c r="Q234" s="12">
        <f>IF(J234=1,'1-Specification &amp; Data'!B$52,IF('1-Simulation'!J234=2,'1-Specification &amp; Data'!B$53,IF('1-Simulation'!J234=3,'1-Specification &amp; Data'!B$54)))</f>
        <v>700.1536873262387</v>
      </c>
      <c r="R234" s="12">
        <f>(0.5*'1-Specification &amp; Data'!B$18*'1-Simulation'!F234^2)/1000</f>
        <v>28.933955713108279</v>
      </c>
      <c r="S234" s="6">
        <f t="shared" si="33"/>
        <v>38.249345527566938</v>
      </c>
      <c r="T234" s="12">
        <f>4*T231</f>
        <v>5.5688000000000004</v>
      </c>
      <c r="U234" s="14">
        <f>O234*'1-Specification &amp; Data'!B$14*0.9</f>
        <v>243.19194501313098</v>
      </c>
    </row>
    <row r="235" spans="2:21" x14ac:dyDescent="0.25">
      <c r="C235" s="6">
        <f t="shared" si="38"/>
        <v>233</v>
      </c>
      <c r="D235" s="6">
        <v>21.5</v>
      </c>
      <c r="E235" s="12">
        <f t="shared" si="34"/>
        <v>34.600838645649858</v>
      </c>
      <c r="F235" s="12">
        <f t="shared" si="39"/>
        <v>9.6113440682360718</v>
      </c>
      <c r="G235" s="13">
        <f t="shared" si="40"/>
        <v>1747.8117428272565</v>
      </c>
      <c r="H235" s="12">
        <f t="shared" si="41"/>
        <v>9.4995842534891395</v>
      </c>
      <c r="I235" s="12">
        <f t="shared" si="42"/>
        <v>0.22351962949386106</v>
      </c>
      <c r="J235" s="6">
        <f t="shared" si="43"/>
        <v>3</v>
      </c>
      <c r="K235" s="6">
        <v>0</v>
      </c>
      <c r="L235" s="12">
        <f>('1-Specification &amp; Data'!B$22*'1-Specification &amp; Data'!B$10*'1-Specification &amp; Data'!B$20*('1-Simulation'!F235^2-'1-Specification &amp; Data'!B$21^2))/2</f>
        <v>41.091375019200676</v>
      </c>
      <c r="M235" s="6">
        <f t="shared" si="35"/>
        <v>156.49809277992151</v>
      </c>
      <c r="N235" s="12">
        <f>'1-Specification &amp; Data'!B$24*'1-Specification &amp; Data'!B$18*8.91</f>
        <v>117.00800891999999</v>
      </c>
      <c r="O235" s="12">
        <f t="shared" si="36"/>
        <v>314.5974767191222</v>
      </c>
      <c r="P235" s="14">
        <f t="shared" si="37"/>
        <v>314.5974767191222</v>
      </c>
      <c r="Q235" s="12">
        <f>IF(J235=1,'1-Specification &amp; Data'!B$52,IF('1-Simulation'!J235=2,'1-Specification &amp; Data'!B$53,IF('1-Simulation'!J235=3,'1-Specification &amp; Data'!B$54)))</f>
        <v>700.1536873262387</v>
      </c>
      <c r="R235" s="12">
        <f>(0.5*'1-Specification &amp; Data'!B$18*'1-Simulation'!F235^2)/1000</f>
        <v>30.32816559724332</v>
      </c>
      <c r="S235" s="6">
        <f t="shared" si="33"/>
        <v>38.249345527566938</v>
      </c>
      <c r="T235" s="12">
        <v>5.5688000000000004</v>
      </c>
      <c r="U235" s="14">
        <f>O235*'1-Specification &amp; Data'!B$14*0.9</f>
        <v>83.489330360074746</v>
      </c>
    </row>
    <row r="236" spans="2:21" x14ac:dyDescent="0.25">
      <c r="C236" s="6">
        <f t="shared" si="38"/>
        <v>234</v>
      </c>
      <c r="D236" s="6">
        <v>22</v>
      </c>
      <c r="E236" s="12">
        <f t="shared" si="34"/>
        <v>35.405509311827764</v>
      </c>
      <c r="F236" s="12">
        <f t="shared" si="39"/>
        <v>9.8348636977299346</v>
      </c>
      <c r="G236" s="13">
        <f t="shared" si="40"/>
        <v>1757.5348467102394</v>
      </c>
      <c r="H236" s="12">
        <f t="shared" si="41"/>
        <v>9.7231038829830041</v>
      </c>
      <c r="I236" s="12">
        <f t="shared" si="42"/>
        <v>0.22351962949386461</v>
      </c>
      <c r="J236" s="6">
        <f t="shared" si="43"/>
        <v>3</v>
      </c>
      <c r="K236" s="6">
        <v>0</v>
      </c>
      <c r="L236" s="12">
        <f>('1-Specification &amp; Data'!B$22*'1-Specification &amp; Data'!B$10*'1-Specification &amp; Data'!B$20*('1-Simulation'!F236^2-'1-Specification &amp; Data'!B$21^2))/2</f>
        <v>43.134828777431153</v>
      </c>
      <c r="M236" s="6">
        <f t="shared" si="35"/>
        <v>156.49809277992401</v>
      </c>
      <c r="N236" s="12">
        <f>'1-Specification &amp; Data'!B$24*'1-Specification &amp; Data'!B$18*8.91</f>
        <v>117.00800891999999</v>
      </c>
      <c r="O236" s="12">
        <f t="shared" si="36"/>
        <v>316.64093047735514</v>
      </c>
      <c r="P236" s="14">
        <f t="shared" si="37"/>
        <v>316.64093047735514</v>
      </c>
      <c r="Q236" s="12">
        <f>IF(J236=1,'1-Specification &amp; Data'!B$52,IF('1-Simulation'!J236=2,'1-Specification &amp; Data'!B$53,IF('1-Simulation'!J236=3,'1-Specification &amp; Data'!B$54)))</f>
        <v>700.1536873262387</v>
      </c>
      <c r="R236" s="12">
        <f>(0.5*'1-Specification &amp; Data'!B$18*'1-Simulation'!F236^2)/1000</f>
        <v>31.755180419828598</v>
      </c>
      <c r="S236" s="6">
        <f t="shared" si="33"/>
        <v>38.249345527566938</v>
      </c>
      <c r="T236" s="12">
        <v>5.5688000000000004</v>
      </c>
      <c r="U236" s="14">
        <f>O236*'1-Specification &amp; Data'!B$14*0.9</f>
        <v>84.031631549759638</v>
      </c>
    </row>
    <row r="237" spans="2:21" x14ac:dyDescent="0.25">
      <c r="C237" s="6">
        <f t="shared" si="38"/>
        <v>235</v>
      </c>
      <c r="D237" s="6">
        <v>20.5</v>
      </c>
      <c r="E237" s="12">
        <f t="shared" si="34"/>
        <v>32.991497313294055</v>
      </c>
      <c r="F237" s="12">
        <f t="shared" si="39"/>
        <v>9.1643048092483479</v>
      </c>
      <c r="G237" s="13">
        <f t="shared" si="40"/>
        <v>1767.0344309637285</v>
      </c>
      <c r="H237" s="12">
        <f t="shared" si="41"/>
        <v>9.4995842534891413</v>
      </c>
      <c r="I237" s="12">
        <f t="shared" si="42"/>
        <v>-0.67055888848158673</v>
      </c>
      <c r="J237" s="6">
        <f t="shared" si="43"/>
        <v>3</v>
      </c>
      <c r="K237" s="6">
        <v>0</v>
      </c>
      <c r="L237" s="12">
        <f>('1-Specification &amp; Data'!B$22*'1-Specification &amp; Data'!B$10*'1-Specification &amp; Data'!B$20*('1-Simulation'!F237^2-'1-Specification &amp; Data'!B$21^2))/2</f>
        <v>37.14539534813494</v>
      </c>
      <c r="M237" s="6">
        <f t="shared" si="35"/>
        <v>-469.49427833976705</v>
      </c>
      <c r="N237" s="12">
        <f>'1-Specification &amp; Data'!B$24*'1-Specification &amp; Data'!B$18*8.91</f>
        <v>117.00800891999999</v>
      </c>
      <c r="O237" s="12">
        <f t="shared" si="36"/>
        <v>-315.34087407163207</v>
      </c>
      <c r="P237" s="14">
        <f t="shared" si="37"/>
        <v>315.34087407163207</v>
      </c>
      <c r="Q237" s="12">
        <f>IF(J237=1,'1-Specification &amp; Data'!B$52,IF('1-Simulation'!J237=2,'1-Specification &amp; Data'!B$53,IF('1-Simulation'!J237=3,'1-Specification &amp; Data'!B$54)))</f>
        <v>700.1536873262387</v>
      </c>
      <c r="R237" s="12">
        <f>(0.5*'1-Specification &amp; Data'!B$18*'1-Simulation'!F237^2)/1000</f>
        <v>27.572550767423486</v>
      </c>
      <c r="S237" s="6">
        <f t="shared" si="33"/>
        <v>38.249345527566938</v>
      </c>
      <c r="T237" s="12">
        <v>5.5688000000000004</v>
      </c>
      <c r="U237" s="14">
        <f>O237*'1-Specification &amp; Data'!B$14*0.9</f>
        <v>-83.686616580548517</v>
      </c>
    </row>
    <row r="238" spans="2:21" x14ac:dyDescent="0.25">
      <c r="C238" s="6">
        <f t="shared" si="38"/>
        <v>236</v>
      </c>
      <c r="D238" s="6">
        <v>19.8</v>
      </c>
      <c r="E238" s="12">
        <f t="shared" si="34"/>
        <v>31.864958380644989</v>
      </c>
      <c r="F238" s="12">
        <f t="shared" si="39"/>
        <v>8.851377327956941</v>
      </c>
      <c r="G238" s="13">
        <f t="shared" si="40"/>
        <v>1776.0422720323311</v>
      </c>
      <c r="H238" s="12">
        <f t="shared" si="41"/>
        <v>9.0078410686026444</v>
      </c>
      <c r="I238" s="12">
        <f t="shared" si="42"/>
        <v>-0.31292748129140691</v>
      </c>
      <c r="J238" s="6">
        <f t="shared" si="43"/>
        <v>2</v>
      </c>
      <c r="K238" s="6">
        <v>0</v>
      </c>
      <c r="L238" s="12">
        <f>('1-Specification &amp; Data'!B$22*'1-Specification &amp; Data'!B$10*'1-Specification &amp; Data'!B$20*('1-Simulation'!F238^2-'1-Specification &amp; Data'!B$21^2))/2</f>
        <v>34.49501233573578</v>
      </c>
      <c r="M238" s="6">
        <f t="shared" si="35"/>
        <v>-220.57280773188546</v>
      </c>
      <c r="N238" s="12">
        <f>'1-Specification &amp; Data'!B$24*'1-Specification &amp; Data'!B$18*8.91</f>
        <v>117.00800891999999</v>
      </c>
      <c r="O238" s="12">
        <f t="shared" si="36"/>
        <v>-69.069786476149673</v>
      </c>
      <c r="P238" s="14">
        <f t="shared" si="37"/>
        <v>69.069786476149673</v>
      </c>
      <c r="Q238" s="12">
        <f>IF(J238=1,'1-Specification &amp; Data'!B$52,IF('1-Simulation'!J238=2,'1-Specification &amp; Data'!B$53,IF('1-Simulation'!J238=3,'1-Specification &amp; Data'!B$54)))</f>
        <v>704.8687664682343</v>
      </c>
      <c r="R238" s="12">
        <f>(0.5*'1-Specification &amp; Data'!B$18*'1-Simulation'!F238^2)/1000</f>
        <v>25.721696140061162</v>
      </c>
      <c r="S238" s="6">
        <f t="shared" si="33"/>
        <v>38.506929961608463</v>
      </c>
      <c r="T238" s="12">
        <v>5.5688000000000004</v>
      </c>
      <c r="U238" s="14">
        <f>O238*'1-Specification &amp; Data'!B$14*0.9</f>
        <v>-18.33005871867049</v>
      </c>
    </row>
    <row r="239" spans="2:21" x14ac:dyDescent="0.25">
      <c r="C239" s="6">
        <f t="shared" si="38"/>
        <v>237</v>
      </c>
      <c r="D239" s="6">
        <v>18</v>
      </c>
      <c r="E239" s="12">
        <f t="shared" si="34"/>
        <v>28.968143982404534</v>
      </c>
      <c r="F239" s="12">
        <f t="shared" si="39"/>
        <v>8.0467066617790373</v>
      </c>
      <c r="G239" s="13">
        <f t="shared" si="40"/>
        <v>1784.491314027199</v>
      </c>
      <c r="H239" s="12">
        <f t="shared" si="41"/>
        <v>8.44904199486799</v>
      </c>
      <c r="I239" s="12">
        <f t="shared" si="42"/>
        <v>-0.80467066617790195</v>
      </c>
      <c r="J239" s="6">
        <f t="shared" si="43"/>
        <v>2</v>
      </c>
      <c r="K239" s="6">
        <v>0</v>
      </c>
      <c r="L239" s="12">
        <f>('1-Specification &amp; Data'!B$22*'1-Specification &amp; Data'!B$10*'1-Specification &amp; Data'!B$20*('1-Simulation'!F239^2-'1-Specification &amp; Data'!B$21^2))/2</f>
        <v>28.102525268609277</v>
      </c>
      <c r="M239" s="6">
        <f t="shared" si="35"/>
        <v>-567.18721988199013</v>
      </c>
      <c r="N239" s="12">
        <f>'1-Specification &amp; Data'!B$24*'1-Specification &amp; Data'!B$18*8.91</f>
        <v>117.00800891999999</v>
      </c>
      <c r="O239" s="12">
        <f t="shared" si="36"/>
        <v>-422.07668569338085</v>
      </c>
      <c r="P239" s="14">
        <f t="shared" si="37"/>
        <v>422.07668569338085</v>
      </c>
      <c r="Q239" s="12">
        <f>IF(J239=1,'1-Specification &amp; Data'!B$52,IF('1-Simulation'!J239=2,'1-Specification &amp; Data'!B$53,IF('1-Simulation'!J239=3,'1-Specification &amp; Data'!B$54)))</f>
        <v>704.8687664682343</v>
      </c>
      <c r="R239" s="12">
        <f>(0.5*'1-Specification &amp; Data'!B$18*'1-Simulation'!F239^2)/1000</f>
        <v>21.257600115753025</v>
      </c>
      <c r="S239" s="6">
        <f t="shared" si="33"/>
        <v>38.506929961608463</v>
      </c>
      <c r="T239" s="12">
        <v>5.5688000000000004</v>
      </c>
      <c r="U239" s="14">
        <f>O239*'1-Specification &amp; Data'!B$14*0.9</f>
        <v>-112.01265889555107</v>
      </c>
    </row>
    <row r="240" spans="2:21" x14ac:dyDescent="0.25">
      <c r="C240" s="6">
        <f t="shared" si="38"/>
        <v>238</v>
      </c>
      <c r="D240" s="6">
        <v>16</v>
      </c>
      <c r="E240" s="12">
        <f t="shared" si="34"/>
        <v>25.749461317692919</v>
      </c>
      <c r="F240" s="12">
        <f t="shared" si="39"/>
        <v>7.1526281438035886</v>
      </c>
      <c r="G240" s="13">
        <f t="shared" si="40"/>
        <v>1792.0909814299903</v>
      </c>
      <c r="H240" s="12">
        <f t="shared" si="41"/>
        <v>7.5996674027913134</v>
      </c>
      <c r="I240" s="12">
        <f t="shared" si="42"/>
        <v>-0.8940785179754478</v>
      </c>
      <c r="J240" s="6">
        <f t="shared" si="43"/>
        <v>2</v>
      </c>
      <c r="K240" s="6">
        <v>0</v>
      </c>
      <c r="L240" s="12">
        <f>('1-Specification &amp; Data'!B$22*'1-Specification &amp; Data'!B$10*'1-Specification &amp; Data'!B$20*('1-Simulation'!F240^2-'1-Specification &amp; Data'!B$21^2))/2</f>
        <v>21.713796277359986</v>
      </c>
      <c r="M240" s="6">
        <f t="shared" si="35"/>
        <v>-630.20802209110093</v>
      </c>
      <c r="N240" s="12">
        <f>'1-Specification &amp; Data'!B$24*'1-Specification &amp; Data'!B$18*8.91</f>
        <v>117.00800891999999</v>
      </c>
      <c r="O240" s="12">
        <f t="shared" si="36"/>
        <v>-491.48621689374096</v>
      </c>
      <c r="P240" s="14">
        <f t="shared" si="37"/>
        <v>491.48621689374096</v>
      </c>
      <c r="Q240" s="12">
        <f>IF(J240=1,'1-Specification &amp; Data'!B$52,IF('1-Simulation'!J240=2,'1-Specification &amp; Data'!B$53,IF('1-Simulation'!J240=3,'1-Specification &amp; Data'!B$54)))</f>
        <v>704.8687664682343</v>
      </c>
      <c r="R240" s="12">
        <f>(0.5*'1-Specification &amp; Data'!B$18*'1-Simulation'!F240^2)/1000</f>
        <v>16.79612848652091</v>
      </c>
      <c r="S240" s="6">
        <f t="shared" si="33"/>
        <v>38.506929961608463</v>
      </c>
      <c r="T240" s="12">
        <v>5.5688000000000004</v>
      </c>
      <c r="U240" s="14">
        <f>O240*'1-Specification &amp; Data'!B$14*0.9</f>
        <v>-130.43288063718512</v>
      </c>
    </row>
    <row r="241" spans="2:21" x14ac:dyDescent="0.25">
      <c r="C241" s="6">
        <f t="shared" si="38"/>
        <v>239</v>
      </c>
      <c r="D241" s="6">
        <v>14</v>
      </c>
      <c r="E241" s="12">
        <f t="shared" si="34"/>
        <v>22.530778652981304</v>
      </c>
      <c r="F241" s="12">
        <f t="shared" si="39"/>
        <v>6.2585496258281399</v>
      </c>
      <c r="G241" s="13">
        <f t="shared" si="40"/>
        <v>1798.7965703148061</v>
      </c>
      <c r="H241" s="12">
        <f t="shared" si="41"/>
        <v>6.7055888848158638</v>
      </c>
      <c r="I241" s="12">
        <f t="shared" si="42"/>
        <v>-0.89407851797544957</v>
      </c>
      <c r="J241" s="6">
        <f t="shared" si="43"/>
        <v>2</v>
      </c>
      <c r="K241" s="6">
        <v>0</v>
      </c>
      <c r="L241" s="12">
        <f>('1-Specification &amp; Data'!B$22*'1-Specification &amp; Data'!B$10*'1-Specification &amp; Data'!B$20*('1-Simulation'!F241^2-'1-Specification &amp; Data'!B$21^2))/2</f>
        <v>16.076682461551783</v>
      </c>
      <c r="M241" s="6">
        <f t="shared" si="35"/>
        <v>-630.20802209110218</v>
      </c>
      <c r="N241" s="12">
        <f>'1-Specification &amp; Data'!B$24*'1-Specification &amp; Data'!B$18*8.91</f>
        <v>117.00800891999999</v>
      </c>
      <c r="O241" s="12">
        <f t="shared" si="36"/>
        <v>-497.12333070955043</v>
      </c>
      <c r="P241" s="14">
        <f t="shared" si="37"/>
        <v>497.12333070955043</v>
      </c>
      <c r="Q241" s="12">
        <f>IF(J241=1,'1-Specification &amp; Data'!B$52,IF('1-Simulation'!J241=2,'1-Specification &amp; Data'!B$53,IF('1-Simulation'!J241=3,'1-Specification &amp; Data'!B$54)))</f>
        <v>704.8687664682343</v>
      </c>
      <c r="R241" s="12">
        <f>(0.5*'1-Specification &amp; Data'!B$18*'1-Simulation'!F241^2)/1000</f>
        <v>12.85953587249257</v>
      </c>
      <c r="S241" s="6">
        <f t="shared" si="33"/>
        <v>38.506929961608463</v>
      </c>
      <c r="T241" s="12">
        <v>5.5688000000000004</v>
      </c>
      <c r="U241" s="14">
        <f>O241*'1-Specification &amp; Data'!B$14*0.9</f>
        <v>-131.928883919073</v>
      </c>
    </row>
    <row r="242" spans="2:21" x14ac:dyDescent="0.25">
      <c r="C242" s="6">
        <f t="shared" si="38"/>
        <v>240</v>
      </c>
      <c r="D242" s="6">
        <v>12</v>
      </c>
      <c r="E242" s="12">
        <f t="shared" si="34"/>
        <v>19.312095988269689</v>
      </c>
      <c r="F242" s="12">
        <f t="shared" si="39"/>
        <v>5.3644711078526912</v>
      </c>
      <c r="G242" s="13">
        <f t="shared" si="40"/>
        <v>1804.6080806816465</v>
      </c>
      <c r="H242" s="12">
        <f t="shared" si="41"/>
        <v>5.811510366840416</v>
      </c>
      <c r="I242" s="12">
        <f t="shared" si="42"/>
        <v>-0.8940785179754478</v>
      </c>
      <c r="J242" s="6">
        <f t="shared" si="43"/>
        <v>2</v>
      </c>
      <c r="K242" s="6">
        <v>0</v>
      </c>
      <c r="L242" s="12">
        <f>('1-Specification &amp; Data'!B$22*'1-Specification &amp; Data'!B$10*'1-Specification &amp; Data'!B$20*('1-Simulation'!F242^2-'1-Specification &amp; Data'!B$21^2))/2</f>
        <v>11.19118382118468</v>
      </c>
      <c r="M242" s="6">
        <f t="shared" si="35"/>
        <v>-630.20802209110093</v>
      </c>
      <c r="N242" s="12">
        <f>'1-Specification &amp; Data'!B$24*'1-Specification &amp; Data'!B$18*8.91</f>
        <v>117.00800891999999</v>
      </c>
      <c r="O242" s="12">
        <f t="shared" si="36"/>
        <v>-502.0088293499162</v>
      </c>
      <c r="P242" s="14">
        <f t="shared" si="37"/>
        <v>502.0088293499162</v>
      </c>
      <c r="Q242" s="12">
        <f>IF(J242=1,'1-Specification &amp; Data'!B$52,IF('1-Simulation'!J242=2,'1-Specification &amp; Data'!B$53,IF('1-Simulation'!J242=3,'1-Specification &amp; Data'!B$54)))</f>
        <v>704.8687664682343</v>
      </c>
      <c r="R242" s="12">
        <f>(0.5*'1-Specification &amp; Data'!B$18*'1-Simulation'!F242^2)/1000</f>
        <v>9.4478222736680113</v>
      </c>
      <c r="S242" s="6">
        <f t="shared" si="33"/>
        <v>38.506929961608463</v>
      </c>
      <c r="T242" s="12">
        <v>5.5688000000000004</v>
      </c>
      <c r="U242" s="14">
        <f>O242*'1-Specification &amp; Data'!B$14*0.9</f>
        <v>-133.22542009670855</v>
      </c>
    </row>
    <row r="243" spans="2:21" x14ac:dyDescent="0.25">
      <c r="C243" s="6">
        <f t="shared" si="38"/>
        <v>241</v>
      </c>
      <c r="D243" s="6">
        <v>10</v>
      </c>
      <c r="E243" s="12">
        <f t="shared" si="34"/>
        <v>16.093413323558075</v>
      </c>
      <c r="F243" s="12">
        <f t="shared" si="39"/>
        <v>4.4703925898772425</v>
      </c>
      <c r="G243" s="13">
        <f t="shared" si="40"/>
        <v>1809.5255125305114</v>
      </c>
      <c r="H243" s="12">
        <f t="shared" si="41"/>
        <v>4.9174318488649664</v>
      </c>
      <c r="I243" s="12">
        <f t="shared" si="42"/>
        <v>-0.89407851797544957</v>
      </c>
      <c r="J243" s="6">
        <f t="shared" si="43"/>
        <v>1</v>
      </c>
      <c r="K243" s="6">
        <v>0</v>
      </c>
      <c r="L243" s="12">
        <f>('1-Specification &amp; Data'!B$22*'1-Specification &amp; Data'!B$10*'1-Specification &amp; Data'!B$20*('1-Simulation'!F243^2-'1-Specification &amp; Data'!B$21^2))/2</f>
        <v>7.0573003562586658</v>
      </c>
      <c r="M243" s="6">
        <f t="shared" si="35"/>
        <v>-637.53539313421504</v>
      </c>
      <c r="N243" s="12">
        <f>'1-Specification &amp; Data'!B$24*'1-Specification &amp; Data'!B$18*8.91</f>
        <v>117.00800891999999</v>
      </c>
      <c r="O243" s="12">
        <f t="shared" si="36"/>
        <v>-513.47008385795641</v>
      </c>
      <c r="P243" s="14">
        <f t="shared" si="37"/>
        <v>513.47008385795641</v>
      </c>
      <c r="Q243" s="12">
        <f>IF(J243=1,'1-Specification &amp; Data'!B$52,IF('1-Simulation'!J243=2,'1-Specification &amp; Data'!B$53,IF('1-Simulation'!J243=3,'1-Specification &amp; Data'!B$54)))</f>
        <v>713.06421115882472</v>
      </c>
      <c r="R243" s="12">
        <f>(0.5*'1-Specification &amp; Data'!B$18*'1-Simulation'!F243^2)/1000</f>
        <v>6.560987690047229</v>
      </c>
      <c r="S243" s="6">
        <f t="shared" si="33"/>
        <v>38.954646514983395</v>
      </c>
      <c r="T243" s="12">
        <v>5.5688000000000004</v>
      </c>
      <c r="U243" s="14">
        <f>O243*'1-Specification &amp; Data'!B$14*0.9</f>
        <v>-136.26706071614998</v>
      </c>
    </row>
    <row r="244" spans="2:21" x14ac:dyDescent="0.25">
      <c r="C244" s="6">
        <f t="shared" si="38"/>
        <v>242</v>
      </c>
      <c r="D244" s="6">
        <v>9.9</v>
      </c>
      <c r="E244" s="12">
        <f t="shared" si="34"/>
        <v>15.932479190322494</v>
      </c>
      <c r="F244" s="12">
        <f t="shared" si="39"/>
        <v>4.4256886639784705</v>
      </c>
      <c r="G244" s="13">
        <f t="shared" si="40"/>
        <v>1813.9735531574393</v>
      </c>
      <c r="H244" s="12">
        <f t="shared" si="41"/>
        <v>4.4480406269278561</v>
      </c>
      <c r="I244" s="12">
        <f t="shared" si="42"/>
        <v>-4.4703925898772923E-2</v>
      </c>
      <c r="J244" s="6">
        <f t="shared" si="43"/>
        <v>1</v>
      </c>
      <c r="K244" s="6">
        <v>0</v>
      </c>
      <c r="L244" s="12">
        <f>('1-Specification &amp; Data'!B$22*'1-Specification &amp; Data'!B$10*'1-Specification &amp; Data'!B$20*('1-Simulation'!F244^2-'1-Specification &amp; Data'!B$21^2))/2</f>
        <v>6.8703360813676948</v>
      </c>
      <c r="M244" s="6">
        <f t="shared" si="35"/>
        <v>-31.876769656711069</v>
      </c>
      <c r="N244" s="12">
        <f>'1-Specification &amp; Data'!B$24*'1-Specification &amp; Data'!B$18*8.91</f>
        <v>117.00800891999999</v>
      </c>
      <c r="O244" s="12">
        <f t="shared" si="36"/>
        <v>92.001575344656629</v>
      </c>
      <c r="P244" s="14">
        <f t="shared" si="37"/>
        <v>92.001575344656629</v>
      </c>
      <c r="Q244" s="12">
        <f>IF(J244=1,'1-Specification &amp; Data'!B$52,IF('1-Simulation'!J244=2,'1-Specification &amp; Data'!B$53,IF('1-Simulation'!J244=3,'1-Specification &amp; Data'!B$54)))</f>
        <v>713.06421115882472</v>
      </c>
      <c r="R244" s="12">
        <f>(0.5*'1-Specification &amp; Data'!B$18*'1-Simulation'!F244^2)/1000</f>
        <v>6.4304240350152906</v>
      </c>
      <c r="S244" s="6">
        <f t="shared" si="33"/>
        <v>38.954646514983395</v>
      </c>
      <c r="T244" s="12">
        <v>5.5688000000000004</v>
      </c>
      <c r="U244" s="14">
        <f>O244*'1-Specification &amp; Data'!B$14*0.9</f>
        <v>24.415802687620417</v>
      </c>
    </row>
    <row r="245" spans="2:21" x14ac:dyDescent="0.25">
      <c r="B245" s="17" t="s">
        <v>124</v>
      </c>
      <c r="C245" s="6">
        <f t="shared" si="38"/>
        <v>243</v>
      </c>
      <c r="D245" s="6">
        <v>8.5</v>
      </c>
      <c r="E245" s="12">
        <f t="shared" si="34"/>
        <v>13.679401325024363</v>
      </c>
      <c r="F245" s="12">
        <f t="shared" si="39"/>
        <v>3.7998337013956562</v>
      </c>
      <c r="G245" s="13">
        <f t="shared" si="40"/>
        <v>1818.0863143401264</v>
      </c>
      <c r="H245" s="12">
        <f t="shared" si="41"/>
        <v>4.1127611826870636</v>
      </c>
      <c r="I245" s="12">
        <f t="shared" si="42"/>
        <v>-0.62585496258281381</v>
      </c>
      <c r="J245" s="6">
        <f t="shared" si="43"/>
        <v>1</v>
      </c>
      <c r="K245" s="6">
        <v>0</v>
      </c>
      <c r="L245" s="12">
        <f>('1-Specification &amp; Data'!B$22*'1-Specification &amp; Data'!B$10*'1-Specification &amp; Data'!B$20*('1-Simulation'!F245^2-'1-Specification &amp; Data'!B$21^2))/2</f>
        <v>4.4501352164473733</v>
      </c>
      <c r="M245" s="6">
        <f t="shared" si="35"/>
        <v>-446.27477519394989</v>
      </c>
      <c r="N245" s="12">
        <f>'1-Specification &amp; Data'!B$24*'1-Specification &amp; Data'!B$18*8.91</f>
        <v>117.00800891999999</v>
      </c>
      <c r="O245" s="12">
        <f t="shared" si="36"/>
        <v>-324.81663105750249</v>
      </c>
      <c r="P245" s="14">
        <f t="shared" si="37"/>
        <v>324.81663105750249</v>
      </c>
      <c r="Q245" s="12">
        <f>IF(J245=1,'1-Specification &amp; Data'!B$52,IF('1-Simulation'!J245=2,'1-Specification &amp; Data'!B$53,IF('1-Simulation'!J245=3,'1-Specification &amp; Data'!B$54)))</f>
        <v>713.06421115882472</v>
      </c>
      <c r="R245" s="12">
        <f>(0.5*'1-Specification &amp; Data'!B$18*'1-Simulation'!F245^2)/1000</f>
        <v>4.7403136060591233</v>
      </c>
      <c r="S245" s="6">
        <f t="shared" si="33"/>
        <v>38.954646514983395</v>
      </c>
      <c r="T245" s="12">
        <v>5.5688000000000004</v>
      </c>
      <c r="U245" s="14">
        <f>O245*'1-Specification &amp; Data'!B$14*0.9</f>
        <v>-86.201336703721822</v>
      </c>
    </row>
    <row r="246" spans="2:21" x14ac:dyDescent="0.25">
      <c r="C246" s="6">
        <f t="shared" si="38"/>
        <v>244</v>
      </c>
      <c r="D246" s="6">
        <v>8.5</v>
      </c>
      <c r="E246" s="12">
        <f t="shared" si="34"/>
        <v>13.679401325024363</v>
      </c>
      <c r="F246" s="12">
        <f t="shared" si="39"/>
        <v>3.7998337013956562</v>
      </c>
      <c r="G246" s="13">
        <f t="shared" si="40"/>
        <v>1821.8861480415221</v>
      </c>
      <c r="H246" s="12">
        <f t="shared" si="41"/>
        <v>3.7998337013956562</v>
      </c>
      <c r="I246" s="12">
        <f t="shared" si="42"/>
        <v>0</v>
      </c>
      <c r="J246" s="6">
        <f t="shared" si="43"/>
        <v>1</v>
      </c>
      <c r="K246" s="6">
        <v>0</v>
      </c>
      <c r="L246" s="12">
        <f>('1-Specification &amp; Data'!B$22*'1-Specification &amp; Data'!B$10*'1-Specification &amp; Data'!B$20*('1-Simulation'!F246^2-'1-Specification &amp; Data'!B$21^2))/2</f>
        <v>4.4501352164473733</v>
      </c>
      <c r="M246" s="6">
        <f t="shared" si="35"/>
        <v>0</v>
      </c>
      <c r="N246" s="12">
        <f>'1-Specification &amp; Data'!B$24*'1-Specification &amp; Data'!B$18*8.91</f>
        <v>117.00800891999999</v>
      </c>
      <c r="O246" s="12">
        <f t="shared" si="36"/>
        <v>121.45814413644737</v>
      </c>
      <c r="P246" s="14">
        <f t="shared" si="37"/>
        <v>121.45814413644737</v>
      </c>
      <c r="Q246" s="12">
        <f>IF(J246=1,'1-Specification &amp; Data'!B$52,IF('1-Simulation'!J246=2,'1-Specification &amp; Data'!B$53,IF('1-Simulation'!J246=3,'1-Specification &amp; Data'!B$54)))</f>
        <v>713.06421115882472</v>
      </c>
      <c r="R246" s="12">
        <f>(0.5*'1-Specification &amp; Data'!B$18*'1-Simulation'!F246^2)/1000</f>
        <v>4.7403136060591233</v>
      </c>
      <c r="S246" s="6">
        <f t="shared" si="33"/>
        <v>38.954646514983395</v>
      </c>
      <c r="T246" s="12">
        <v>5.5688000000000004</v>
      </c>
      <c r="U246" s="14">
        <f>O246*'1-Specification &amp; Data'!B$14*0.9</f>
        <v>32.233122866980267</v>
      </c>
    </row>
    <row r="247" spans="2:21" x14ac:dyDescent="0.25">
      <c r="C247" s="6">
        <f t="shared" si="38"/>
        <v>245</v>
      </c>
      <c r="D247" s="6">
        <v>8.5</v>
      </c>
      <c r="E247" s="12">
        <f t="shared" si="34"/>
        <v>13.679401325024363</v>
      </c>
      <c r="F247" s="12">
        <f t="shared" si="39"/>
        <v>3.7998337013956562</v>
      </c>
      <c r="G247" s="13">
        <f t="shared" si="40"/>
        <v>1825.6859817429179</v>
      </c>
      <c r="H247" s="12">
        <f t="shared" si="41"/>
        <v>3.7998337013956562</v>
      </c>
      <c r="I247" s="12">
        <f t="shared" si="42"/>
        <v>0</v>
      </c>
      <c r="J247" s="6">
        <f t="shared" si="43"/>
        <v>1</v>
      </c>
      <c r="K247" s="6">
        <v>0</v>
      </c>
      <c r="L247" s="12">
        <f>('1-Specification &amp; Data'!B$22*'1-Specification &amp; Data'!B$10*'1-Specification &amp; Data'!B$20*('1-Simulation'!F247^2-'1-Specification &amp; Data'!B$21^2))/2</f>
        <v>4.4501352164473733</v>
      </c>
      <c r="M247" s="6">
        <f t="shared" si="35"/>
        <v>0</v>
      </c>
      <c r="N247" s="12">
        <f>'1-Specification &amp; Data'!B$24*'1-Specification &amp; Data'!B$18*8.91</f>
        <v>117.00800891999999</v>
      </c>
      <c r="O247" s="12">
        <f t="shared" si="36"/>
        <v>121.45814413644737</v>
      </c>
      <c r="P247" s="14">
        <f t="shared" si="37"/>
        <v>121.45814413644737</v>
      </c>
      <c r="Q247" s="12">
        <f>IF(J247=1,'1-Specification &amp; Data'!B$52,IF('1-Simulation'!J247=2,'1-Specification &amp; Data'!B$53,IF('1-Simulation'!J247=3,'1-Specification &amp; Data'!B$54)))</f>
        <v>713.06421115882472</v>
      </c>
      <c r="R247" s="12">
        <f>(0.5*'1-Specification &amp; Data'!B$18*'1-Simulation'!F247^2)/1000</f>
        <v>4.7403136060591233</v>
      </c>
      <c r="S247" s="6">
        <f t="shared" si="33"/>
        <v>38.954646514983395</v>
      </c>
      <c r="T247" s="12">
        <v>5.5688000000000004</v>
      </c>
      <c r="U247" s="14">
        <f>O247*'1-Specification &amp; Data'!B$14*0.9</f>
        <v>32.233122866980267</v>
      </c>
    </row>
    <row r="248" spans="2:21" x14ac:dyDescent="0.25">
      <c r="C248" s="6">
        <f t="shared" si="38"/>
        <v>246</v>
      </c>
      <c r="D248" s="6">
        <v>8.5</v>
      </c>
      <c r="E248" s="12">
        <f t="shared" si="34"/>
        <v>13.679401325024363</v>
      </c>
      <c r="F248" s="12">
        <f t="shared" si="39"/>
        <v>3.7998337013956562</v>
      </c>
      <c r="G248" s="13">
        <f t="shared" si="40"/>
        <v>1829.4858154443136</v>
      </c>
      <c r="H248" s="12">
        <f t="shared" si="41"/>
        <v>3.7998337013956562</v>
      </c>
      <c r="I248" s="12">
        <f t="shared" si="42"/>
        <v>0</v>
      </c>
      <c r="J248" s="6">
        <f t="shared" si="43"/>
        <v>1</v>
      </c>
      <c r="K248" s="6">
        <v>0</v>
      </c>
      <c r="L248" s="12">
        <f>('1-Specification &amp; Data'!B$22*'1-Specification &amp; Data'!B$10*'1-Specification &amp; Data'!B$20*('1-Simulation'!F248^2-'1-Specification &amp; Data'!B$21^2))/2</f>
        <v>4.4501352164473733</v>
      </c>
      <c r="M248" s="6">
        <f t="shared" si="35"/>
        <v>0</v>
      </c>
      <c r="N248" s="12">
        <f>'1-Specification &amp; Data'!B$24*'1-Specification &amp; Data'!B$18*8.91</f>
        <v>117.00800891999999</v>
      </c>
      <c r="O248" s="12">
        <f t="shared" si="36"/>
        <v>121.45814413644737</v>
      </c>
      <c r="P248" s="14">
        <f t="shared" si="37"/>
        <v>121.45814413644737</v>
      </c>
      <c r="Q248" s="12">
        <f>IF(J248=1,'1-Specification &amp; Data'!B$52,IF('1-Simulation'!J248=2,'1-Specification &amp; Data'!B$53,IF('1-Simulation'!J248=3,'1-Specification &amp; Data'!B$54)))</f>
        <v>713.06421115882472</v>
      </c>
      <c r="R248" s="12">
        <f>(0.5*'1-Specification &amp; Data'!B$18*'1-Simulation'!F248^2)/1000</f>
        <v>4.7403136060591233</v>
      </c>
      <c r="S248" s="6">
        <f t="shared" si="33"/>
        <v>38.954646514983395</v>
      </c>
      <c r="T248" s="12">
        <v>5.5688000000000004</v>
      </c>
      <c r="U248" s="14">
        <f>O248*'1-Specification &amp; Data'!B$14*0.9</f>
        <v>32.233122866980267</v>
      </c>
    </row>
    <row r="249" spans="2:21" x14ac:dyDescent="0.25">
      <c r="C249" s="6">
        <f t="shared" si="38"/>
        <v>247</v>
      </c>
      <c r="D249" s="6">
        <v>8.5</v>
      </c>
      <c r="E249" s="12">
        <f t="shared" si="34"/>
        <v>13.679401325024363</v>
      </c>
      <c r="F249" s="12">
        <f t="shared" si="39"/>
        <v>3.7998337013956562</v>
      </c>
      <c r="G249" s="13">
        <f t="shared" si="40"/>
        <v>1833.2856491457094</v>
      </c>
      <c r="H249" s="12">
        <f t="shared" si="41"/>
        <v>3.7998337013956562</v>
      </c>
      <c r="I249" s="12">
        <f t="shared" si="42"/>
        <v>0</v>
      </c>
      <c r="J249" s="6">
        <f t="shared" si="43"/>
        <v>1</v>
      </c>
      <c r="K249" s="6">
        <v>0</v>
      </c>
      <c r="L249" s="12">
        <f>('1-Specification &amp; Data'!B$22*'1-Specification &amp; Data'!B$10*'1-Specification &amp; Data'!B$20*('1-Simulation'!F249^2-'1-Specification &amp; Data'!B$21^2))/2</f>
        <v>4.4501352164473733</v>
      </c>
      <c r="M249" s="6">
        <f t="shared" si="35"/>
        <v>0</v>
      </c>
      <c r="N249" s="12">
        <f>'1-Specification &amp; Data'!B$24*'1-Specification &amp; Data'!B$18*8.91</f>
        <v>117.00800891999999</v>
      </c>
      <c r="O249" s="12">
        <f t="shared" si="36"/>
        <v>121.45814413644737</v>
      </c>
      <c r="P249" s="14">
        <f t="shared" si="37"/>
        <v>121.45814413644737</v>
      </c>
      <c r="Q249" s="12">
        <f>IF(J249=1,'1-Specification &amp; Data'!B$52,IF('1-Simulation'!J249=2,'1-Specification &amp; Data'!B$53,IF('1-Simulation'!J249=3,'1-Specification &amp; Data'!B$54)))</f>
        <v>713.06421115882472</v>
      </c>
      <c r="R249" s="12">
        <f>(0.5*'1-Specification &amp; Data'!B$18*'1-Simulation'!F249^2)/1000</f>
        <v>4.7403136060591233</v>
      </c>
      <c r="S249" s="6">
        <f t="shared" si="33"/>
        <v>38.954646514983395</v>
      </c>
      <c r="T249" s="12">
        <v>5.5688000000000004</v>
      </c>
      <c r="U249" s="14">
        <f>O249*'1-Specification &amp; Data'!B$14*0.9</f>
        <v>32.233122866980267</v>
      </c>
    </row>
    <row r="250" spans="2:21" x14ac:dyDescent="0.25">
      <c r="C250" s="6">
        <f t="shared" si="38"/>
        <v>248</v>
      </c>
      <c r="D250" s="6">
        <v>8.5</v>
      </c>
      <c r="E250" s="12">
        <f t="shared" si="34"/>
        <v>13.679401325024363</v>
      </c>
      <c r="F250" s="12">
        <f t="shared" si="39"/>
        <v>3.7998337013956562</v>
      </c>
      <c r="G250" s="13">
        <f t="shared" si="40"/>
        <v>1837.0854828471051</v>
      </c>
      <c r="H250" s="12">
        <f t="shared" si="41"/>
        <v>3.7998337013956562</v>
      </c>
      <c r="I250" s="12">
        <f t="shared" si="42"/>
        <v>0</v>
      </c>
      <c r="J250" s="6">
        <f t="shared" si="43"/>
        <v>1</v>
      </c>
      <c r="K250" s="6">
        <v>0</v>
      </c>
      <c r="L250" s="12">
        <f>('1-Specification &amp; Data'!B$22*'1-Specification &amp; Data'!B$10*'1-Specification &amp; Data'!B$20*('1-Simulation'!F250^2-'1-Specification &amp; Data'!B$21^2))/2</f>
        <v>4.4501352164473733</v>
      </c>
      <c r="M250" s="6">
        <f t="shared" si="35"/>
        <v>0</v>
      </c>
      <c r="N250" s="12">
        <f>'1-Specification &amp; Data'!B$24*'1-Specification &amp; Data'!B$18*8.91</f>
        <v>117.00800891999999</v>
      </c>
      <c r="O250" s="12">
        <f t="shared" si="36"/>
        <v>121.45814413644737</v>
      </c>
      <c r="P250" s="14">
        <f t="shared" si="37"/>
        <v>121.45814413644737</v>
      </c>
      <c r="Q250" s="12">
        <f>IF(J250=1,'1-Specification &amp; Data'!B$52,IF('1-Simulation'!J250=2,'1-Specification &amp; Data'!B$53,IF('1-Simulation'!J250=3,'1-Specification &amp; Data'!B$54)))</f>
        <v>713.06421115882472</v>
      </c>
      <c r="R250" s="12">
        <f>(0.5*'1-Specification &amp; Data'!B$18*'1-Simulation'!F250^2)/1000</f>
        <v>4.7403136060591233</v>
      </c>
      <c r="S250" s="6">
        <f t="shared" si="33"/>
        <v>38.954646514983395</v>
      </c>
      <c r="T250" s="12">
        <v>5.5688000000000004</v>
      </c>
      <c r="U250" s="14">
        <f>O250*'1-Specification &amp; Data'!B$14*0.9</f>
        <v>32.233122866980267</v>
      </c>
    </row>
    <row r="251" spans="2:21" x14ac:dyDescent="0.25">
      <c r="C251" s="6">
        <f t="shared" si="38"/>
        <v>249</v>
      </c>
      <c r="D251" s="6">
        <v>8.5</v>
      </c>
      <c r="E251" s="12">
        <f t="shared" si="34"/>
        <v>13.679401325024363</v>
      </c>
      <c r="F251" s="12">
        <f t="shared" si="39"/>
        <v>3.7998337013956562</v>
      </c>
      <c r="G251" s="13">
        <f t="shared" si="40"/>
        <v>1840.8853165485009</v>
      </c>
      <c r="H251" s="12">
        <f t="shared" si="41"/>
        <v>3.7998337013956562</v>
      </c>
      <c r="I251" s="12">
        <f t="shared" si="42"/>
        <v>0</v>
      </c>
      <c r="J251" s="6">
        <f t="shared" si="43"/>
        <v>1</v>
      </c>
      <c r="K251" s="6">
        <v>0</v>
      </c>
      <c r="L251" s="12">
        <f>('1-Specification &amp; Data'!B$22*'1-Specification &amp; Data'!B$10*'1-Specification &amp; Data'!B$20*('1-Simulation'!F251^2-'1-Specification &amp; Data'!B$21^2))/2</f>
        <v>4.4501352164473733</v>
      </c>
      <c r="M251" s="6">
        <f t="shared" si="35"/>
        <v>0</v>
      </c>
      <c r="N251" s="12">
        <f>'1-Specification &amp; Data'!B$24*'1-Specification &amp; Data'!B$18*8.91</f>
        <v>117.00800891999999</v>
      </c>
      <c r="O251" s="12">
        <f t="shared" si="36"/>
        <v>121.45814413644737</v>
      </c>
      <c r="P251" s="14">
        <f t="shared" si="37"/>
        <v>121.45814413644737</v>
      </c>
      <c r="Q251" s="12">
        <f>IF(J251=1,'1-Specification &amp; Data'!B$52,IF('1-Simulation'!J251=2,'1-Specification &amp; Data'!B$53,IF('1-Simulation'!J251=3,'1-Specification &amp; Data'!B$54)))</f>
        <v>713.06421115882472</v>
      </c>
      <c r="R251" s="12">
        <f>(0.5*'1-Specification &amp; Data'!B$18*'1-Simulation'!F251^2)/1000</f>
        <v>4.7403136060591233</v>
      </c>
      <c r="S251" s="6">
        <f t="shared" si="33"/>
        <v>38.954646514983395</v>
      </c>
      <c r="T251" s="12">
        <v>5.5688000000000004</v>
      </c>
      <c r="U251" s="14">
        <f>O251*'1-Specification &amp; Data'!B$14*0.9</f>
        <v>32.233122866980267</v>
      </c>
    </row>
    <row r="252" spans="2:21" x14ac:dyDescent="0.25">
      <c r="C252" s="6">
        <f t="shared" si="38"/>
        <v>250</v>
      </c>
      <c r="D252" s="6">
        <v>8.5</v>
      </c>
      <c r="E252" s="12">
        <f t="shared" si="34"/>
        <v>13.679401325024363</v>
      </c>
      <c r="F252" s="12">
        <f t="shared" si="39"/>
        <v>3.7998337013956562</v>
      </c>
      <c r="G252" s="13">
        <f t="shared" si="40"/>
        <v>1844.6851502498967</v>
      </c>
      <c r="H252" s="12">
        <f t="shared" si="41"/>
        <v>3.7998337013956562</v>
      </c>
      <c r="I252" s="12">
        <f t="shared" si="42"/>
        <v>0</v>
      </c>
      <c r="J252" s="6">
        <f t="shared" si="43"/>
        <v>1</v>
      </c>
      <c r="K252" s="6">
        <v>0</v>
      </c>
      <c r="L252" s="12">
        <f>('1-Specification &amp; Data'!B$22*'1-Specification &amp; Data'!B$10*'1-Specification &amp; Data'!B$20*('1-Simulation'!F252^2-'1-Specification &amp; Data'!B$21^2))/2</f>
        <v>4.4501352164473733</v>
      </c>
      <c r="M252" s="6">
        <f t="shared" si="35"/>
        <v>0</v>
      </c>
      <c r="N252" s="12">
        <f>'1-Specification &amp; Data'!B$24*'1-Specification &amp; Data'!B$18*8.91</f>
        <v>117.00800891999999</v>
      </c>
      <c r="O252" s="12">
        <f t="shared" si="36"/>
        <v>121.45814413644737</v>
      </c>
      <c r="P252" s="14">
        <f t="shared" si="37"/>
        <v>121.45814413644737</v>
      </c>
      <c r="Q252" s="12">
        <f>IF(J252=1,'1-Specification &amp; Data'!B$52,IF('1-Simulation'!J252=2,'1-Specification &amp; Data'!B$53,IF('1-Simulation'!J252=3,'1-Specification &amp; Data'!B$54)))</f>
        <v>713.06421115882472</v>
      </c>
      <c r="R252" s="12">
        <f>(0.5*'1-Specification &amp; Data'!B$18*'1-Simulation'!F252^2)/1000</f>
        <v>4.7403136060591233</v>
      </c>
      <c r="S252" s="6">
        <f t="shared" si="33"/>
        <v>38.954646514983395</v>
      </c>
      <c r="T252" s="12">
        <v>5.5688000000000004</v>
      </c>
      <c r="U252" s="14">
        <f>O252*'1-Specification &amp; Data'!B$14*0.9</f>
        <v>32.233122866980267</v>
      </c>
    </row>
    <row r="253" spans="2:21" x14ac:dyDescent="0.25">
      <c r="C253" s="6">
        <f t="shared" si="38"/>
        <v>251</v>
      </c>
      <c r="D253" s="6">
        <v>8.5</v>
      </c>
      <c r="E253" s="12">
        <f t="shared" si="34"/>
        <v>13.679401325024363</v>
      </c>
      <c r="F253" s="12">
        <f t="shared" si="39"/>
        <v>3.7998337013956562</v>
      </c>
      <c r="G253" s="13">
        <f t="shared" si="40"/>
        <v>1848.4849839512924</v>
      </c>
      <c r="H253" s="12">
        <f t="shared" si="41"/>
        <v>3.7998337013956562</v>
      </c>
      <c r="I253" s="12">
        <f t="shared" si="42"/>
        <v>0</v>
      </c>
      <c r="J253" s="6">
        <f t="shared" si="43"/>
        <v>1</v>
      </c>
      <c r="K253" s="6">
        <v>0</v>
      </c>
      <c r="L253" s="12">
        <f>('1-Specification &amp; Data'!B$22*'1-Specification &amp; Data'!B$10*'1-Specification &amp; Data'!B$20*('1-Simulation'!F253^2-'1-Specification &amp; Data'!B$21^2))/2</f>
        <v>4.4501352164473733</v>
      </c>
      <c r="M253" s="6">
        <f t="shared" si="35"/>
        <v>0</v>
      </c>
      <c r="N253" s="12">
        <f>'1-Specification &amp; Data'!B$24*'1-Specification &amp; Data'!B$18*8.91</f>
        <v>117.00800891999999</v>
      </c>
      <c r="O253" s="12">
        <f t="shared" si="36"/>
        <v>121.45814413644737</v>
      </c>
      <c r="P253" s="14">
        <f t="shared" si="37"/>
        <v>121.45814413644737</v>
      </c>
      <c r="Q253" s="12">
        <f>IF(J253=1,'1-Specification &amp; Data'!B$52,IF('1-Simulation'!J253=2,'1-Specification &amp; Data'!B$53,IF('1-Simulation'!J253=3,'1-Specification &amp; Data'!B$54)))</f>
        <v>713.06421115882472</v>
      </c>
      <c r="R253" s="12">
        <f>(0.5*'1-Specification &amp; Data'!B$18*'1-Simulation'!F253^2)/1000</f>
        <v>4.7403136060591233</v>
      </c>
      <c r="S253" s="6">
        <f t="shared" si="33"/>
        <v>38.954646514983395</v>
      </c>
      <c r="T253" s="12">
        <v>5.5688000000000004</v>
      </c>
      <c r="U253" s="14">
        <f>O253*'1-Specification &amp; Data'!B$14*0.9</f>
        <v>32.233122866980267</v>
      </c>
    </row>
    <row r="254" spans="2:21" x14ac:dyDescent="0.25">
      <c r="B254" s="17" t="s">
        <v>125</v>
      </c>
      <c r="C254" s="6">
        <f t="shared" si="38"/>
        <v>252</v>
      </c>
      <c r="D254" s="6">
        <v>8.5</v>
      </c>
      <c r="E254" s="12">
        <f t="shared" si="34"/>
        <v>13.679401325024363</v>
      </c>
      <c r="F254" s="12">
        <f t="shared" si="39"/>
        <v>3.7998337013956562</v>
      </c>
      <c r="G254" s="13">
        <f t="shared" si="40"/>
        <v>1852.2848176526882</v>
      </c>
      <c r="H254" s="12">
        <f t="shared" si="41"/>
        <v>3.7998337013956562</v>
      </c>
      <c r="I254" s="12">
        <f t="shared" si="42"/>
        <v>0</v>
      </c>
      <c r="J254" s="6">
        <f t="shared" si="43"/>
        <v>1</v>
      </c>
      <c r="K254" s="6">
        <v>0</v>
      </c>
      <c r="L254" s="12">
        <f>('1-Specification &amp; Data'!B$22*'1-Specification &amp; Data'!B$10*'1-Specification &amp; Data'!B$20*('1-Simulation'!F254^2-'1-Specification &amp; Data'!B$21^2))/2</f>
        <v>4.4501352164473733</v>
      </c>
      <c r="M254" s="6">
        <f t="shared" si="35"/>
        <v>0</v>
      </c>
      <c r="N254" s="12">
        <f>'1-Specification &amp; Data'!B$24*'1-Specification &amp; Data'!B$18*8.91</f>
        <v>117.00800891999999</v>
      </c>
      <c r="O254" s="12">
        <f t="shared" si="36"/>
        <v>121.45814413644737</v>
      </c>
      <c r="P254" s="14">
        <f t="shared" si="37"/>
        <v>121.45814413644737</v>
      </c>
      <c r="Q254" s="12">
        <f>IF(J254=1,'1-Specification &amp; Data'!B$52,IF('1-Simulation'!J254=2,'1-Specification &amp; Data'!B$53,IF('1-Simulation'!J254=3,'1-Specification &amp; Data'!B$54)))</f>
        <v>713.06421115882472</v>
      </c>
      <c r="R254" s="12">
        <f>(0.5*'1-Specification &amp; Data'!B$18*'1-Simulation'!F254^2)/1000</f>
        <v>4.7403136060591233</v>
      </c>
      <c r="S254" s="6">
        <f t="shared" si="33"/>
        <v>38.954646514983395</v>
      </c>
      <c r="T254" s="12">
        <v>5.5688000000000004</v>
      </c>
      <c r="U254" s="14">
        <f>O254*'1-Specification &amp; Data'!B$14*0.9</f>
        <v>32.233122866980267</v>
      </c>
    </row>
    <row r="255" spans="2:21" x14ac:dyDescent="0.25">
      <c r="C255" s="6">
        <f t="shared" si="38"/>
        <v>253</v>
      </c>
      <c r="D255" s="6">
        <v>9</v>
      </c>
      <c r="E255" s="12">
        <f t="shared" si="34"/>
        <v>14.484071991202267</v>
      </c>
      <c r="F255" s="12">
        <f t="shared" si="39"/>
        <v>4.0233533308895186</v>
      </c>
      <c r="G255" s="13">
        <f t="shared" si="40"/>
        <v>1856.1964111688308</v>
      </c>
      <c r="H255" s="12">
        <f t="shared" si="41"/>
        <v>3.9115935161425872</v>
      </c>
      <c r="I255" s="12">
        <f t="shared" si="42"/>
        <v>0.22351962949386195</v>
      </c>
      <c r="J255" s="6">
        <f t="shared" si="43"/>
        <v>1</v>
      </c>
      <c r="K255" s="6">
        <v>0</v>
      </c>
      <c r="L255" s="12">
        <f>('1-Specification &amp; Data'!B$22*'1-Specification &amp; Data'!B$10*'1-Specification &amp; Data'!B$20*('1-Simulation'!F255^2-'1-Specification &amp; Data'!B$21^2))/2</f>
        <v>5.27221431458607</v>
      </c>
      <c r="M255" s="6">
        <f t="shared" si="35"/>
        <v>159.38384828355345</v>
      </c>
      <c r="N255" s="12">
        <f>'1-Specification &amp; Data'!B$24*'1-Specification &amp; Data'!B$18*8.91</f>
        <v>117.00800891999999</v>
      </c>
      <c r="O255" s="12">
        <f t="shared" si="36"/>
        <v>281.66407151813951</v>
      </c>
      <c r="P255" s="14">
        <f t="shared" si="37"/>
        <v>281.66407151813951</v>
      </c>
      <c r="Q255" s="12">
        <f>IF(J255=1,'1-Specification &amp; Data'!B$52,IF('1-Simulation'!J255=2,'1-Specification &amp; Data'!B$53,IF('1-Simulation'!J255=3,'1-Specification &amp; Data'!B$54)))</f>
        <v>713.06421115882472</v>
      </c>
      <c r="R255" s="12">
        <f>(0.5*'1-Specification &amp; Data'!B$18*'1-Simulation'!F255^2)/1000</f>
        <v>5.3144000289382562</v>
      </c>
      <c r="S255" s="6">
        <f t="shared" si="33"/>
        <v>38.954646514983395</v>
      </c>
      <c r="T255" s="12">
        <v>5.5688000000000004</v>
      </c>
      <c r="U255" s="14">
        <f>O255*'1-Specification &amp; Data'!B$14*0.9</f>
        <v>74.749311287506259</v>
      </c>
    </row>
    <row r="256" spans="2:21" x14ac:dyDescent="0.25">
      <c r="C256" s="6">
        <f t="shared" si="38"/>
        <v>254</v>
      </c>
      <c r="D256" s="6">
        <v>9.5</v>
      </c>
      <c r="E256" s="12">
        <f t="shared" si="34"/>
        <v>15.288742657380171</v>
      </c>
      <c r="F256" s="12">
        <f t="shared" si="39"/>
        <v>4.2468729603833806</v>
      </c>
      <c r="G256" s="13">
        <f t="shared" si="40"/>
        <v>1860.3315243144673</v>
      </c>
      <c r="H256" s="12">
        <f t="shared" si="41"/>
        <v>4.1351131456364492</v>
      </c>
      <c r="I256" s="12">
        <f t="shared" si="42"/>
        <v>0.22351962949386106</v>
      </c>
      <c r="J256" s="6">
        <f t="shared" si="43"/>
        <v>1</v>
      </c>
      <c r="K256" s="6">
        <v>0</v>
      </c>
      <c r="L256" s="12">
        <f>('1-Specification &amp; Data'!B$22*'1-Specification &amp; Data'!B$10*'1-Specification &amp; Data'!B$20*('1-Simulation'!F256^2-'1-Specification &amp; Data'!B$21^2))/2</f>
        <v>6.1412693611898339</v>
      </c>
      <c r="M256" s="6">
        <f t="shared" si="35"/>
        <v>159.38384828355282</v>
      </c>
      <c r="N256" s="12">
        <f>'1-Specification &amp; Data'!B$24*'1-Specification &amp; Data'!B$18*8.91</f>
        <v>117.00800891999999</v>
      </c>
      <c r="O256" s="12">
        <f t="shared" si="36"/>
        <v>282.53312656474264</v>
      </c>
      <c r="P256" s="14">
        <f t="shared" si="37"/>
        <v>282.53312656474264</v>
      </c>
      <c r="Q256" s="12">
        <f>IF(J256=1,'1-Specification &amp; Data'!B$52,IF('1-Simulation'!J256=2,'1-Specification &amp; Data'!B$53,IF('1-Simulation'!J256=3,'1-Specification &amp; Data'!B$54)))</f>
        <v>713.06421115882472</v>
      </c>
      <c r="R256" s="12">
        <f>(0.5*'1-Specification &amp; Data'!B$18*'1-Simulation'!F256^2)/1000</f>
        <v>5.9212913902676245</v>
      </c>
      <c r="S256" s="6">
        <f t="shared" si="33"/>
        <v>38.954646514983395</v>
      </c>
      <c r="T256" s="12">
        <v>5.5688000000000004</v>
      </c>
      <c r="U256" s="14">
        <f>O256*'1-Specification &amp; Data'!B$14*0.9</f>
        <v>74.979945126797091</v>
      </c>
    </row>
    <row r="257" spans="2:21" x14ac:dyDescent="0.25">
      <c r="C257" s="6">
        <f t="shared" si="38"/>
        <v>255</v>
      </c>
      <c r="D257" s="6">
        <v>8.5</v>
      </c>
      <c r="E257" s="12">
        <f t="shared" si="34"/>
        <v>13.679401325024363</v>
      </c>
      <c r="F257" s="12">
        <f t="shared" si="39"/>
        <v>3.7998337013956562</v>
      </c>
      <c r="G257" s="13">
        <f t="shared" si="40"/>
        <v>1864.3548776453567</v>
      </c>
      <c r="H257" s="12">
        <f t="shared" si="41"/>
        <v>4.0233533308895186</v>
      </c>
      <c r="I257" s="12">
        <f t="shared" si="42"/>
        <v>-0.4470392589877239</v>
      </c>
      <c r="J257" s="6">
        <f t="shared" si="43"/>
        <v>1</v>
      </c>
      <c r="K257" s="6">
        <v>0</v>
      </c>
      <c r="L257" s="12">
        <f>('1-Specification &amp; Data'!B$22*'1-Specification &amp; Data'!B$10*'1-Specification &amp; Data'!B$20*('1-Simulation'!F257^2-'1-Specification &amp; Data'!B$21^2))/2</f>
        <v>4.4501352164473733</v>
      </c>
      <c r="M257" s="6">
        <f t="shared" si="35"/>
        <v>-318.7676965671069</v>
      </c>
      <c r="N257" s="12">
        <f>'1-Specification &amp; Data'!B$24*'1-Specification &amp; Data'!B$18*8.91</f>
        <v>117.00800891999999</v>
      </c>
      <c r="O257" s="12">
        <f t="shared" si="36"/>
        <v>-197.30955243065949</v>
      </c>
      <c r="P257" s="14">
        <f t="shared" si="37"/>
        <v>197.30955243065949</v>
      </c>
      <c r="Q257" s="12">
        <f>IF(J257=1,'1-Specification &amp; Data'!B$52,IF('1-Simulation'!J257=2,'1-Specification &amp; Data'!B$53,IF('1-Simulation'!J257=3,'1-Specification &amp; Data'!B$54)))</f>
        <v>713.06421115882472</v>
      </c>
      <c r="R257" s="12">
        <f>(0.5*'1-Specification &amp; Data'!B$18*'1-Simulation'!F257^2)/1000</f>
        <v>4.7403136060591233</v>
      </c>
      <c r="S257" s="6">
        <f t="shared" si="33"/>
        <v>38.954646514983395</v>
      </c>
      <c r="T257" s="12">
        <v>5.5688000000000004</v>
      </c>
      <c r="U257" s="14">
        <f>O257*'1-Specification &amp; Data'!B$14*0.9</f>
        <v>-52.36291968352117</v>
      </c>
    </row>
    <row r="258" spans="2:21" x14ac:dyDescent="0.25">
      <c r="B258" s="17" t="s">
        <v>126</v>
      </c>
      <c r="C258" s="6">
        <f t="shared" si="38"/>
        <v>256</v>
      </c>
      <c r="D258" s="6">
        <v>8.5</v>
      </c>
      <c r="E258" s="12">
        <f t="shared" si="34"/>
        <v>13.679401325024363</v>
      </c>
      <c r="F258" s="12">
        <f t="shared" si="39"/>
        <v>3.7998337013956562</v>
      </c>
      <c r="G258" s="13">
        <f t="shared" si="40"/>
        <v>1868.1547113467525</v>
      </c>
      <c r="H258" s="12">
        <f t="shared" si="41"/>
        <v>3.7998337013956562</v>
      </c>
      <c r="I258" s="12">
        <f t="shared" si="42"/>
        <v>0</v>
      </c>
      <c r="J258" s="6">
        <f t="shared" si="43"/>
        <v>1</v>
      </c>
      <c r="K258" s="6">
        <v>0</v>
      </c>
      <c r="L258" s="12">
        <f>('1-Specification &amp; Data'!B$22*'1-Specification &amp; Data'!B$10*'1-Specification &amp; Data'!B$20*('1-Simulation'!F258^2-'1-Specification &amp; Data'!B$21^2))/2</f>
        <v>4.4501352164473733</v>
      </c>
      <c r="M258" s="6">
        <f t="shared" si="35"/>
        <v>0</v>
      </c>
      <c r="N258" s="12">
        <f>'1-Specification &amp; Data'!B$24*'1-Specification &amp; Data'!B$18*8.91</f>
        <v>117.00800891999999</v>
      </c>
      <c r="O258" s="12">
        <f t="shared" si="36"/>
        <v>121.45814413644737</v>
      </c>
      <c r="P258" s="14">
        <f t="shared" si="37"/>
        <v>121.45814413644737</v>
      </c>
      <c r="Q258" s="12">
        <f>IF(J258=1,'1-Specification &amp; Data'!B$52,IF('1-Simulation'!J258=2,'1-Specification &amp; Data'!B$53,IF('1-Simulation'!J258=3,'1-Specification &amp; Data'!B$54)))</f>
        <v>713.06421115882472</v>
      </c>
      <c r="R258" s="12">
        <f>(0.5*'1-Specification &amp; Data'!B$18*'1-Simulation'!F258^2)/1000</f>
        <v>4.7403136060591233</v>
      </c>
      <c r="S258" s="6">
        <f t="shared" ref="S258:S278" si="44">(Q258*9.81*T258)/1000</f>
        <v>38.954646514983395</v>
      </c>
      <c r="T258" s="12">
        <v>5.5688000000000004</v>
      </c>
      <c r="U258" s="14">
        <f>O258*'1-Specification &amp; Data'!B$14*0.9</f>
        <v>32.233122866980267</v>
      </c>
    </row>
    <row r="259" spans="2:21" x14ac:dyDescent="0.25">
      <c r="C259" s="6">
        <f t="shared" si="38"/>
        <v>257</v>
      </c>
      <c r="D259" s="6">
        <v>8.5</v>
      </c>
      <c r="E259" s="12">
        <f t="shared" ref="E259:E278" si="45">F259*3.6</f>
        <v>13.679401325024363</v>
      </c>
      <c r="F259" s="12">
        <f t="shared" si="39"/>
        <v>3.7998337013956562</v>
      </c>
      <c r="G259" s="13">
        <f t="shared" si="40"/>
        <v>1871.9545450481482</v>
      </c>
      <c r="H259" s="12">
        <f t="shared" si="41"/>
        <v>3.7998337013956562</v>
      </c>
      <c r="I259" s="12">
        <f t="shared" si="42"/>
        <v>0</v>
      </c>
      <c r="J259" s="6">
        <f t="shared" si="43"/>
        <v>1</v>
      </c>
      <c r="K259" s="6">
        <v>0</v>
      </c>
      <c r="L259" s="12">
        <f>('1-Specification &amp; Data'!B$22*'1-Specification &amp; Data'!B$10*'1-Specification &amp; Data'!B$20*('1-Simulation'!F259^2-'1-Specification &amp; Data'!B$21^2))/2</f>
        <v>4.4501352164473733</v>
      </c>
      <c r="M259" s="6">
        <f t="shared" ref="M259:M278" si="46">Q259*I259</f>
        <v>0</v>
      </c>
      <c r="N259" s="12">
        <f>'1-Specification &amp; Data'!B$24*'1-Specification &amp; Data'!B$18*8.91</f>
        <v>117.00800891999999</v>
      </c>
      <c r="O259" s="12">
        <f t="shared" ref="O259:O278" si="47">K259+L259+M259+N259</f>
        <v>121.45814413644737</v>
      </c>
      <c r="P259" s="14">
        <f t="shared" ref="P259:P278" si="48">IF(O259&gt;=0,O259,IF(O259&lt;0,-O259))</f>
        <v>121.45814413644737</v>
      </c>
      <c r="Q259" s="12">
        <f>IF(J259=1,'1-Specification &amp; Data'!B$52,IF('1-Simulation'!J259=2,'1-Specification &amp; Data'!B$53,IF('1-Simulation'!J259=3,'1-Specification &amp; Data'!B$54)))</f>
        <v>713.06421115882472</v>
      </c>
      <c r="R259" s="12">
        <f>(0.5*'1-Specification &amp; Data'!B$18*'1-Simulation'!F259^2)/1000</f>
        <v>4.7403136060591233</v>
      </c>
      <c r="S259" s="6">
        <f t="shared" si="44"/>
        <v>38.954646514983395</v>
      </c>
      <c r="T259" s="12">
        <v>5.5688000000000004</v>
      </c>
      <c r="U259" s="14">
        <f>O259*'1-Specification &amp; Data'!B$14*0.9</f>
        <v>32.233122866980267</v>
      </c>
    </row>
    <row r="260" spans="2:21" x14ac:dyDescent="0.25">
      <c r="C260" s="6">
        <f t="shared" ref="C260:C278" si="49">C259+1</f>
        <v>258</v>
      </c>
      <c r="D260" s="6">
        <v>8.5</v>
      </c>
      <c r="E260" s="12">
        <f t="shared" si="45"/>
        <v>13.679401325024363</v>
      </c>
      <c r="F260" s="12">
        <f t="shared" ref="F260:F278" si="50">D260/2.23694</f>
        <v>3.7998337013956562</v>
      </c>
      <c r="G260" s="13">
        <f t="shared" ref="G260:G278" si="51">G259+((F260+F259)/2)</f>
        <v>1875.754378749544</v>
      </c>
      <c r="H260" s="12">
        <f t="shared" ref="H260:H278" si="52">(F260+F259)/2</f>
        <v>3.7998337013956562</v>
      </c>
      <c r="I260" s="12">
        <f t="shared" ref="I260:I277" si="53">(H260-F259)*2</f>
        <v>0</v>
      </c>
      <c r="J260" s="6">
        <f t="shared" ref="J260:J277" si="54">IF(D260&lt;=10,1,IF(AND(D260&gt;10,D260&lt;=20),2,IF(D260&gt;20,3)))</f>
        <v>1</v>
      </c>
      <c r="K260" s="6">
        <v>0</v>
      </c>
      <c r="L260" s="12">
        <f>('1-Specification &amp; Data'!B$22*'1-Specification &amp; Data'!B$10*'1-Specification &amp; Data'!B$20*('1-Simulation'!F260^2-'1-Specification &amp; Data'!B$21^2))/2</f>
        <v>4.4501352164473733</v>
      </c>
      <c r="M260" s="6">
        <f t="shared" si="46"/>
        <v>0</v>
      </c>
      <c r="N260" s="12">
        <f>'1-Specification &amp; Data'!B$24*'1-Specification &amp; Data'!B$18*8.91</f>
        <v>117.00800891999999</v>
      </c>
      <c r="O260" s="12">
        <f t="shared" si="47"/>
        <v>121.45814413644737</v>
      </c>
      <c r="P260" s="14">
        <f t="shared" si="48"/>
        <v>121.45814413644737</v>
      </c>
      <c r="Q260" s="12">
        <f>IF(J260=1,'1-Specification &amp; Data'!B$52,IF('1-Simulation'!J260=2,'1-Specification &amp; Data'!B$53,IF('1-Simulation'!J260=3,'1-Specification &amp; Data'!B$54)))</f>
        <v>713.06421115882472</v>
      </c>
      <c r="R260" s="12">
        <f>(0.5*'1-Specification &amp; Data'!B$18*'1-Simulation'!F260^2)/1000</f>
        <v>4.7403136060591233</v>
      </c>
      <c r="S260" s="6">
        <f t="shared" si="44"/>
        <v>38.954646514983395</v>
      </c>
      <c r="T260" s="12">
        <v>5.5688000000000004</v>
      </c>
      <c r="U260" s="14">
        <f>O260*'1-Specification &amp; Data'!B$14*0.9</f>
        <v>32.233122866980267</v>
      </c>
    </row>
    <row r="261" spans="2:21" x14ac:dyDescent="0.25">
      <c r="C261" s="6">
        <f t="shared" si="49"/>
        <v>259</v>
      </c>
      <c r="D261" s="6">
        <v>8.5</v>
      </c>
      <c r="E261" s="12">
        <f t="shared" si="45"/>
        <v>13.679401325024363</v>
      </c>
      <c r="F261" s="12">
        <f t="shared" si="50"/>
        <v>3.7998337013956562</v>
      </c>
      <c r="G261" s="13">
        <f t="shared" si="51"/>
        <v>1879.5542124509398</v>
      </c>
      <c r="H261" s="12">
        <f t="shared" si="52"/>
        <v>3.7998337013956562</v>
      </c>
      <c r="I261" s="12">
        <f t="shared" si="53"/>
        <v>0</v>
      </c>
      <c r="J261" s="6">
        <f t="shared" si="54"/>
        <v>1</v>
      </c>
      <c r="K261" s="6">
        <v>0</v>
      </c>
      <c r="L261" s="12">
        <f>('1-Specification &amp; Data'!B$22*'1-Specification &amp; Data'!B$10*'1-Specification &amp; Data'!B$20*('1-Simulation'!F261^2-'1-Specification &amp; Data'!B$21^2))/2</f>
        <v>4.4501352164473733</v>
      </c>
      <c r="M261" s="6">
        <f t="shared" si="46"/>
        <v>0</v>
      </c>
      <c r="N261" s="12">
        <f>'1-Specification &amp; Data'!B$24*'1-Specification &amp; Data'!B$18*8.91</f>
        <v>117.00800891999999</v>
      </c>
      <c r="O261" s="12">
        <f t="shared" si="47"/>
        <v>121.45814413644737</v>
      </c>
      <c r="P261" s="14">
        <f t="shared" si="48"/>
        <v>121.45814413644737</v>
      </c>
      <c r="Q261" s="12">
        <f>IF(J261=1,'1-Specification &amp; Data'!B$52,IF('1-Simulation'!J261=2,'1-Specification &amp; Data'!B$53,IF('1-Simulation'!J261=3,'1-Specification &amp; Data'!B$54)))</f>
        <v>713.06421115882472</v>
      </c>
      <c r="R261" s="12">
        <f>(0.5*'1-Specification &amp; Data'!B$18*'1-Simulation'!F261^2)/1000</f>
        <v>4.7403136060591233</v>
      </c>
      <c r="S261" s="6">
        <f t="shared" si="44"/>
        <v>38.954646514983395</v>
      </c>
      <c r="T261" s="12">
        <v>5.5688000000000004</v>
      </c>
      <c r="U261" s="14">
        <f>O261*'1-Specification &amp; Data'!B$14*0.9</f>
        <v>32.233122866980267</v>
      </c>
    </row>
    <row r="262" spans="2:21" x14ac:dyDescent="0.25">
      <c r="C262" s="6">
        <f t="shared" si="49"/>
        <v>260</v>
      </c>
      <c r="D262" s="6">
        <v>8.5</v>
      </c>
      <c r="E262" s="12">
        <f t="shared" si="45"/>
        <v>13.679401325024363</v>
      </c>
      <c r="F262" s="12">
        <f t="shared" si="50"/>
        <v>3.7998337013956562</v>
      </c>
      <c r="G262" s="13">
        <f t="shared" si="51"/>
        <v>1883.3540461523355</v>
      </c>
      <c r="H262" s="12">
        <f t="shared" si="52"/>
        <v>3.7998337013956562</v>
      </c>
      <c r="I262" s="12">
        <f t="shared" si="53"/>
        <v>0</v>
      </c>
      <c r="J262" s="6">
        <f t="shared" si="54"/>
        <v>1</v>
      </c>
      <c r="K262" s="6">
        <v>0</v>
      </c>
      <c r="L262" s="12">
        <f>('1-Specification &amp; Data'!B$22*'1-Specification &amp; Data'!B$10*'1-Specification &amp; Data'!B$20*('1-Simulation'!F262^2-'1-Specification &amp; Data'!B$21^2))/2</f>
        <v>4.4501352164473733</v>
      </c>
      <c r="M262" s="6">
        <f t="shared" si="46"/>
        <v>0</v>
      </c>
      <c r="N262" s="12">
        <f>'1-Specification &amp; Data'!B$24*'1-Specification &amp; Data'!B$18*8.91</f>
        <v>117.00800891999999</v>
      </c>
      <c r="O262" s="12">
        <f t="shared" si="47"/>
        <v>121.45814413644737</v>
      </c>
      <c r="P262" s="14">
        <f t="shared" si="48"/>
        <v>121.45814413644737</v>
      </c>
      <c r="Q262" s="12">
        <f>IF(J262=1,'1-Specification &amp; Data'!B$52,IF('1-Simulation'!J262=2,'1-Specification &amp; Data'!B$53,IF('1-Simulation'!J262=3,'1-Specification &amp; Data'!B$54)))</f>
        <v>713.06421115882472</v>
      </c>
      <c r="R262" s="12">
        <f>(0.5*'1-Specification &amp; Data'!B$18*'1-Simulation'!F262^2)/1000</f>
        <v>4.7403136060591233</v>
      </c>
      <c r="S262" s="6">
        <f t="shared" si="44"/>
        <v>38.954646514983395</v>
      </c>
      <c r="T262" s="12">
        <v>5.5688000000000004</v>
      </c>
      <c r="U262" s="14">
        <f>O262*'1-Specification &amp; Data'!B$14*0.9</f>
        <v>32.233122866980267</v>
      </c>
    </row>
    <row r="263" spans="2:21" x14ac:dyDescent="0.25">
      <c r="C263" s="6">
        <f t="shared" si="49"/>
        <v>261</v>
      </c>
      <c r="D263" s="6">
        <v>8.5</v>
      </c>
      <c r="E263" s="12">
        <f t="shared" si="45"/>
        <v>13.679401325024363</v>
      </c>
      <c r="F263" s="12">
        <f t="shared" si="50"/>
        <v>3.7998337013956562</v>
      </c>
      <c r="G263" s="13">
        <f t="shared" si="51"/>
        <v>1887.1538798537313</v>
      </c>
      <c r="H263" s="12">
        <f t="shared" si="52"/>
        <v>3.7998337013956562</v>
      </c>
      <c r="I263" s="12">
        <f t="shared" si="53"/>
        <v>0</v>
      </c>
      <c r="J263" s="6">
        <f t="shared" si="54"/>
        <v>1</v>
      </c>
      <c r="K263" s="6">
        <v>0</v>
      </c>
      <c r="L263" s="12">
        <f>('1-Specification &amp; Data'!B$22*'1-Specification &amp; Data'!B$10*'1-Specification &amp; Data'!B$20*('1-Simulation'!F263^2-'1-Specification &amp; Data'!B$21^2))/2</f>
        <v>4.4501352164473733</v>
      </c>
      <c r="M263" s="6">
        <f t="shared" si="46"/>
        <v>0</v>
      </c>
      <c r="N263" s="12">
        <f>'1-Specification &amp; Data'!B$24*'1-Specification &amp; Data'!B$18*8.91</f>
        <v>117.00800891999999</v>
      </c>
      <c r="O263" s="12">
        <f t="shared" si="47"/>
        <v>121.45814413644737</v>
      </c>
      <c r="P263" s="14">
        <f t="shared" si="48"/>
        <v>121.45814413644737</v>
      </c>
      <c r="Q263" s="12">
        <f>IF(J263=1,'1-Specification &amp; Data'!B$52,IF('1-Simulation'!J263=2,'1-Specification &amp; Data'!B$53,IF('1-Simulation'!J263=3,'1-Specification &amp; Data'!B$54)))</f>
        <v>713.06421115882472</v>
      </c>
      <c r="R263" s="12">
        <f>(0.5*'1-Specification &amp; Data'!B$18*'1-Simulation'!F263^2)/1000</f>
        <v>4.7403136060591233</v>
      </c>
      <c r="S263" s="6">
        <f t="shared" si="44"/>
        <v>38.954646514983395</v>
      </c>
      <c r="T263" s="12">
        <v>5.5688000000000004</v>
      </c>
      <c r="U263" s="14">
        <f>O263*'1-Specification &amp; Data'!B$14*0.9</f>
        <v>32.233122866980267</v>
      </c>
    </row>
    <row r="264" spans="2:21" x14ac:dyDescent="0.25">
      <c r="B264" s="17" t="s">
        <v>127</v>
      </c>
      <c r="C264" s="6">
        <f t="shared" si="49"/>
        <v>262</v>
      </c>
      <c r="D264" s="6">
        <v>8.5</v>
      </c>
      <c r="E264" s="12">
        <f t="shared" si="45"/>
        <v>13.679401325024363</v>
      </c>
      <c r="F264" s="12">
        <f t="shared" si="50"/>
        <v>3.7998337013956562</v>
      </c>
      <c r="G264" s="13">
        <f t="shared" si="51"/>
        <v>1890.953713555127</v>
      </c>
      <c r="H264" s="12">
        <f t="shared" si="52"/>
        <v>3.7998337013956562</v>
      </c>
      <c r="I264" s="12">
        <f t="shared" si="53"/>
        <v>0</v>
      </c>
      <c r="J264" s="6">
        <f t="shared" si="54"/>
        <v>1</v>
      </c>
      <c r="K264" s="6">
        <v>0</v>
      </c>
      <c r="L264" s="12">
        <f>('1-Specification &amp; Data'!B$22*'1-Specification &amp; Data'!B$10*'1-Specification &amp; Data'!B$20*('1-Simulation'!F264^2-'1-Specification &amp; Data'!B$21^2))/2</f>
        <v>4.4501352164473733</v>
      </c>
      <c r="M264" s="6">
        <f t="shared" si="46"/>
        <v>0</v>
      </c>
      <c r="N264" s="12">
        <f>'1-Specification &amp; Data'!B$24*'1-Specification &amp; Data'!B$18*8.91</f>
        <v>117.00800891999999</v>
      </c>
      <c r="O264" s="12">
        <f t="shared" si="47"/>
        <v>121.45814413644737</v>
      </c>
      <c r="P264" s="14">
        <f t="shared" si="48"/>
        <v>121.45814413644737</v>
      </c>
      <c r="Q264" s="12">
        <f>IF(J264=1,'1-Specification &amp; Data'!B$52,IF('1-Simulation'!J264=2,'1-Specification &amp; Data'!B$53,IF('1-Simulation'!J264=3,'1-Specification &amp; Data'!B$54)))</f>
        <v>713.06421115882472</v>
      </c>
      <c r="R264" s="12">
        <f>(0.5*'1-Specification &amp; Data'!B$18*'1-Simulation'!F264^2)/1000</f>
        <v>4.7403136060591233</v>
      </c>
      <c r="S264" s="6">
        <f t="shared" si="44"/>
        <v>38.954646514983395</v>
      </c>
      <c r="T264" s="12">
        <v>5.5688000000000004</v>
      </c>
      <c r="U264" s="14">
        <f>O264*'1-Specification &amp; Data'!B$14*0.9</f>
        <v>32.233122866980267</v>
      </c>
    </row>
    <row r="265" spans="2:21" x14ac:dyDescent="0.25">
      <c r="C265" s="6">
        <f t="shared" si="49"/>
        <v>263</v>
      </c>
      <c r="D265" s="6">
        <v>9.5</v>
      </c>
      <c r="E265" s="12">
        <f t="shared" si="45"/>
        <v>15.288742657380171</v>
      </c>
      <c r="F265" s="12">
        <f t="shared" si="50"/>
        <v>4.2468729603833806</v>
      </c>
      <c r="G265" s="13">
        <f t="shared" si="51"/>
        <v>1894.9770668860165</v>
      </c>
      <c r="H265" s="12">
        <f t="shared" si="52"/>
        <v>4.0233533308895186</v>
      </c>
      <c r="I265" s="12">
        <f t="shared" si="53"/>
        <v>0.44703925898772479</v>
      </c>
      <c r="J265" s="6">
        <f t="shared" si="54"/>
        <v>1</v>
      </c>
      <c r="K265" s="6">
        <v>0</v>
      </c>
      <c r="L265" s="12">
        <f>('1-Specification &amp; Data'!B$22*'1-Specification &amp; Data'!B$10*'1-Specification &amp; Data'!B$20*('1-Simulation'!F265^2-'1-Specification &amp; Data'!B$21^2))/2</f>
        <v>6.1412693611898339</v>
      </c>
      <c r="M265" s="6">
        <f t="shared" si="46"/>
        <v>318.76769656710752</v>
      </c>
      <c r="N265" s="12">
        <f>'1-Specification &amp; Data'!B$24*'1-Specification &amp; Data'!B$18*8.91</f>
        <v>117.00800891999999</v>
      </c>
      <c r="O265" s="12">
        <f t="shared" si="47"/>
        <v>441.91697484829734</v>
      </c>
      <c r="P265" s="14">
        <f t="shared" si="48"/>
        <v>441.91697484829734</v>
      </c>
      <c r="Q265" s="12">
        <f>IF(J265=1,'1-Specification &amp; Data'!B$52,IF('1-Simulation'!J265=2,'1-Specification &amp; Data'!B$53,IF('1-Simulation'!J265=3,'1-Specification &amp; Data'!B$54)))</f>
        <v>713.06421115882472</v>
      </c>
      <c r="R265" s="12">
        <f>(0.5*'1-Specification &amp; Data'!B$18*'1-Simulation'!F265^2)/1000</f>
        <v>5.9212913902676245</v>
      </c>
      <c r="S265" s="6">
        <f t="shared" si="44"/>
        <v>38.954646514983395</v>
      </c>
      <c r="T265" s="12">
        <v>5.5688000000000004</v>
      </c>
      <c r="U265" s="14">
        <f>O265*'1-Specification &amp; Data'!B$14*0.9</f>
        <v>117.27796640204815</v>
      </c>
    </row>
    <row r="266" spans="2:21" x14ac:dyDescent="0.25">
      <c r="C266" s="6">
        <f t="shared" si="49"/>
        <v>264</v>
      </c>
      <c r="D266" s="6">
        <v>10</v>
      </c>
      <c r="E266" s="12">
        <f t="shared" si="45"/>
        <v>16.093413323558075</v>
      </c>
      <c r="F266" s="12">
        <f t="shared" si="50"/>
        <v>4.4703925898772425</v>
      </c>
      <c r="G266" s="13">
        <f t="shared" si="51"/>
        <v>1899.3356996611467</v>
      </c>
      <c r="H266" s="12">
        <f t="shared" si="52"/>
        <v>4.358632775130312</v>
      </c>
      <c r="I266" s="12">
        <f t="shared" si="53"/>
        <v>0.22351962949386284</v>
      </c>
      <c r="J266" s="6">
        <f t="shared" si="54"/>
        <v>1</v>
      </c>
      <c r="K266" s="6">
        <v>0</v>
      </c>
      <c r="L266" s="12">
        <f>('1-Specification &amp; Data'!B$22*'1-Specification &amp; Data'!B$10*'1-Specification &amp; Data'!B$20*('1-Simulation'!F266^2-'1-Specification &amp; Data'!B$21^2))/2</f>
        <v>7.0573003562586658</v>
      </c>
      <c r="M266" s="6">
        <f t="shared" si="46"/>
        <v>159.38384828355407</v>
      </c>
      <c r="N266" s="12">
        <f>'1-Specification &amp; Data'!B$24*'1-Specification &amp; Data'!B$18*8.91</f>
        <v>117.00800891999999</v>
      </c>
      <c r="O266" s="12">
        <f t="shared" si="47"/>
        <v>283.44915755981276</v>
      </c>
      <c r="P266" s="14">
        <f t="shared" si="48"/>
        <v>283.44915755981276</v>
      </c>
      <c r="Q266" s="12">
        <f>IF(J266=1,'1-Specification &amp; Data'!B$52,IF('1-Simulation'!J266=2,'1-Specification &amp; Data'!B$53,IF('1-Simulation'!J266=3,'1-Specification &amp; Data'!B$54)))</f>
        <v>713.06421115882472</v>
      </c>
      <c r="R266" s="12">
        <f>(0.5*'1-Specification &amp; Data'!B$18*'1-Simulation'!F266^2)/1000</f>
        <v>6.560987690047229</v>
      </c>
      <c r="S266" s="6">
        <f t="shared" si="44"/>
        <v>38.954646514983395</v>
      </c>
      <c r="T266" s="12">
        <v>5.5688000000000004</v>
      </c>
      <c r="U266" s="14">
        <f>O266*'1-Specification &amp; Data'!B$14*0.9</f>
        <v>75.223045660104162</v>
      </c>
    </row>
    <row r="267" spans="2:21" x14ac:dyDescent="0.25">
      <c r="C267" s="6">
        <f t="shared" si="49"/>
        <v>265</v>
      </c>
      <c r="D267" s="6">
        <v>10.199999999999999</v>
      </c>
      <c r="E267" s="12">
        <f t="shared" si="45"/>
        <v>16.415281590029235</v>
      </c>
      <c r="F267" s="12">
        <f t="shared" si="50"/>
        <v>4.5598004416747875</v>
      </c>
      <c r="G267" s="13">
        <f t="shared" si="51"/>
        <v>1903.8507961769228</v>
      </c>
      <c r="H267" s="12">
        <f t="shared" si="52"/>
        <v>4.5150965157760155</v>
      </c>
      <c r="I267" s="12">
        <f t="shared" si="53"/>
        <v>8.9407851797545845E-2</v>
      </c>
      <c r="J267" s="6">
        <f t="shared" si="54"/>
        <v>2</v>
      </c>
      <c r="K267" s="6">
        <v>0</v>
      </c>
      <c r="L267" s="12">
        <f>('1-Specification &amp; Data'!B$22*'1-Specification &amp; Data'!B$10*'1-Specification &amp; Data'!B$20*('1-Simulation'!F267^2-'1-Specification &amp; Data'!B$21^2))/2</f>
        <v>7.436866019856418</v>
      </c>
      <c r="M267" s="6">
        <f t="shared" si="46"/>
        <v>63.020802209110848</v>
      </c>
      <c r="N267" s="12">
        <f>'1-Specification &amp; Data'!B$24*'1-Specification &amp; Data'!B$18*8.91</f>
        <v>117.00800891999999</v>
      </c>
      <c r="O267" s="12">
        <f t="shared" si="47"/>
        <v>187.46567714896725</v>
      </c>
      <c r="P267" s="14">
        <f t="shared" si="48"/>
        <v>187.46567714896725</v>
      </c>
      <c r="Q267" s="12">
        <f>IF(J267=1,'1-Specification &amp; Data'!B$52,IF('1-Simulation'!J267=2,'1-Specification &amp; Data'!B$53,IF('1-Simulation'!J267=3,'1-Specification &amp; Data'!B$54)))</f>
        <v>704.8687664682343</v>
      </c>
      <c r="R267" s="12">
        <f>(0.5*'1-Specification &amp; Data'!B$18*'1-Simulation'!F267^2)/1000</f>
        <v>6.8260515927251371</v>
      </c>
      <c r="S267" s="6">
        <f t="shared" si="44"/>
        <v>38.506929961608463</v>
      </c>
      <c r="T267" s="12">
        <v>5.5688000000000004</v>
      </c>
      <c r="U267" s="14">
        <f>O267*'1-Specification &amp; Data'!B$14*0.9</f>
        <v>49.750506627995158</v>
      </c>
    </row>
    <row r="268" spans="2:21" x14ac:dyDescent="0.25">
      <c r="B268" s="17" t="s">
        <v>128</v>
      </c>
      <c r="C268" s="6">
        <f t="shared" si="49"/>
        <v>266</v>
      </c>
      <c r="D268" s="6">
        <v>12</v>
      </c>
      <c r="E268" s="12">
        <f t="shared" si="45"/>
        <v>19.312095988269689</v>
      </c>
      <c r="F268" s="12">
        <f t="shared" si="50"/>
        <v>5.3644711078526912</v>
      </c>
      <c r="G268" s="13">
        <f t="shared" si="51"/>
        <v>1908.8129319516866</v>
      </c>
      <c r="H268" s="12">
        <f t="shared" si="52"/>
        <v>4.9621357747637393</v>
      </c>
      <c r="I268" s="12">
        <f t="shared" si="53"/>
        <v>0.80467066617790373</v>
      </c>
      <c r="J268" s="6">
        <f t="shared" si="54"/>
        <v>2</v>
      </c>
      <c r="K268" s="6">
        <f>-'1-Specification &amp; Data'!B$18*9.81*'1-Specification &amp; Data'!L$16</f>
        <v>-1045.36668922794</v>
      </c>
      <c r="L268" s="12">
        <f>('1-Specification &amp; Data'!B$22*'1-Specification &amp; Data'!B$10*'1-Specification &amp; Data'!B$20*('1-Simulation'!F268^2-'1-Specification &amp; Data'!B$21^2))/2</f>
        <v>11.19118382118468</v>
      </c>
      <c r="M268" s="6">
        <f t="shared" si="46"/>
        <v>567.18721988199138</v>
      </c>
      <c r="N268" s="12">
        <f>'1-Specification &amp; Data'!B$24*'1-Specification &amp; Data'!B$18*8.91</f>
        <v>117.00800891999999</v>
      </c>
      <c r="O268" s="12">
        <f t="shared" si="47"/>
        <v>-349.9802766047639</v>
      </c>
      <c r="P268" s="14">
        <f t="shared" si="48"/>
        <v>349.9802766047639</v>
      </c>
      <c r="Q268" s="12">
        <f>IF(J268=1,'1-Specification &amp; Data'!B$52,IF('1-Simulation'!J268=2,'1-Specification &amp; Data'!B$53,IF('1-Simulation'!J268=3,'1-Specification &amp; Data'!B$54)))</f>
        <v>704.8687664682343</v>
      </c>
      <c r="R268" s="12">
        <f>(0.5*'1-Specification &amp; Data'!B$18*'1-Simulation'!F268^2)/1000</f>
        <v>9.4478222736680113</v>
      </c>
      <c r="S268" s="6">
        <f t="shared" si="44"/>
        <v>38.506929961608463</v>
      </c>
      <c r="T268" s="12">
        <v>5.5688000000000004</v>
      </c>
      <c r="U268" s="14">
        <f>O268*'1-Specification &amp; Data'!B$14*0.9</f>
        <v>-92.879381098956586</v>
      </c>
    </row>
    <row r="269" spans="2:21" x14ac:dyDescent="0.25">
      <c r="B269" s="17" t="s">
        <v>128</v>
      </c>
      <c r="C269" s="6">
        <f t="shared" si="49"/>
        <v>267</v>
      </c>
      <c r="D269" s="6">
        <v>15</v>
      </c>
      <c r="E269" s="12">
        <f t="shared" si="45"/>
        <v>24.140119985337112</v>
      </c>
      <c r="F269" s="12">
        <f t="shared" si="50"/>
        <v>6.7055888848158638</v>
      </c>
      <c r="G269" s="13">
        <f t="shared" si="51"/>
        <v>1914.8479619480208</v>
      </c>
      <c r="H269" s="12">
        <f t="shared" si="52"/>
        <v>6.0350299963342771</v>
      </c>
      <c r="I269" s="12">
        <f t="shared" si="53"/>
        <v>1.3411177769631717</v>
      </c>
      <c r="J269" s="6">
        <f t="shared" si="54"/>
        <v>2</v>
      </c>
      <c r="K269" s="6">
        <f>-'1-Specification &amp; Data'!B$18*9.81*'1-Specification &amp; Data'!L$16</f>
        <v>-1045.36668922794</v>
      </c>
      <c r="L269" s="12">
        <f>('1-Specification &amp; Data'!B$22*'1-Specification &amp; Data'!B$10*'1-Specification &amp; Data'!B$20*('1-Simulation'!F269^2-'1-Specification &amp; Data'!B$21^2))/2</f>
        <v>18.801287472525743</v>
      </c>
      <c r="M269" s="6">
        <f t="shared" si="46"/>
        <v>945.31203313665139</v>
      </c>
      <c r="N269" s="12">
        <f>'1-Specification &amp; Data'!B$24*'1-Specification &amp; Data'!B$18*8.91</f>
        <v>117.00800891999999</v>
      </c>
      <c r="O269" s="12">
        <f t="shared" si="47"/>
        <v>35.754640301237075</v>
      </c>
      <c r="P269" s="14">
        <f t="shared" si="48"/>
        <v>35.754640301237075</v>
      </c>
      <c r="Q269" s="12">
        <f>IF(J269=1,'1-Specification &amp; Data'!B$52,IF('1-Simulation'!J269=2,'1-Specification &amp; Data'!B$53,IF('1-Simulation'!J269=3,'1-Specification &amp; Data'!B$54)))</f>
        <v>704.8687664682343</v>
      </c>
      <c r="R269" s="12">
        <f>(0.5*'1-Specification &amp; Data'!B$18*'1-Simulation'!F269^2)/1000</f>
        <v>14.762222302606265</v>
      </c>
      <c r="S269" s="6">
        <f t="shared" si="44"/>
        <v>28.880197471206337</v>
      </c>
      <c r="T269" s="12">
        <v>4.1765999999999996</v>
      </c>
      <c r="U269" s="14">
        <f>O269*'1-Specification &amp; Data'!B$14*0.9</f>
        <v>9.4887314645590699</v>
      </c>
    </row>
    <row r="270" spans="2:21" x14ac:dyDescent="0.25">
      <c r="B270" s="17" t="s">
        <v>128</v>
      </c>
      <c r="C270" s="6">
        <f t="shared" si="49"/>
        <v>268</v>
      </c>
      <c r="D270" s="6">
        <v>18</v>
      </c>
      <c r="E270" s="12">
        <f t="shared" si="45"/>
        <v>28.968143982404534</v>
      </c>
      <c r="F270" s="12">
        <f t="shared" si="50"/>
        <v>8.0467066617790373</v>
      </c>
      <c r="G270" s="13">
        <f t="shared" si="51"/>
        <v>1922.2241097213182</v>
      </c>
      <c r="H270" s="12">
        <f t="shared" si="52"/>
        <v>7.3761477732974505</v>
      </c>
      <c r="I270" s="12">
        <f t="shared" si="53"/>
        <v>1.3411177769631735</v>
      </c>
      <c r="J270" s="6">
        <f t="shared" si="54"/>
        <v>2</v>
      </c>
      <c r="K270" s="6">
        <f>-'1-Specification &amp; Data'!B$18*9.81*'1-Specification &amp; Data'!L$16</f>
        <v>-1045.36668922794</v>
      </c>
      <c r="L270" s="12">
        <f>('1-Specification &amp; Data'!B$22*'1-Specification &amp; Data'!B$10*'1-Specification &amp; Data'!B$20*('1-Simulation'!F270^2-'1-Specification &amp; Data'!B$21^2))/2</f>
        <v>28.102525268609277</v>
      </c>
      <c r="M270" s="6">
        <f t="shared" si="46"/>
        <v>945.31203313665264</v>
      </c>
      <c r="N270" s="12">
        <f>'1-Specification &amp; Data'!B$24*'1-Specification &amp; Data'!B$18*8.91</f>
        <v>117.00800891999999</v>
      </c>
      <c r="O270" s="12">
        <f t="shared" si="47"/>
        <v>45.055878097321894</v>
      </c>
      <c r="P270" s="14">
        <f t="shared" si="48"/>
        <v>45.055878097321894</v>
      </c>
      <c r="Q270" s="12">
        <f>IF(J270=1,'1-Specification &amp; Data'!B$52,IF('1-Simulation'!J270=2,'1-Specification &amp; Data'!B$53,IF('1-Simulation'!J270=3,'1-Specification &amp; Data'!B$54)))</f>
        <v>704.8687664682343</v>
      </c>
      <c r="R270" s="12">
        <f>(0.5*'1-Specification &amp; Data'!B$18*'1-Simulation'!F270^2)/1000</f>
        <v>21.257600115753025</v>
      </c>
      <c r="S270" s="6">
        <f t="shared" si="44"/>
        <v>19.253464980804232</v>
      </c>
      <c r="T270" s="12">
        <v>2.7844000000000002</v>
      </c>
      <c r="U270" s="14">
        <f>O270*'1-Specification &amp; Data'!B$14*0.9</f>
        <v>11.957136879673889</v>
      </c>
    </row>
    <row r="271" spans="2:21" x14ac:dyDescent="0.25">
      <c r="B271" s="17" t="s">
        <v>128</v>
      </c>
      <c r="C271" s="6">
        <f t="shared" si="49"/>
        <v>269</v>
      </c>
      <c r="D271" s="6">
        <v>20</v>
      </c>
      <c r="E271" s="12">
        <f t="shared" si="45"/>
        <v>32.186826647116149</v>
      </c>
      <c r="F271" s="12">
        <f t="shared" si="50"/>
        <v>8.9407851797544851</v>
      </c>
      <c r="G271" s="13">
        <f t="shared" si="51"/>
        <v>1930.7178556420849</v>
      </c>
      <c r="H271" s="12">
        <f t="shared" si="52"/>
        <v>8.4937459207667612</v>
      </c>
      <c r="I271" s="12">
        <f t="shared" si="53"/>
        <v>0.8940785179754478</v>
      </c>
      <c r="J271" s="6">
        <f t="shared" si="54"/>
        <v>2</v>
      </c>
      <c r="K271" s="6">
        <f>-'1-Specification &amp; Data'!B$18*9.81*'1-Specification &amp; Data'!L$16</f>
        <v>-1045.36668922794</v>
      </c>
      <c r="L271" s="12">
        <f>('1-Specification &amp; Data'!B$22*'1-Specification &amp; Data'!B$10*'1-Specification &amp; Data'!B$20*('1-Simulation'!F271^2-'1-Specification &amp; Data'!B$21^2))/2</f>
        <v>35.24286943529966</v>
      </c>
      <c r="M271" s="6">
        <f t="shared" si="46"/>
        <v>630.20802209110093</v>
      </c>
      <c r="N271" s="12">
        <f>'1-Specification &amp; Data'!B$24*'1-Specification &amp; Data'!B$18*8.91</f>
        <v>117.00800891999999</v>
      </c>
      <c r="O271" s="12">
        <f t="shared" si="47"/>
        <v>-262.90778878153941</v>
      </c>
      <c r="P271" s="14">
        <f t="shared" si="48"/>
        <v>262.90778878153941</v>
      </c>
      <c r="Q271" s="12">
        <f>IF(J271=1,'1-Specification &amp; Data'!B$52,IF('1-Simulation'!J271=2,'1-Specification &amp; Data'!B$53,IF('1-Simulation'!J271=3,'1-Specification &amp; Data'!B$54)))</f>
        <v>704.8687664682343</v>
      </c>
      <c r="R271" s="12">
        <f>(0.5*'1-Specification &amp; Data'!B$18*'1-Simulation'!F271^2)/1000</f>
        <v>26.243950760188916</v>
      </c>
      <c r="S271" s="6">
        <f t="shared" si="44"/>
        <v>9.6267324904021159</v>
      </c>
      <c r="T271" s="12">
        <v>1.3922000000000001</v>
      </c>
      <c r="U271" s="14">
        <f>O271*'1-Specification &amp; Data'!B$14*0.9</f>
        <v>-69.771682407408548</v>
      </c>
    </row>
    <row r="272" spans="2:21" x14ac:dyDescent="0.25">
      <c r="B272" s="17" t="s">
        <v>128</v>
      </c>
      <c r="C272" s="6">
        <f t="shared" si="49"/>
        <v>270</v>
      </c>
      <c r="D272" s="6">
        <v>18</v>
      </c>
      <c r="E272" s="12">
        <f t="shared" si="45"/>
        <v>28.968143982404534</v>
      </c>
      <c r="F272" s="12">
        <f t="shared" si="50"/>
        <v>8.0467066617790373</v>
      </c>
      <c r="G272" s="13">
        <f t="shared" si="51"/>
        <v>1939.2116015628517</v>
      </c>
      <c r="H272" s="12">
        <f t="shared" si="52"/>
        <v>8.4937459207667612</v>
      </c>
      <c r="I272" s="12">
        <f t="shared" si="53"/>
        <v>-0.8940785179754478</v>
      </c>
      <c r="J272" s="6">
        <f t="shared" si="54"/>
        <v>2</v>
      </c>
      <c r="K272" s="6">
        <f>-'1-Specification &amp; Data'!B$18*9.81*'1-Specification &amp; Data'!L$16</f>
        <v>-1045.36668922794</v>
      </c>
      <c r="L272" s="12">
        <f>('1-Specification &amp; Data'!B$22*'1-Specification &amp; Data'!B$10*'1-Specification &amp; Data'!B$20*('1-Simulation'!F272^2-'1-Specification &amp; Data'!B$21^2))/2</f>
        <v>28.102525268609277</v>
      </c>
      <c r="M272" s="6">
        <f t="shared" si="46"/>
        <v>-630.20802209110093</v>
      </c>
      <c r="N272" s="12">
        <f>'1-Specification &amp; Data'!B$24*'1-Specification &amp; Data'!B$18*8.91</f>
        <v>117.00800891999999</v>
      </c>
      <c r="O272" s="12">
        <f t="shared" si="47"/>
        <v>-1530.4641771304316</v>
      </c>
      <c r="P272" s="14">
        <f t="shared" si="48"/>
        <v>1530.4641771304316</v>
      </c>
      <c r="Q272" s="12">
        <f>IF(J272=1,'1-Specification &amp; Data'!B$52,IF('1-Simulation'!J272=2,'1-Specification &amp; Data'!B$53,IF('1-Simulation'!J272=3,'1-Specification &amp; Data'!B$54)))</f>
        <v>704.8687664682343</v>
      </c>
      <c r="R272" s="12">
        <f>(0.5*'1-Specification &amp; Data'!B$18*'1-Simulation'!F272^2)/1000</f>
        <v>21.257600115753025</v>
      </c>
      <c r="S272" s="6">
        <f t="shared" si="44"/>
        <v>0</v>
      </c>
      <c r="T272" s="12">
        <v>0</v>
      </c>
      <c r="U272" s="14">
        <f>O272*'1-Specification &amp; Data'!B$14*0.9</f>
        <v>-406.1616470076915</v>
      </c>
    </row>
    <row r="273" spans="3:21" x14ac:dyDescent="0.25">
      <c r="C273" s="6">
        <f t="shared" si="49"/>
        <v>271</v>
      </c>
      <c r="D273" s="6">
        <v>16</v>
      </c>
      <c r="E273" s="12">
        <f t="shared" si="45"/>
        <v>25.749461317692919</v>
      </c>
      <c r="F273" s="12">
        <f t="shared" si="50"/>
        <v>7.1526281438035886</v>
      </c>
      <c r="G273" s="13">
        <f t="shared" si="51"/>
        <v>1946.811268965643</v>
      </c>
      <c r="H273" s="12">
        <f t="shared" si="52"/>
        <v>7.5996674027913134</v>
      </c>
      <c r="I273" s="12">
        <f t="shared" si="53"/>
        <v>-0.8940785179754478</v>
      </c>
      <c r="J273" s="6">
        <f t="shared" si="54"/>
        <v>2</v>
      </c>
      <c r="K273" s="6">
        <v>0</v>
      </c>
      <c r="L273" s="12">
        <f>('1-Specification &amp; Data'!B$22*'1-Specification &amp; Data'!B$10*'1-Specification &amp; Data'!B$20*('1-Simulation'!F273^2-'1-Specification &amp; Data'!B$21^2))/2</f>
        <v>21.713796277359986</v>
      </c>
      <c r="M273" s="6">
        <f t="shared" si="46"/>
        <v>-630.20802209110093</v>
      </c>
      <c r="N273" s="12">
        <f>'1-Specification &amp; Data'!B$24*'1-Specification &amp; Data'!B$18*8.91</f>
        <v>117.00800891999999</v>
      </c>
      <c r="O273" s="12">
        <f t="shared" si="47"/>
        <v>-491.48621689374096</v>
      </c>
      <c r="P273" s="14">
        <f t="shared" si="48"/>
        <v>491.48621689374096</v>
      </c>
      <c r="Q273" s="12">
        <f>IF(J273=1,'1-Specification &amp; Data'!B$52,IF('1-Simulation'!J273=2,'1-Specification &amp; Data'!B$53,IF('1-Simulation'!J273=3,'1-Specification &amp; Data'!B$54)))</f>
        <v>704.8687664682343</v>
      </c>
      <c r="R273" s="12">
        <f>(0.5*'1-Specification &amp; Data'!B$18*'1-Simulation'!F273^2)/1000</f>
        <v>16.79612848652091</v>
      </c>
      <c r="S273" s="6">
        <f t="shared" si="44"/>
        <v>0</v>
      </c>
      <c r="T273" s="12">
        <v>0</v>
      </c>
      <c r="U273" s="14">
        <f>O273*'1-Specification &amp; Data'!B$14*0.9</f>
        <v>-130.43288063718512</v>
      </c>
    </row>
    <row r="274" spans="3:21" x14ac:dyDescent="0.25">
      <c r="C274" s="6">
        <f t="shared" si="49"/>
        <v>272</v>
      </c>
      <c r="D274" s="6">
        <v>14</v>
      </c>
      <c r="E274" s="12">
        <f t="shared" si="45"/>
        <v>22.530778652981304</v>
      </c>
      <c r="F274" s="12">
        <f t="shared" si="50"/>
        <v>6.2585496258281399</v>
      </c>
      <c r="G274" s="13">
        <f t="shared" si="51"/>
        <v>1953.5168578504588</v>
      </c>
      <c r="H274" s="12">
        <f t="shared" si="52"/>
        <v>6.7055888848158638</v>
      </c>
      <c r="I274" s="12">
        <f t="shared" si="53"/>
        <v>-0.89407851797544957</v>
      </c>
      <c r="J274" s="6">
        <f t="shared" si="54"/>
        <v>2</v>
      </c>
      <c r="K274" s="6">
        <v>0</v>
      </c>
      <c r="L274" s="12">
        <f>('1-Specification &amp; Data'!B$22*'1-Specification &amp; Data'!B$10*'1-Specification &amp; Data'!B$20*('1-Simulation'!F274^2-'1-Specification &amp; Data'!B$21^2))/2</f>
        <v>16.076682461551783</v>
      </c>
      <c r="M274" s="6">
        <f t="shared" si="46"/>
        <v>-630.20802209110218</v>
      </c>
      <c r="N274" s="12">
        <f>'1-Specification &amp; Data'!B$24*'1-Specification &amp; Data'!B$18*8.91</f>
        <v>117.00800891999999</v>
      </c>
      <c r="O274" s="12">
        <f t="shared" si="47"/>
        <v>-497.12333070955043</v>
      </c>
      <c r="P274" s="14">
        <f t="shared" si="48"/>
        <v>497.12333070955043</v>
      </c>
      <c r="Q274" s="12">
        <f>IF(J274=1,'1-Specification &amp; Data'!B$52,IF('1-Simulation'!J274=2,'1-Specification &amp; Data'!B$53,IF('1-Simulation'!J274=3,'1-Specification &amp; Data'!B$54)))</f>
        <v>704.8687664682343</v>
      </c>
      <c r="R274" s="12">
        <f>(0.5*'1-Specification &amp; Data'!B$18*'1-Simulation'!F274^2)/1000</f>
        <v>12.85953587249257</v>
      </c>
      <c r="S274" s="6">
        <f t="shared" si="44"/>
        <v>0</v>
      </c>
      <c r="T274" s="12">
        <v>0</v>
      </c>
      <c r="U274" s="14">
        <f>O274*'1-Specification &amp; Data'!B$14*0.9</f>
        <v>-131.928883919073</v>
      </c>
    </row>
    <row r="275" spans="3:21" x14ac:dyDescent="0.25">
      <c r="C275" s="6">
        <f t="shared" si="49"/>
        <v>273</v>
      </c>
      <c r="D275" s="6">
        <v>12</v>
      </c>
      <c r="E275" s="12">
        <f t="shared" si="45"/>
        <v>19.312095988269689</v>
      </c>
      <c r="F275" s="12">
        <f t="shared" si="50"/>
        <v>5.3644711078526912</v>
      </c>
      <c r="G275" s="13">
        <f t="shared" si="51"/>
        <v>1959.3283682172992</v>
      </c>
      <c r="H275" s="12">
        <f t="shared" si="52"/>
        <v>5.811510366840416</v>
      </c>
      <c r="I275" s="12">
        <f t="shared" si="53"/>
        <v>-0.8940785179754478</v>
      </c>
      <c r="J275" s="6">
        <f t="shared" si="54"/>
        <v>2</v>
      </c>
      <c r="K275" s="6">
        <v>0</v>
      </c>
      <c r="L275" s="12">
        <f>('1-Specification &amp; Data'!B$22*'1-Specification &amp; Data'!B$10*'1-Specification &amp; Data'!B$20*('1-Simulation'!F275^2-'1-Specification &amp; Data'!B$21^2))/2</f>
        <v>11.19118382118468</v>
      </c>
      <c r="M275" s="6">
        <f t="shared" si="46"/>
        <v>-630.20802209110093</v>
      </c>
      <c r="N275" s="12">
        <f>'1-Specification &amp; Data'!B$24*'1-Specification &amp; Data'!B$18*8.91</f>
        <v>117.00800891999999</v>
      </c>
      <c r="O275" s="12">
        <f t="shared" si="47"/>
        <v>-502.0088293499162</v>
      </c>
      <c r="P275" s="14">
        <f t="shared" si="48"/>
        <v>502.0088293499162</v>
      </c>
      <c r="Q275" s="12">
        <f>IF(J275=1,'1-Specification &amp; Data'!B$52,IF('1-Simulation'!J275=2,'1-Specification &amp; Data'!B$53,IF('1-Simulation'!J275=3,'1-Specification &amp; Data'!B$54)))</f>
        <v>704.8687664682343</v>
      </c>
      <c r="R275" s="12">
        <f>(0.5*'1-Specification &amp; Data'!B$18*'1-Simulation'!F275^2)/1000</f>
        <v>9.4478222736680113</v>
      </c>
      <c r="S275" s="6">
        <f t="shared" si="44"/>
        <v>0</v>
      </c>
      <c r="T275" s="12">
        <v>0</v>
      </c>
      <c r="U275" s="14">
        <f>O275*'1-Specification &amp; Data'!B$14*0.9</f>
        <v>-133.22542009670855</v>
      </c>
    </row>
    <row r="276" spans="3:21" x14ac:dyDescent="0.25">
      <c r="C276" s="6">
        <f t="shared" si="49"/>
        <v>274</v>
      </c>
      <c r="D276" s="6">
        <v>10</v>
      </c>
      <c r="E276" s="12">
        <f t="shared" si="45"/>
        <v>16.093413323558075</v>
      </c>
      <c r="F276" s="12">
        <f t="shared" si="50"/>
        <v>4.4703925898772425</v>
      </c>
      <c r="G276" s="13">
        <f t="shared" si="51"/>
        <v>1964.2458000661641</v>
      </c>
      <c r="H276" s="12">
        <f t="shared" si="52"/>
        <v>4.9174318488649664</v>
      </c>
      <c r="I276" s="12">
        <f t="shared" si="53"/>
        <v>-0.89407851797544957</v>
      </c>
      <c r="J276" s="6">
        <f t="shared" si="54"/>
        <v>1</v>
      </c>
      <c r="K276" s="6">
        <v>0</v>
      </c>
      <c r="L276" s="12">
        <f>('1-Specification &amp; Data'!B$22*'1-Specification &amp; Data'!B$10*'1-Specification &amp; Data'!B$20*('1-Simulation'!F276^2-'1-Specification &amp; Data'!B$21^2))/2</f>
        <v>7.0573003562586658</v>
      </c>
      <c r="M276" s="6">
        <f t="shared" si="46"/>
        <v>-637.53539313421504</v>
      </c>
      <c r="N276" s="12">
        <f>'1-Specification &amp; Data'!B$24*'1-Specification &amp; Data'!B$18*8.91</f>
        <v>117.00800891999999</v>
      </c>
      <c r="O276" s="12">
        <f t="shared" si="47"/>
        <v>-513.47008385795641</v>
      </c>
      <c r="P276" s="14">
        <f t="shared" si="48"/>
        <v>513.47008385795641</v>
      </c>
      <c r="Q276" s="12">
        <f>IF(J276=1,'1-Specification &amp; Data'!B$52,IF('1-Simulation'!J276=2,'1-Specification &amp; Data'!B$53,IF('1-Simulation'!J276=3,'1-Specification &amp; Data'!B$54)))</f>
        <v>713.06421115882472</v>
      </c>
      <c r="R276" s="12">
        <f>(0.5*'1-Specification &amp; Data'!B$18*'1-Simulation'!F276^2)/1000</f>
        <v>6.560987690047229</v>
      </c>
      <c r="S276" s="6">
        <f t="shared" si="44"/>
        <v>0</v>
      </c>
      <c r="T276" s="12">
        <v>0</v>
      </c>
      <c r="U276" s="14">
        <f>O276*'1-Specification &amp; Data'!B$14*0.9</f>
        <v>-136.26706071614998</v>
      </c>
    </row>
    <row r="277" spans="3:21" x14ac:dyDescent="0.25">
      <c r="C277" s="6">
        <f t="shared" si="49"/>
        <v>275</v>
      </c>
      <c r="D277" s="6">
        <v>9.8000000000000007</v>
      </c>
      <c r="E277" s="12">
        <f t="shared" si="45"/>
        <v>15.771545057086914</v>
      </c>
      <c r="F277" s="12">
        <f t="shared" si="50"/>
        <v>4.3809847380796985</v>
      </c>
      <c r="G277" s="13">
        <f t="shared" si="51"/>
        <v>1968.6714887301425</v>
      </c>
      <c r="H277" s="12">
        <f t="shared" si="52"/>
        <v>4.4256886639784705</v>
      </c>
      <c r="I277" s="12">
        <f t="shared" si="53"/>
        <v>-8.9407851797544069E-2</v>
      </c>
      <c r="J277" s="6">
        <f t="shared" si="54"/>
        <v>1</v>
      </c>
      <c r="K277" s="6">
        <v>0</v>
      </c>
      <c r="L277" s="12">
        <f>('1-Specification &amp; Data'!B$22*'1-Specification &amp; Data'!B$10*'1-Specification &amp; Data'!B$20*('1-Simulation'!F277^2-'1-Specification &amp; Data'!B$21^2))/2</f>
        <v>6.6852508444153269</v>
      </c>
      <c r="M277" s="6">
        <f t="shared" si="46"/>
        <v>-63.753539313420873</v>
      </c>
      <c r="N277" s="12">
        <f>'1-Specification &amp; Data'!B$24*'1-Specification &amp; Data'!B$18*8.91</f>
        <v>117.00800891999999</v>
      </c>
      <c r="O277" s="12">
        <f t="shared" si="47"/>
        <v>59.93972045099445</v>
      </c>
      <c r="P277" s="14">
        <f t="shared" si="48"/>
        <v>59.93972045099445</v>
      </c>
      <c r="Q277" s="12">
        <f>IF(J277=1,'1-Specification &amp; Data'!B$52,IF('1-Simulation'!J277=2,'1-Specification &amp; Data'!B$53,IF('1-Simulation'!J277=3,'1-Specification &amp; Data'!B$54)))</f>
        <v>713.06421115882472</v>
      </c>
      <c r="R277" s="12">
        <f>(0.5*'1-Specification &amp; Data'!B$18*'1-Simulation'!F277^2)/1000</f>
        <v>6.3011725775213607</v>
      </c>
      <c r="S277" s="6">
        <f t="shared" si="44"/>
        <v>0</v>
      </c>
      <c r="T277" s="12">
        <v>0</v>
      </c>
      <c r="U277" s="14">
        <f>O277*'1-Specification &amp; Data'!B$14*0.9</f>
        <v>15.907079658148527</v>
      </c>
    </row>
    <row r="278" spans="3:21" x14ac:dyDescent="0.25">
      <c r="C278" s="6">
        <f t="shared" si="49"/>
        <v>276</v>
      </c>
      <c r="D278" s="6">
        <v>0</v>
      </c>
      <c r="E278" s="12">
        <f t="shared" si="45"/>
        <v>0</v>
      </c>
      <c r="F278" s="12">
        <f t="shared" si="50"/>
        <v>0</v>
      </c>
      <c r="G278" s="13">
        <f t="shared" si="51"/>
        <v>1970.8619810991825</v>
      </c>
      <c r="H278" s="12">
        <f t="shared" si="52"/>
        <v>2.1904923690398492</v>
      </c>
      <c r="I278" s="12">
        <v>0</v>
      </c>
      <c r="J278" s="6">
        <v>0</v>
      </c>
      <c r="K278" s="6">
        <v>0</v>
      </c>
      <c r="L278" s="12">
        <v>0</v>
      </c>
      <c r="M278" s="6">
        <f t="shared" si="46"/>
        <v>0</v>
      </c>
      <c r="N278" s="12">
        <v>0</v>
      </c>
      <c r="O278" s="12">
        <f t="shared" si="47"/>
        <v>0</v>
      </c>
      <c r="P278" s="14">
        <f t="shared" si="48"/>
        <v>0</v>
      </c>
      <c r="Q278" s="12">
        <v>0</v>
      </c>
      <c r="R278" s="12">
        <f>(0.5*'1-Specification &amp; Data'!B$18*'1-Simulation'!F278^2)/1000</f>
        <v>0</v>
      </c>
      <c r="S278" s="6">
        <f t="shared" si="44"/>
        <v>0</v>
      </c>
      <c r="T278" s="12">
        <v>0</v>
      </c>
      <c r="U278" s="14">
        <f>O278*'1-Specification &amp; Data'!B$14*0.9</f>
        <v>0</v>
      </c>
    </row>
    <row r="281" spans="3:21" x14ac:dyDescent="0.25">
      <c r="U281" s="14">
        <f>MAX(U2:U278)</f>
        <v>502.57096999125434</v>
      </c>
    </row>
  </sheetData>
  <pageMargins left="0.7" right="0.7" top="0.75" bottom="0.75" header="0.3" footer="0.3"/>
  <pageSetup paperSize="9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"/>
  <sheetViews>
    <sheetView workbookViewId="0">
      <selection activeCell="G13" sqref="G13"/>
    </sheetView>
  </sheetViews>
  <sheetFormatPr defaultRowHeight="15" x14ac:dyDescent="0.25"/>
  <cols>
    <col min="1" max="1" width="9.140625" style="19"/>
    <col min="2" max="2" width="41.7109375" style="19" bestFit="1" customWidth="1"/>
    <col min="3" max="3" width="20.85546875" style="19" customWidth="1"/>
    <col min="4" max="4" width="23.7109375" style="19" bestFit="1" customWidth="1"/>
    <col min="5" max="5" width="19.28515625" style="19" bestFit="1" customWidth="1"/>
    <col min="6" max="6" width="15.85546875" style="19" bestFit="1" customWidth="1"/>
    <col min="7" max="7" width="9.140625" style="19"/>
    <col min="8" max="8" width="10.7109375" style="19" bestFit="1" customWidth="1"/>
    <col min="9" max="16384" width="9.140625" style="19"/>
  </cols>
  <sheetData>
    <row r="2" spans="2:6" x14ac:dyDescent="0.25">
      <c r="B2" s="21" t="s">
        <v>129</v>
      </c>
      <c r="C2" s="22" t="s">
        <v>130</v>
      </c>
    </row>
    <row r="3" spans="2:6" ht="18" x14ac:dyDescent="0.35">
      <c r="B3" s="19" t="s">
        <v>131</v>
      </c>
      <c r="C3" s="19">
        <v>80</v>
      </c>
    </row>
    <row r="4" spans="2:6" ht="18" x14ac:dyDescent="0.35">
      <c r="B4" s="19" t="s">
        <v>132</v>
      </c>
      <c r="C4" s="19">
        <v>85</v>
      </c>
    </row>
    <row r="5" spans="2:6" ht="18" x14ac:dyDescent="0.35">
      <c r="B5" s="19" t="s">
        <v>133</v>
      </c>
      <c r="C5" s="19">
        <v>95</v>
      </c>
    </row>
    <row r="6" spans="2:6" ht="18" x14ac:dyDescent="0.35">
      <c r="B6" s="19" t="s">
        <v>134</v>
      </c>
      <c r="C6" s="19">
        <v>98</v>
      </c>
    </row>
    <row r="7" spans="2:6" ht="18" x14ac:dyDescent="0.35">
      <c r="B7" s="19" t="s">
        <v>135</v>
      </c>
      <c r="C7" s="19">
        <v>90</v>
      </c>
    </row>
    <row r="8" spans="2:6" ht="18" x14ac:dyDescent="0.35">
      <c r="B8" s="19" t="s">
        <v>136</v>
      </c>
      <c r="C8" s="19">
        <v>60</v>
      </c>
    </row>
    <row r="11" spans="2:6" x14ac:dyDescent="0.25">
      <c r="B11" s="21" t="s">
        <v>137</v>
      </c>
      <c r="C11" s="21" t="s">
        <v>138</v>
      </c>
      <c r="D11" s="21" t="s">
        <v>139</v>
      </c>
      <c r="E11" s="21" t="s">
        <v>140</v>
      </c>
      <c r="F11" s="21" t="s">
        <v>141</v>
      </c>
    </row>
    <row r="12" spans="2:6" x14ac:dyDescent="0.25">
      <c r="B12" s="19" t="s">
        <v>142</v>
      </c>
      <c r="C12" s="19" t="s">
        <v>143</v>
      </c>
      <c r="D12" s="19" t="s">
        <v>144</v>
      </c>
      <c r="F12" s="19" t="s">
        <v>145</v>
      </c>
    </row>
    <row r="13" spans="2:6" x14ac:dyDescent="0.25">
      <c r="B13" s="19" t="s">
        <v>146</v>
      </c>
      <c r="C13" s="19">
        <v>12.7006</v>
      </c>
      <c r="D13" s="19">
        <v>9</v>
      </c>
      <c r="E13" s="19">
        <v>0.8</v>
      </c>
      <c r="F13" s="19">
        <f>4*28.1</f>
        <v>112.4</v>
      </c>
    </row>
    <row r="14" spans="2:6" x14ac:dyDescent="0.25">
      <c r="B14" s="19" t="s">
        <v>147</v>
      </c>
      <c r="F14" s="19" t="s">
        <v>148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80"/>
  <sheetViews>
    <sheetView topLeftCell="E1" workbookViewId="0">
      <pane ySplit="1" topLeftCell="A2" activePane="bottomLeft" state="frozen"/>
      <selection pane="bottomLeft" activeCell="D2" sqref="D2:D277"/>
    </sheetView>
  </sheetViews>
  <sheetFormatPr defaultRowHeight="15" x14ac:dyDescent="0.25"/>
  <cols>
    <col min="1" max="1" width="9.85546875" style="19" bestFit="1" customWidth="1"/>
    <col min="2" max="2" width="14.28515625" style="19" bestFit="1" customWidth="1"/>
    <col min="3" max="3" width="22.85546875" style="19" bestFit="1" customWidth="1"/>
    <col min="4" max="4" width="41.42578125" style="20" bestFit="1" customWidth="1"/>
    <col min="5" max="5" width="13.5703125" style="20" bestFit="1" customWidth="1"/>
    <col min="6" max="6" width="12.7109375" style="20" bestFit="1" customWidth="1"/>
    <col min="7" max="7" width="17.7109375" style="20" bestFit="1" customWidth="1"/>
    <col min="8" max="8" width="24" style="20" bestFit="1" customWidth="1"/>
    <col min="9" max="9" width="24" style="20" customWidth="1"/>
    <col min="10" max="10" width="15.7109375" style="20" bestFit="1" customWidth="1"/>
    <col min="11" max="11" width="29.28515625" style="20" bestFit="1" customWidth="1"/>
    <col min="12" max="12" width="29" style="20" bestFit="1" customWidth="1"/>
    <col min="13" max="13" width="38.85546875" style="20" bestFit="1" customWidth="1"/>
    <col min="14" max="14" width="38.85546875" style="20" customWidth="1"/>
    <col min="15" max="15" width="26.7109375" style="19" bestFit="1" customWidth="1"/>
    <col min="16" max="16" width="26.7109375" style="19" customWidth="1"/>
    <col min="17" max="17" width="29.85546875" style="20" bestFit="1" customWidth="1"/>
    <col min="18" max="18" width="29.85546875" style="20" customWidth="1"/>
    <col min="19" max="19" width="34" style="20" bestFit="1" customWidth="1"/>
    <col min="20" max="20" width="9.7109375" style="20" bestFit="1" customWidth="1"/>
    <col min="21" max="21" width="12.85546875" style="19" bestFit="1" customWidth="1"/>
    <col min="22" max="16384" width="9.140625" style="19"/>
  </cols>
  <sheetData>
    <row r="1" spans="1:20" s="23" customFormat="1" ht="15.75" x14ac:dyDescent="0.25">
      <c r="A1" s="23" t="s">
        <v>75</v>
      </c>
      <c r="B1" s="23" t="s">
        <v>149</v>
      </c>
      <c r="C1" s="23" t="s">
        <v>150</v>
      </c>
      <c r="D1" s="24" t="s">
        <v>151</v>
      </c>
      <c r="E1" s="24" t="s">
        <v>152</v>
      </c>
      <c r="F1" s="24" t="s">
        <v>153</v>
      </c>
      <c r="G1" s="24" t="s">
        <v>154</v>
      </c>
      <c r="H1" s="24" t="s">
        <v>155</v>
      </c>
      <c r="I1" s="24" t="s">
        <v>156</v>
      </c>
      <c r="J1" s="24" t="s">
        <v>157</v>
      </c>
      <c r="K1" s="24" t="s">
        <v>158</v>
      </c>
      <c r="L1" s="24" t="s">
        <v>159</v>
      </c>
      <c r="M1" s="24" t="s">
        <v>160</v>
      </c>
      <c r="N1" s="24" t="s">
        <v>161</v>
      </c>
      <c r="O1" s="23" t="s">
        <v>162</v>
      </c>
      <c r="P1" s="23" t="s">
        <v>163</v>
      </c>
      <c r="Q1" s="24" t="s">
        <v>164</v>
      </c>
      <c r="R1" s="24" t="s">
        <v>165</v>
      </c>
      <c r="S1" s="24" t="s">
        <v>166</v>
      </c>
      <c r="T1" s="24" t="s">
        <v>167</v>
      </c>
    </row>
    <row r="2" spans="1:20" x14ac:dyDescent="0.25">
      <c r="A2" s="19">
        <v>0</v>
      </c>
      <c r="B2" s="19">
        <v>5500</v>
      </c>
      <c r="C2" s="19">
        <v>14</v>
      </c>
      <c r="D2" s="20">
        <v>2.5</v>
      </c>
      <c r="E2" s="20">
        <f>'1-Simulation'!F2*60/(2*PI()*'1-Specification &amp; Data'!B$14)</f>
        <v>0</v>
      </c>
      <c r="F2" s="20">
        <v>0</v>
      </c>
      <c r="G2" s="20">
        <f>2*PI()*E2*'1-Simulation'!U2/(1000*60)</f>
        <v>0</v>
      </c>
      <c r="H2" s="20">
        <f>IF(G2&gt;0,G2/0.85,0)</f>
        <v>0</v>
      </c>
      <c r="I2" s="20">
        <f>(H2*1000)/48</f>
        <v>0</v>
      </c>
      <c r="J2" s="20">
        <v>0</v>
      </c>
      <c r="K2" s="20">
        <f t="shared" ref="K2:K65" si="0">H2/0.853</f>
        <v>0</v>
      </c>
      <c r="L2" s="20">
        <f>K2/0.95</f>
        <v>0</v>
      </c>
      <c r="M2" s="20">
        <f>IF(G2&lt;0,-G2*0.6*0.8*0.85*0.95*0.98,0)</f>
        <v>0</v>
      </c>
      <c r="N2" s="20">
        <f>IF(L2&lt;D2,D2-L2,0)</f>
        <v>2.5</v>
      </c>
      <c r="O2" s="20">
        <f>M2+(IF(L2&lt;D2,D2-K2,0))</f>
        <v>2.5</v>
      </c>
      <c r="P2" s="20">
        <f>(O2*1000)/56.8</f>
        <v>44.014084507042256</v>
      </c>
      <c r="Q2" s="20">
        <f>IF(L2&gt;D2,K2-D2,0)</f>
        <v>0</v>
      </c>
      <c r="R2" s="20">
        <f>(Q2*1000)/48</f>
        <v>0</v>
      </c>
      <c r="S2" s="20">
        <f>IF(O2&gt;0,O2/3600,-Q2/3600)+0.6</f>
        <v>0.60069444444444442</v>
      </c>
      <c r="T2" s="20">
        <f>(100*S2)/1.2</f>
        <v>50.057870370370374</v>
      </c>
    </row>
    <row r="3" spans="1:20" x14ac:dyDescent="0.25">
      <c r="A3" s="19">
        <f>1+A2</f>
        <v>1</v>
      </c>
      <c r="B3" s="19">
        <v>5500</v>
      </c>
      <c r="C3" s="19">
        <v>14</v>
      </c>
      <c r="D3" s="20">
        <v>2.5</v>
      </c>
      <c r="E3" s="20">
        <f>'1-Simulation'!F3*60/(2*PI()*'1-Specification &amp; Data'!B$14)</f>
        <v>82.519895422345201</v>
      </c>
      <c r="F3" s="20">
        <f>E3*(IF('1-Simulation'!J3=1,'1-Specification &amp; Data'!H$7,IF('1-Simulation'!J3=2,'1-Specification &amp; Data'!H$8,IF('1-Simulation'!J3=3,'1-Specification &amp; Data'!H$9))))</f>
        <v>1460.923655061571</v>
      </c>
      <c r="G3" s="20">
        <f>2*PI()*E3*'1-Simulation'!U3/(1000*60)</f>
        <v>4.3429485632374289</v>
      </c>
      <c r="H3" s="20">
        <f t="shared" ref="H3:H66" si="1">IF(G3&gt;0,G3/0.85,0)</f>
        <v>5.1093512508675634</v>
      </c>
      <c r="I3" s="20">
        <f t="shared" ref="I3:I66" si="2">(H3*1000)/48</f>
        <v>106.44481772640756</v>
      </c>
      <c r="J3" s="20">
        <f>'1-Simulation'!U3/(IF('1-Simulation'!J3=1,'1-Specification &amp; Data'!H$7,IF('1-Simulation'!J3=2,'1-Specification &amp; Data'!H$8,IF('1-Simulation'!J3=3,'1-Specification &amp; Data'!H$9)))*0.8)</f>
        <v>35.484489335136615</v>
      </c>
      <c r="K3" s="20">
        <f t="shared" si="0"/>
        <v>5.9898607864801452</v>
      </c>
      <c r="L3" s="20">
        <f t="shared" ref="L3:L66" si="3">K3/0.95</f>
        <v>6.3051166173475215</v>
      </c>
      <c r="M3" s="20">
        <f t="shared" ref="M3:M66" si="4">IF(G3&lt;0,-G3*0.6*0.8*0.85*0.95*0.98,0)</f>
        <v>0</v>
      </c>
      <c r="N3" s="20">
        <f t="shared" ref="N3:N66" si="5">IF(L3&lt;D3,D3-L3,0)</f>
        <v>0</v>
      </c>
      <c r="O3" s="20">
        <f t="shared" ref="O3:O66" si="6">M3+(IF(L3&lt;D3,D3-K3,0))</f>
        <v>0</v>
      </c>
      <c r="P3" s="20">
        <f t="shared" ref="P3:P66" si="7">(O3*1000)/56.8</f>
        <v>0</v>
      </c>
      <c r="Q3" s="20">
        <f t="shared" ref="Q3:Q66" si="8">IF(L3&gt;D3,K3-D3,0)</f>
        <v>3.4898607864801452</v>
      </c>
      <c r="R3" s="20">
        <f t="shared" ref="R3:R66" si="9">(Q3*1000)/48</f>
        <v>72.705433051669687</v>
      </c>
      <c r="S3" s="20">
        <f t="shared" ref="S3:S66" si="10">S2+IF(O3&gt;0,O3/3600,-Q3/3600)</f>
        <v>0.59972503867042215</v>
      </c>
      <c r="T3" s="20">
        <f t="shared" ref="T3:T66" si="11">(100*S3)/1.2</f>
        <v>49.97708655586851</v>
      </c>
    </row>
    <row r="4" spans="1:20" x14ac:dyDescent="0.25">
      <c r="A4" s="19">
        <f t="shared" ref="A4:A67" si="12">1+A3</f>
        <v>2</v>
      </c>
      <c r="B4" s="19">
        <v>5500</v>
      </c>
      <c r="C4" s="19">
        <v>14</v>
      </c>
      <c r="D4" s="20">
        <v>2.5</v>
      </c>
      <c r="E4" s="20">
        <f>'1-Simulation'!F4*60/(2*PI()*'1-Specification &amp; Data'!B$14)</f>
        <v>99.892504984944182</v>
      </c>
      <c r="F4" s="20">
        <f>E4*(IF('1-Simulation'!J4=1,'1-Specification &amp; Data'!H$7,IF('1-Simulation'!J4=2,'1-Specification &amp; Data'!H$8,IF('1-Simulation'!J4=3,'1-Specification &amp; Data'!H$9))))</f>
        <v>1768.4865298113752</v>
      </c>
      <c r="G4" s="20">
        <f>2*PI()*E4*'1-Simulation'!U4/(1000*60)</f>
        <v>1.2789878357846758</v>
      </c>
      <c r="H4" s="20">
        <f t="shared" si="1"/>
        <v>1.5046915715113833</v>
      </c>
      <c r="I4" s="20">
        <f t="shared" si="2"/>
        <v>31.347741073153816</v>
      </c>
      <c r="J4" s="20">
        <f>'1-Simulation'!U4/(IF('1-Simulation'!J4=1,'1-Specification &amp; Data'!H$7,IF('1-Simulation'!J4=2,'1-Specification &amp; Data'!H$8,IF('1-Simulation'!J4=3,'1-Specification &amp; Data'!H$9)))*0.8)</f>
        <v>8.6326881540305376</v>
      </c>
      <c r="K4" s="20">
        <f t="shared" si="0"/>
        <v>1.7639994976686793</v>
      </c>
      <c r="L4" s="20">
        <f t="shared" si="3"/>
        <v>1.8568415764933466</v>
      </c>
      <c r="M4" s="20">
        <f t="shared" si="4"/>
        <v>0</v>
      </c>
      <c r="N4" s="20">
        <f t="shared" si="5"/>
        <v>0.64315842350665342</v>
      </c>
      <c r="O4" s="20">
        <f t="shared" si="6"/>
        <v>0.73600050233132075</v>
      </c>
      <c r="P4" s="20">
        <f t="shared" si="7"/>
        <v>12.957755322734521</v>
      </c>
      <c r="Q4" s="20">
        <f t="shared" si="8"/>
        <v>0</v>
      </c>
      <c r="R4" s="20">
        <f t="shared" si="9"/>
        <v>0</v>
      </c>
      <c r="S4" s="20">
        <f t="shared" si="10"/>
        <v>0.5999294832544031</v>
      </c>
      <c r="T4" s="20">
        <f t="shared" si="11"/>
        <v>49.994123604533591</v>
      </c>
    </row>
    <row r="5" spans="1:20" x14ac:dyDescent="0.25">
      <c r="A5" s="19">
        <f t="shared" si="12"/>
        <v>3</v>
      </c>
      <c r="B5" s="19">
        <v>5500</v>
      </c>
      <c r="C5" s="19">
        <v>14</v>
      </c>
      <c r="D5" s="20">
        <v>2.5</v>
      </c>
      <c r="E5" s="20">
        <f>'1-Simulation'!F5*60/(2*PI()*'1-Specification &amp; Data'!B$14)</f>
        <v>115.81739708399327</v>
      </c>
      <c r="F5" s="20">
        <f>E5*(IF('1-Simulation'!J5=1,'1-Specification &amp; Data'!H$7,IF('1-Simulation'!J5=2,'1-Specification &amp; Data'!H$8,IF('1-Simulation'!J5=3,'1-Specification &amp; Data'!H$9))))</f>
        <v>2050.4191649986965</v>
      </c>
      <c r="G5" s="20">
        <f>2*PI()*E5*'1-Simulation'!U5/(1000*60)</f>
        <v>1.3852395993803412</v>
      </c>
      <c r="H5" s="20">
        <f t="shared" si="1"/>
        <v>1.6296936463298133</v>
      </c>
      <c r="I5" s="20">
        <f t="shared" si="2"/>
        <v>33.951950965204439</v>
      </c>
      <c r="J5" s="20">
        <f>'1-Simulation'!U5/(IF('1-Simulation'!J5=1,'1-Specification &amp; Data'!H$7,IF('1-Simulation'!J5=2,'1-Specification &amp; Data'!H$8,IF('1-Simulation'!J5=3,'1-Specification &amp; Data'!H$9)))*0.8)</f>
        <v>8.0642436448412091</v>
      </c>
      <c r="K5" s="20">
        <f t="shared" si="0"/>
        <v>1.9105435478661352</v>
      </c>
      <c r="L5" s="20">
        <f t="shared" si="3"/>
        <v>2.0110984714380371</v>
      </c>
      <c r="M5" s="20">
        <f t="shared" si="4"/>
        <v>0</v>
      </c>
      <c r="N5" s="20">
        <f t="shared" si="5"/>
        <v>0.48890152856196289</v>
      </c>
      <c r="O5" s="20">
        <f t="shared" si="6"/>
        <v>0.58945645213386477</v>
      </c>
      <c r="P5" s="20">
        <f t="shared" si="7"/>
        <v>10.377754438976494</v>
      </c>
      <c r="Q5" s="20">
        <f t="shared" si="8"/>
        <v>0</v>
      </c>
      <c r="R5" s="20">
        <f t="shared" si="9"/>
        <v>0</v>
      </c>
      <c r="S5" s="20">
        <f t="shared" si="10"/>
        <v>0.60009322115777364</v>
      </c>
      <c r="T5" s="20">
        <f t="shared" si="11"/>
        <v>50.007768429814476</v>
      </c>
    </row>
    <row r="6" spans="1:20" x14ac:dyDescent="0.25">
      <c r="A6" s="19">
        <f t="shared" si="12"/>
        <v>4</v>
      </c>
      <c r="B6" s="19">
        <v>5500</v>
      </c>
      <c r="C6" s="19">
        <v>14</v>
      </c>
      <c r="D6" s="20">
        <v>2.5</v>
      </c>
      <c r="E6" s="20">
        <f>'1-Simulation'!F6*60/(2*PI()*'1-Specification &amp; Data'!B$14)</f>
        <v>144.77174635499156</v>
      </c>
      <c r="F6" s="20">
        <f>E6*(IF('1-Simulation'!J6=1,'1-Specification &amp; Data'!H$7,IF('1-Simulation'!J6=2,'1-Specification &amp; Data'!H$8,IF('1-Simulation'!J6=3,'1-Specification &amp; Data'!H$9))))</f>
        <v>2563.0239562483698</v>
      </c>
      <c r="G6" s="20">
        <f>2*PI()*E6*'1-Simulation'!U6/(1000*60)</f>
        <v>2.8994211260008118</v>
      </c>
      <c r="H6" s="20">
        <f t="shared" si="1"/>
        <v>3.4110836776480138</v>
      </c>
      <c r="I6" s="20">
        <f t="shared" si="2"/>
        <v>71.064243284333614</v>
      </c>
      <c r="J6" s="20">
        <f>'1-Simulation'!U6/(IF('1-Simulation'!J6=1,'1-Specification &amp; Data'!H$7,IF('1-Simulation'!J6=2,'1-Specification &amp; Data'!H$8,IF('1-Simulation'!J6=3,'1-Specification &amp; Data'!H$9)))*0.8)</f>
        <v>13.503303485998925</v>
      </c>
      <c r="K6" s="20">
        <f t="shared" si="0"/>
        <v>3.9989257651207666</v>
      </c>
      <c r="L6" s="20">
        <f t="shared" si="3"/>
        <v>4.2093955422323859</v>
      </c>
      <c r="M6" s="20">
        <f t="shared" si="4"/>
        <v>0</v>
      </c>
      <c r="N6" s="20">
        <f t="shared" si="5"/>
        <v>0</v>
      </c>
      <c r="O6" s="20">
        <f t="shared" si="6"/>
        <v>0</v>
      </c>
      <c r="P6" s="20">
        <f t="shared" si="7"/>
        <v>0</v>
      </c>
      <c r="Q6" s="20">
        <f t="shared" si="8"/>
        <v>1.4989257651207666</v>
      </c>
      <c r="R6" s="20">
        <f t="shared" si="9"/>
        <v>31.227620106682636</v>
      </c>
      <c r="S6" s="20">
        <f t="shared" si="10"/>
        <v>0.59967685288968453</v>
      </c>
      <c r="T6" s="20">
        <f t="shared" si="11"/>
        <v>49.973071074140378</v>
      </c>
    </row>
    <row r="7" spans="1:20" x14ac:dyDescent="0.25">
      <c r="A7" s="19">
        <f t="shared" si="12"/>
        <v>5</v>
      </c>
      <c r="B7" s="19">
        <v>5500</v>
      </c>
      <c r="C7" s="19">
        <v>14</v>
      </c>
      <c r="D7" s="20">
        <v>2.5</v>
      </c>
      <c r="E7" s="20">
        <f>'1-Simulation'!F7*60/(2*PI()*'1-Specification &amp; Data'!B$14)</f>
        <v>146.21946381854147</v>
      </c>
      <c r="F7" s="20">
        <f>E7*(IF('1-Simulation'!J7=1,'1-Specification &amp; Data'!H$7,IF('1-Simulation'!J7=2,'1-Specification &amp; Data'!H$8,IF('1-Simulation'!J7=3,'1-Specification &amp; Data'!H$9))))</f>
        <v>1839.0230849406275</v>
      </c>
      <c r="G7" s="20">
        <f>2*PI()*E7*'1-Simulation'!U7/(1000*60)</f>
        <v>0.46654752147855583</v>
      </c>
      <c r="H7" s="20">
        <f t="shared" si="1"/>
        <v>0.5488794370335951</v>
      </c>
      <c r="I7" s="20">
        <f t="shared" si="2"/>
        <v>11.43498827153323</v>
      </c>
      <c r="J7" s="20">
        <f>'1-Simulation'!U7/(IF('1-Simulation'!J7=1,'1-Specification &amp; Data'!H$7,IF('1-Simulation'!J7=2,'1-Specification &amp; Data'!H$8,IF('1-Simulation'!J7=3,'1-Specification &amp; Data'!H$9)))*0.8)</f>
        <v>3.028238668071761</v>
      </c>
      <c r="K7" s="20">
        <f t="shared" si="0"/>
        <v>0.64346944552590279</v>
      </c>
      <c r="L7" s="20">
        <f t="shared" si="3"/>
        <v>0.6773362584483188</v>
      </c>
      <c r="M7" s="20">
        <f t="shared" si="4"/>
        <v>0</v>
      </c>
      <c r="N7" s="20">
        <f t="shared" si="5"/>
        <v>1.8226637415516813</v>
      </c>
      <c r="O7" s="20">
        <f t="shared" si="6"/>
        <v>1.8565305544740971</v>
      </c>
      <c r="P7" s="20">
        <f t="shared" si="7"/>
        <v>32.685397085811566</v>
      </c>
      <c r="Q7" s="20">
        <f t="shared" si="8"/>
        <v>0</v>
      </c>
      <c r="R7" s="20">
        <f t="shared" si="9"/>
        <v>0</v>
      </c>
      <c r="S7" s="20">
        <f t="shared" si="10"/>
        <v>0.6001925558214829</v>
      </c>
      <c r="T7" s="20">
        <f t="shared" si="11"/>
        <v>50.016046318456908</v>
      </c>
    </row>
    <row r="8" spans="1:20" x14ac:dyDescent="0.25">
      <c r="A8" s="19">
        <f t="shared" si="12"/>
        <v>6</v>
      </c>
      <c r="B8" s="19">
        <v>5500</v>
      </c>
      <c r="C8" s="19">
        <v>14</v>
      </c>
      <c r="D8" s="20">
        <v>2.5</v>
      </c>
      <c r="E8" s="20">
        <f>'1-Simulation'!F8*60/(2*PI()*'1-Specification &amp; Data'!B$14)</f>
        <v>159.24892099049075</v>
      </c>
      <c r="F8" s="20">
        <f>E8*(IF('1-Simulation'!J8=1,'1-Specification &amp; Data'!H$7,IF('1-Simulation'!J8=2,'1-Specification &amp; Data'!H$8,IF('1-Simulation'!J8=3,'1-Specification &amp; Data'!H$9))))</f>
        <v>2002.896429143258</v>
      </c>
      <c r="G8" s="20">
        <f>2*PI()*E8*'1-Simulation'!U8/(1000*60)</f>
        <v>1.6316589397636057</v>
      </c>
      <c r="H8" s="20">
        <f t="shared" si="1"/>
        <v>1.9195987526630656</v>
      </c>
      <c r="I8" s="20">
        <f t="shared" si="2"/>
        <v>39.991640680480536</v>
      </c>
      <c r="J8" s="20">
        <f>'1-Simulation'!U8/(IF('1-Simulation'!J8=1,'1-Specification &amp; Data'!H$7,IF('1-Simulation'!J8=2,'1-Specification &amp; Data'!H$8,IF('1-Simulation'!J8=3,'1-Specification &amp; Data'!H$9)))*0.8)</f>
        <v>9.7241642874616918</v>
      </c>
      <c r="K8" s="20">
        <f t="shared" si="0"/>
        <v>2.2504088542357157</v>
      </c>
      <c r="L8" s="20">
        <f t="shared" si="3"/>
        <v>2.3688514255112798</v>
      </c>
      <c r="M8" s="20">
        <f t="shared" si="4"/>
        <v>0</v>
      </c>
      <c r="N8" s="20">
        <f t="shared" si="5"/>
        <v>0.13114857448872019</v>
      </c>
      <c r="O8" s="20">
        <f t="shared" si="6"/>
        <v>0.24959114576428432</v>
      </c>
      <c r="P8" s="20">
        <f t="shared" si="7"/>
        <v>4.3942103127514844</v>
      </c>
      <c r="Q8" s="20">
        <f t="shared" si="8"/>
        <v>0</v>
      </c>
      <c r="R8" s="20">
        <f t="shared" si="9"/>
        <v>0</v>
      </c>
      <c r="S8" s="20">
        <f t="shared" si="10"/>
        <v>0.60026188669530633</v>
      </c>
      <c r="T8" s="20">
        <f t="shared" si="11"/>
        <v>50.021823891275531</v>
      </c>
    </row>
    <row r="9" spans="1:20" x14ac:dyDescent="0.25">
      <c r="A9" s="19">
        <f t="shared" si="12"/>
        <v>7</v>
      </c>
      <c r="B9" s="19">
        <v>5500</v>
      </c>
      <c r="C9" s="19">
        <v>14</v>
      </c>
      <c r="D9" s="20">
        <v>2.5</v>
      </c>
      <c r="E9" s="20">
        <f>'1-Simulation'!F9*60/(2*PI()*'1-Specification &amp; Data'!B$14)</f>
        <v>173.72609562598987</v>
      </c>
      <c r="F9" s="20">
        <f>E9*(IF('1-Simulation'!J9=1,'1-Specification &amp; Data'!H$7,IF('1-Simulation'!J9=2,'1-Specification &amp; Data'!H$8,IF('1-Simulation'!J9=3,'1-Specification &amp; Data'!H$9))))</f>
        <v>2184.9779227017357</v>
      </c>
      <c r="G9" s="20">
        <f>2*PI()*E9*'1-Simulation'!U9/(1000*60)</f>
        <v>1.9425573896390329</v>
      </c>
      <c r="H9" s="20">
        <f t="shared" si="1"/>
        <v>2.2853616348694503</v>
      </c>
      <c r="I9" s="20">
        <f t="shared" si="2"/>
        <v>47.611700726446884</v>
      </c>
      <c r="J9" s="20">
        <f>'1-Simulation'!U9/(IF('1-Simulation'!J9=1,'1-Specification &amp; Data'!H$7,IF('1-Simulation'!J9=2,'1-Specification &amp; Data'!H$8,IF('1-Simulation'!J9=3,'1-Specification &amp; Data'!H$9)))*0.8)</f>
        <v>10.612267780437817</v>
      </c>
      <c r="K9" s="20">
        <f t="shared" si="0"/>
        <v>2.6792047302103756</v>
      </c>
      <c r="L9" s="20">
        <f t="shared" si="3"/>
        <v>2.8202155054846059</v>
      </c>
      <c r="M9" s="20">
        <f t="shared" si="4"/>
        <v>0</v>
      </c>
      <c r="N9" s="20">
        <f t="shared" si="5"/>
        <v>0</v>
      </c>
      <c r="O9" s="20">
        <f t="shared" si="6"/>
        <v>0</v>
      </c>
      <c r="P9" s="20">
        <f t="shared" si="7"/>
        <v>0</v>
      </c>
      <c r="Q9" s="20">
        <f t="shared" si="8"/>
        <v>0.17920473021037564</v>
      </c>
      <c r="R9" s="20">
        <f t="shared" si="9"/>
        <v>3.7334318793828256</v>
      </c>
      <c r="S9" s="20">
        <f t="shared" si="10"/>
        <v>0.60021210760358124</v>
      </c>
      <c r="T9" s="20">
        <f t="shared" si="11"/>
        <v>50.017675633631768</v>
      </c>
    </row>
    <row r="10" spans="1:20" x14ac:dyDescent="0.25">
      <c r="A10" s="19">
        <f t="shared" si="12"/>
        <v>8</v>
      </c>
      <c r="B10" s="19">
        <v>5500</v>
      </c>
      <c r="C10" s="19">
        <v>14</v>
      </c>
      <c r="D10" s="20">
        <v>2.5</v>
      </c>
      <c r="E10" s="20">
        <f>'1-Simulation'!F10*60/(2*PI()*'1-Specification &amp; Data'!B$14)</f>
        <v>202.68044489698821</v>
      </c>
      <c r="F10" s="20">
        <f>E10*(IF('1-Simulation'!J10=1,'1-Specification &amp; Data'!H$7,IF('1-Simulation'!J10=2,'1-Specification &amp; Data'!H$8,IF('1-Simulation'!J10=3,'1-Specification &amp; Data'!H$9))))</f>
        <v>2549.1409098186919</v>
      </c>
      <c r="G10" s="20">
        <f>2*PI()*E10*'1-Simulation'!U10/(1000*60)</f>
        <v>4.068720158081236</v>
      </c>
      <c r="H10" s="20">
        <f t="shared" si="1"/>
        <v>4.7867295977426307</v>
      </c>
      <c r="I10" s="20">
        <f t="shared" si="2"/>
        <v>99.723533286304814</v>
      </c>
      <c r="J10" s="20">
        <f>'1-Simulation'!U10/(IF('1-Simulation'!J10=1,'1-Specification &amp; Data'!H$7,IF('1-Simulation'!J10=2,'1-Specification &amp; Data'!H$8,IF('1-Simulation'!J10=3,'1-Specification &amp; Data'!H$9)))*0.8)</f>
        <v>19.052210571864503</v>
      </c>
      <c r="K10" s="20">
        <f t="shared" si="0"/>
        <v>5.6116407945400129</v>
      </c>
      <c r="L10" s="20">
        <f t="shared" si="3"/>
        <v>5.9069903100421195</v>
      </c>
      <c r="M10" s="20">
        <f t="shared" si="4"/>
        <v>0</v>
      </c>
      <c r="N10" s="20">
        <f t="shared" si="5"/>
        <v>0</v>
      </c>
      <c r="O10" s="20">
        <f t="shared" si="6"/>
        <v>0</v>
      </c>
      <c r="P10" s="20">
        <f t="shared" si="7"/>
        <v>0</v>
      </c>
      <c r="Q10" s="20">
        <f t="shared" si="8"/>
        <v>3.1116407945400129</v>
      </c>
      <c r="R10" s="20">
        <f t="shared" si="9"/>
        <v>64.825849886250268</v>
      </c>
      <c r="S10" s="20">
        <f t="shared" si="10"/>
        <v>0.59934776293843128</v>
      </c>
      <c r="T10" s="20">
        <f t="shared" si="11"/>
        <v>49.945646911535945</v>
      </c>
    </row>
    <row r="11" spans="1:20" x14ac:dyDescent="0.25">
      <c r="A11" s="19">
        <f t="shared" si="12"/>
        <v>9</v>
      </c>
      <c r="B11" s="19">
        <v>5500</v>
      </c>
      <c r="C11" s="19">
        <v>14</v>
      </c>
      <c r="D11" s="20">
        <v>2.5</v>
      </c>
      <c r="E11" s="20">
        <f>'1-Simulation'!F11*60/(2*PI()*'1-Specification &amp; Data'!B$14)</f>
        <v>231.63479416798654</v>
      </c>
      <c r="F11" s="20">
        <f>E11*(IF('1-Simulation'!J11=1,'1-Specification &amp; Data'!H$7,IF('1-Simulation'!J11=2,'1-Specification &amp; Data'!H$8,IF('1-Simulation'!J11=3,'1-Specification &amp; Data'!H$9))))</f>
        <v>2913.303896935648</v>
      </c>
      <c r="G11" s="20">
        <f>2*PI()*E11*'1-Simulation'!U11/(1000*60)</f>
        <v>4.6862540559858727</v>
      </c>
      <c r="H11" s="20">
        <f t="shared" si="1"/>
        <v>5.513240065865733</v>
      </c>
      <c r="I11" s="20">
        <f t="shared" si="2"/>
        <v>114.85916803886944</v>
      </c>
      <c r="J11" s="20">
        <f>'1-Simulation'!U11/(IF('1-Simulation'!J11=1,'1-Specification &amp; Data'!H$7,IF('1-Simulation'!J11=2,'1-Specification &amp; Data'!H$8,IF('1-Simulation'!J11=3,'1-Specification &amp; Data'!H$9)))*0.8)</f>
        <v>19.200893315123398</v>
      </c>
      <c r="K11" s="20">
        <f t="shared" si="0"/>
        <v>6.4633529494322781</v>
      </c>
      <c r="L11" s="20">
        <f t="shared" si="3"/>
        <v>6.8035294204550301</v>
      </c>
      <c r="M11" s="20">
        <f t="shared" si="4"/>
        <v>0</v>
      </c>
      <c r="N11" s="20">
        <f t="shared" si="5"/>
        <v>0</v>
      </c>
      <c r="O11" s="20">
        <f t="shared" si="6"/>
        <v>0</v>
      </c>
      <c r="P11" s="20">
        <f t="shared" si="7"/>
        <v>0</v>
      </c>
      <c r="Q11" s="20">
        <f t="shared" si="8"/>
        <v>3.9633529494322781</v>
      </c>
      <c r="R11" s="20">
        <f t="shared" si="9"/>
        <v>82.569853113172456</v>
      </c>
      <c r="S11" s="20">
        <f t="shared" si="10"/>
        <v>0.59824683156358893</v>
      </c>
      <c r="T11" s="20">
        <f t="shared" si="11"/>
        <v>49.853902630299082</v>
      </c>
    </row>
    <row r="12" spans="1:20" x14ac:dyDescent="0.25">
      <c r="A12" s="19">
        <f t="shared" si="12"/>
        <v>10</v>
      </c>
      <c r="B12" s="19">
        <v>5500</v>
      </c>
      <c r="C12" s="19">
        <v>14</v>
      </c>
      <c r="D12" s="20">
        <v>2.5</v>
      </c>
      <c r="E12" s="20">
        <f>'1-Simulation'!F12*60/(2*PI()*'1-Specification &amp; Data'!B$14)</f>
        <v>260.58914343898482</v>
      </c>
      <c r="F12" s="20">
        <f>E12*(IF('1-Simulation'!J12=1,'1-Specification &amp; Data'!H$7,IF('1-Simulation'!J12=2,'1-Specification &amp; Data'!H$8,IF('1-Simulation'!J12=3,'1-Specification &amp; Data'!H$9))))</f>
        <v>3277.4668840526037</v>
      </c>
      <c r="G12" s="20">
        <f>2*PI()*E12*'1-Simulation'!U12/(1000*60)</f>
        <v>5.3183032183048828</v>
      </c>
      <c r="H12" s="20">
        <f t="shared" si="1"/>
        <v>6.2568273156528038</v>
      </c>
      <c r="I12" s="20">
        <f t="shared" si="2"/>
        <v>130.35056907610007</v>
      </c>
      <c r="J12" s="20">
        <f>'1-Simulation'!U12/(IF('1-Simulation'!J12=1,'1-Specification &amp; Data'!H$7,IF('1-Simulation'!J12=2,'1-Specification &amp; Data'!H$8,IF('1-Simulation'!J12=3,'1-Specification &amp; Data'!H$9)))*0.8)</f>
        <v>19.369400424150221</v>
      </c>
      <c r="K12" s="20">
        <f t="shared" si="0"/>
        <v>7.3350847780220443</v>
      </c>
      <c r="L12" s="20">
        <f t="shared" si="3"/>
        <v>7.7211418716021525</v>
      </c>
      <c r="M12" s="20">
        <f t="shared" si="4"/>
        <v>0</v>
      </c>
      <c r="N12" s="20">
        <f t="shared" si="5"/>
        <v>0</v>
      </c>
      <c r="O12" s="20">
        <f t="shared" si="6"/>
        <v>0</v>
      </c>
      <c r="P12" s="20">
        <f t="shared" si="7"/>
        <v>0</v>
      </c>
      <c r="Q12" s="20">
        <f t="shared" si="8"/>
        <v>4.8350847780220443</v>
      </c>
      <c r="R12" s="20">
        <f t="shared" si="9"/>
        <v>100.73093287545926</v>
      </c>
      <c r="S12" s="20">
        <f t="shared" si="10"/>
        <v>0.59690375245858285</v>
      </c>
      <c r="T12" s="20">
        <f t="shared" si="11"/>
        <v>49.741979371548574</v>
      </c>
    </row>
    <row r="13" spans="1:20" x14ac:dyDescent="0.25">
      <c r="A13" s="19">
        <f t="shared" si="12"/>
        <v>11</v>
      </c>
      <c r="B13" s="19">
        <v>5500</v>
      </c>
      <c r="C13" s="19">
        <v>14</v>
      </c>
      <c r="D13" s="20">
        <v>2.5</v>
      </c>
      <c r="E13" s="20">
        <f>'1-Simulation'!F13*60/(2*PI()*'1-Specification &amp; Data'!B$14)</f>
        <v>289.54349270998313</v>
      </c>
      <c r="F13" s="20">
        <f>E13*(IF('1-Simulation'!J13=1,'1-Specification &amp; Data'!H$7,IF('1-Simulation'!J13=2,'1-Specification &amp; Data'!H$8,IF('1-Simulation'!J13=3,'1-Specification &amp; Data'!H$9))))</f>
        <v>3641.6298711695595</v>
      </c>
      <c r="G13" s="20">
        <f>2*PI()*E13*'1-Simulation'!U13/(1000*60)</f>
        <v>5.9666820530900289</v>
      </c>
      <c r="H13" s="20">
        <f t="shared" si="1"/>
        <v>7.019625944811799</v>
      </c>
      <c r="I13" s="20">
        <f t="shared" si="2"/>
        <v>146.24220718357915</v>
      </c>
      <c r="J13" s="20">
        <f>'1-Simulation'!U13/(IF('1-Simulation'!J13=1,'1-Specification &amp; Data'!H$7,IF('1-Simulation'!J13=2,'1-Specification &amp; Data'!H$8,IF('1-Simulation'!J13=3,'1-Specification &amp; Data'!H$9)))*0.8)</f>
        <v>19.55773189894483</v>
      </c>
      <c r="K13" s="20">
        <f t="shared" si="0"/>
        <v>8.2293387395214523</v>
      </c>
      <c r="L13" s="20">
        <f t="shared" si="3"/>
        <v>8.6624618310752126</v>
      </c>
      <c r="M13" s="20">
        <f t="shared" si="4"/>
        <v>0</v>
      </c>
      <c r="N13" s="20">
        <f t="shared" si="5"/>
        <v>0</v>
      </c>
      <c r="O13" s="20">
        <f t="shared" si="6"/>
        <v>0</v>
      </c>
      <c r="P13" s="20">
        <f t="shared" si="7"/>
        <v>0</v>
      </c>
      <c r="Q13" s="20">
        <f t="shared" si="8"/>
        <v>5.7293387395214523</v>
      </c>
      <c r="R13" s="20">
        <f t="shared" si="9"/>
        <v>119.36122374003025</v>
      </c>
      <c r="S13" s="20">
        <f t="shared" si="10"/>
        <v>0.59531226947538241</v>
      </c>
      <c r="T13" s="20">
        <f t="shared" si="11"/>
        <v>49.609355789615208</v>
      </c>
    </row>
    <row r="14" spans="1:20" x14ac:dyDescent="0.25">
      <c r="A14" s="19">
        <f t="shared" si="12"/>
        <v>12</v>
      </c>
      <c r="B14" s="19">
        <v>5500</v>
      </c>
      <c r="C14" s="19">
        <v>14</v>
      </c>
      <c r="D14" s="20">
        <v>2.5</v>
      </c>
      <c r="E14" s="20">
        <f>'1-Simulation'!F14*60/(2*PI()*'1-Specification &amp; Data'!B$14)</f>
        <v>292.43892763708294</v>
      </c>
      <c r="F14" s="20">
        <f>E14*(IF('1-Simulation'!J14=1,'1-Specification &amp; Data'!H$7,IF('1-Simulation'!J14=2,'1-Specification &amp; Data'!H$8,IF('1-Simulation'!J14=3,'1-Specification &amp; Data'!H$9))))</f>
        <v>2426.8633085726751</v>
      </c>
      <c r="G14" s="20">
        <f>2*PI()*E14*'1-Simulation'!U14/(1000*60)</f>
        <v>1.4194327179745374</v>
      </c>
      <c r="H14" s="20">
        <f t="shared" si="1"/>
        <v>1.6699208446759264</v>
      </c>
      <c r="I14" s="20">
        <f t="shared" si="2"/>
        <v>34.790017597415137</v>
      </c>
      <c r="J14" s="20">
        <f>'1-Simulation'!U14/(IF('1-Simulation'!J14=1,'1-Specification &amp; Data'!H$7,IF('1-Simulation'!J14=2,'1-Specification &amp; Data'!H$8,IF('1-Simulation'!J14=3,'1-Specification &amp; Data'!H$9)))*0.8)</f>
        <v>6.9815345384515304</v>
      </c>
      <c r="K14" s="20">
        <f t="shared" si="0"/>
        <v>1.9577032176740052</v>
      </c>
      <c r="L14" s="20">
        <f t="shared" si="3"/>
        <v>2.0607402291305319</v>
      </c>
      <c r="M14" s="20">
        <f t="shared" si="4"/>
        <v>0</v>
      </c>
      <c r="N14" s="20">
        <f t="shared" si="5"/>
        <v>0.4392597708694681</v>
      </c>
      <c r="O14" s="20">
        <f t="shared" si="6"/>
        <v>0.54229678232599476</v>
      </c>
      <c r="P14" s="20">
        <f t="shared" si="7"/>
        <v>9.547478562077373</v>
      </c>
      <c r="Q14" s="20">
        <f t="shared" si="8"/>
        <v>0</v>
      </c>
      <c r="R14" s="20">
        <f t="shared" si="9"/>
        <v>0</v>
      </c>
      <c r="S14" s="20">
        <f t="shared" si="10"/>
        <v>0.59546290747047292</v>
      </c>
      <c r="T14" s="20">
        <f t="shared" si="11"/>
        <v>49.621908955872748</v>
      </c>
    </row>
    <row r="15" spans="1:20" x14ac:dyDescent="0.25">
      <c r="A15" s="19">
        <f t="shared" si="12"/>
        <v>13</v>
      </c>
      <c r="B15" s="19">
        <v>5500</v>
      </c>
      <c r="C15" s="19">
        <v>14</v>
      </c>
      <c r="D15" s="20">
        <v>2.5</v>
      </c>
      <c r="E15" s="20">
        <f>'1-Simulation'!F15*60/(2*PI()*'1-Specification &amp; Data'!B$14)</f>
        <v>318.49784198098149</v>
      </c>
      <c r="F15" s="20">
        <f>E15*(IF('1-Simulation'!J15=1,'1-Specification &amp; Data'!H$7,IF('1-Simulation'!J15=2,'1-Specification &amp; Data'!H$8,IF('1-Simulation'!J15=3,'1-Specification &amp; Data'!H$9))))</f>
        <v>2643.118454881132</v>
      </c>
      <c r="G15" s="20">
        <f>2*PI()*E15*'1-Simulation'!U15/(1000*60)</f>
        <v>6.0418011828419269</v>
      </c>
      <c r="H15" s="20">
        <f t="shared" si="1"/>
        <v>7.1080013915787381</v>
      </c>
      <c r="I15" s="20">
        <f t="shared" si="2"/>
        <v>148.08336232455704</v>
      </c>
      <c r="J15" s="20">
        <f>'1-Simulation'!U15/(IF('1-Simulation'!J15=1,'1-Specification &amp; Data'!H$7,IF('1-Simulation'!J15=2,'1-Specification &amp; Data'!H$8,IF('1-Simulation'!J15=3,'1-Specification &amp; Data'!H$9)))*0.8)</f>
        <v>27.285454847435066</v>
      </c>
      <c r="K15" s="20">
        <f t="shared" si="0"/>
        <v>8.332944187079411</v>
      </c>
      <c r="L15" s="20">
        <f t="shared" si="3"/>
        <v>8.771520196925696</v>
      </c>
      <c r="M15" s="20">
        <f t="shared" si="4"/>
        <v>0</v>
      </c>
      <c r="N15" s="20">
        <f t="shared" si="5"/>
        <v>0</v>
      </c>
      <c r="O15" s="20">
        <f t="shared" si="6"/>
        <v>0</v>
      </c>
      <c r="P15" s="20">
        <f t="shared" si="7"/>
        <v>0</v>
      </c>
      <c r="Q15" s="20">
        <f t="shared" si="8"/>
        <v>5.832944187079411</v>
      </c>
      <c r="R15" s="20">
        <f t="shared" si="9"/>
        <v>121.5196705641544</v>
      </c>
      <c r="S15" s="20">
        <f t="shared" si="10"/>
        <v>0.59384264519628416</v>
      </c>
      <c r="T15" s="20">
        <f t="shared" si="11"/>
        <v>49.48688709969035</v>
      </c>
    </row>
    <row r="16" spans="1:20" x14ac:dyDescent="0.25">
      <c r="A16" s="19">
        <f t="shared" si="12"/>
        <v>14</v>
      </c>
      <c r="B16" s="19">
        <v>5500</v>
      </c>
      <c r="C16" s="19">
        <v>14</v>
      </c>
      <c r="D16" s="20">
        <v>2.5</v>
      </c>
      <c r="E16" s="20">
        <f>'1-Simulation'!F16*60/(2*PI()*'1-Specification &amp; Data'!B$14)</f>
        <v>332.97501661648062</v>
      </c>
      <c r="F16" s="20">
        <f>E16*(IF('1-Simulation'!J16=1,'1-Specification &amp; Data'!H$7,IF('1-Simulation'!J16=2,'1-Specification &amp; Data'!H$8,IF('1-Simulation'!J16=3,'1-Specification &amp; Data'!H$9))))</f>
        <v>2763.260202830274</v>
      </c>
      <c r="G16" s="20">
        <f>2*PI()*E16*'1-Simulation'!U16/(1000*60)</f>
        <v>4.038450270812203</v>
      </c>
      <c r="H16" s="20">
        <f t="shared" si="1"/>
        <v>4.7511179656614155</v>
      </c>
      <c r="I16" s="20">
        <f t="shared" si="2"/>
        <v>98.981624284612835</v>
      </c>
      <c r="J16" s="20">
        <f>'1-Simulation'!U16/(IF('1-Simulation'!J16=1,'1-Specification &amp; Data'!H$7,IF('1-Simulation'!J16=2,'1-Specification &amp; Data'!H$8,IF('1-Simulation'!J16=3,'1-Specification &amp; Data'!H$9)))*0.8)</f>
        <v>17.445135705250593</v>
      </c>
      <c r="K16" s="20">
        <f t="shared" si="0"/>
        <v>5.5698921051130315</v>
      </c>
      <c r="L16" s="20">
        <f t="shared" si="3"/>
        <v>5.8630443211716123</v>
      </c>
      <c r="M16" s="20">
        <f t="shared" si="4"/>
        <v>0</v>
      </c>
      <c r="N16" s="20">
        <f t="shared" si="5"/>
        <v>0</v>
      </c>
      <c r="O16" s="20">
        <f t="shared" si="6"/>
        <v>0</v>
      </c>
      <c r="P16" s="20">
        <f t="shared" si="7"/>
        <v>0</v>
      </c>
      <c r="Q16" s="20">
        <f t="shared" si="8"/>
        <v>3.0698921051130315</v>
      </c>
      <c r="R16" s="20">
        <f t="shared" si="9"/>
        <v>63.956085523188158</v>
      </c>
      <c r="S16" s="20">
        <f t="shared" si="10"/>
        <v>0.5929898973893083</v>
      </c>
      <c r="T16" s="20">
        <f t="shared" si="11"/>
        <v>49.415824782442357</v>
      </c>
    </row>
    <row r="17" spans="1:20" x14ac:dyDescent="0.25">
      <c r="A17" s="19">
        <f t="shared" si="12"/>
        <v>15</v>
      </c>
      <c r="B17" s="19">
        <v>5500</v>
      </c>
      <c r="C17" s="19">
        <v>14</v>
      </c>
      <c r="D17" s="20">
        <v>2.5</v>
      </c>
      <c r="E17" s="20">
        <f>'1-Simulation'!F17*60/(2*PI()*'1-Specification &amp; Data'!B$14)</f>
        <v>354.69077856972933</v>
      </c>
      <c r="F17" s="20">
        <f>E17*(IF('1-Simulation'!J17=1,'1-Specification &amp; Data'!H$7,IF('1-Simulation'!J17=2,'1-Specification &amp; Data'!H$8,IF('1-Simulation'!J17=3,'1-Specification &amp; Data'!H$9))))</f>
        <v>2943.4728247539874</v>
      </c>
      <c r="G17" s="20">
        <f>2*PI()*E17*'1-Simulation'!U17/(1000*60)</f>
        <v>5.9104478312247304</v>
      </c>
      <c r="H17" s="20">
        <f t="shared" si="1"/>
        <v>6.9534680367349768</v>
      </c>
      <c r="I17" s="20">
        <f t="shared" si="2"/>
        <v>144.86391743197868</v>
      </c>
      <c r="J17" s="20">
        <f>'1-Simulation'!U17/(IF('1-Simulation'!J17=1,'1-Specification &amp; Data'!H$7,IF('1-Simulation'!J17=2,'1-Specification &amp; Data'!H$8,IF('1-Simulation'!J17=3,'1-Specification &amp; Data'!H$9)))*0.8)</f>
        <v>23.968549505076773</v>
      </c>
      <c r="K17" s="20">
        <f t="shared" si="0"/>
        <v>8.1517796444724233</v>
      </c>
      <c r="L17" s="20">
        <f t="shared" si="3"/>
        <v>8.5808206783920244</v>
      </c>
      <c r="M17" s="20">
        <f t="shared" si="4"/>
        <v>0</v>
      </c>
      <c r="N17" s="20">
        <f t="shared" si="5"/>
        <v>0</v>
      </c>
      <c r="O17" s="20">
        <f t="shared" si="6"/>
        <v>0</v>
      </c>
      <c r="P17" s="20">
        <f t="shared" si="7"/>
        <v>0</v>
      </c>
      <c r="Q17" s="20">
        <f t="shared" si="8"/>
        <v>5.6517796444724233</v>
      </c>
      <c r="R17" s="20">
        <f t="shared" si="9"/>
        <v>117.74540925984216</v>
      </c>
      <c r="S17" s="20">
        <f t="shared" si="10"/>
        <v>0.59141995859917706</v>
      </c>
      <c r="T17" s="20">
        <f t="shared" si="11"/>
        <v>49.284996549931421</v>
      </c>
    </row>
    <row r="18" spans="1:20" x14ac:dyDescent="0.25">
      <c r="A18" s="19">
        <f t="shared" si="12"/>
        <v>16</v>
      </c>
      <c r="B18" s="19">
        <v>5500</v>
      </c>
      <c r="C18" s="19">
        <v>14</v>
      </c>
      <c r="D18" s="20">
        <v>2.5</v>
      </c>
      <c r="E18" s="20">
        <f>'1-Simulation'!F18*60/(2*PI()*'1-Specification &amp; Data'!B$14)</f>
        <v>376.40654052297805</v>
      </c>
      <c r="F18" s="20">
        <f>E18*(IF('1-Simulation'!J18=1,'1-Specification &amp; Data'!H$7,IF('1-Simulation'!J18=2,'1-Specification &amp; Data'!H$8,IF('1-Simulation'!J18=3,'1-Specification &amp; Data'!H$9))))</f>
        <v>3123.6854466777004</v>
      </c>
      <c r="G18" s="20">
        <f>2*PI()*E18*'1-Simulation'!U18/(1000*60)</f>
        <v>6.3467594145320625</v>
      </c>
      <c r="H18" s="20">
        <f t="shared" si="1"/>
        <v>7.4667757818024265</v>
      </c>
      <c r="I18" s="20">
        <f t="shared" si="2"/>
        <v>155.55782878755056</v>
      </c>
      <c r="J18" s="20">
        <f>'1-Simulation'!U18/(IF('1-Simulation'!J18=1,'1-Specification &amp; Data'!H$7,IF('1-Simulation'!J18=2,'1-Specification &amp; Data'!H$8,IF('1-Simulation'!J18=3,'1-Specification &amp; Data'!H$9)))*0.8)</f>
        <v>24.253037413997927</v>
      </c>
      <c r="K18" s="20">
        <f t="shared" si="0"/>
        <v>8.7535472236839702</v>
      </c>
      <c r="L18" s="20">
        <f t="shared" si="3"/>
        <v>9.2142602354568108</v>
      </c>
      <c r="M18" s="20">
        <f t="shared" si="4"/>
        <v>0</v>
      </c>
      <c r="N18" s="20">
        <f t="shared" si="5"/>
        <v>0</v>
      </c>
      <c r="O18" s="20">
        <f t="shared" si="6"/>
        <v>0</v>
      </c>
      <c r="P18" s="20">
        <f t="shared" si="7"/>
        <v>0</v>
      </c>
      <c r="Q18" s="20">
        <f t="shared" si="8"/>
        <v>6.2535472236839702</v>
      </c>
      <c r="R18" s="20">
        <f t="shared" si="9"/>
        <v>130.28223382674938</v>
      </c>
      <c r="S18" s="20">
        <f t="shared" si="10"/>
        <v>0.58968286214815369</v>
      </c>
      <c r="T18" s="20">
        <f t="shared" si="11"/>
        <v>49.140238512346144</v>
      </c>
    </row>
    <row r="19" spans="1:20" x14ac:dyDescent="0.25">
      <c r="A19" s="19">
        <f t="shared" si="12"/>
        <v>17</v>
      </c>
      <c r="B19" s="19">
        <v>5500</v>
      </c>
      <c r="C19" s="19">
        <v>14</v>
      </c>
      <c r="D19" s="20">
        <v>2.5</v>
      </c>
      <c r="E19" s="20">
        <f>'1-Simulation'!F19*60/(2*PI()*'1-Specification &amp; Data'!B$14)</f>
        <v>405.36088979397641</v>
      </c>
      <c r="F19" s="20">
        <f>E19*(IF('1-Simulation'!J19=1,'1-Specification &amp; Data'!H$7,IF('1-Simulation'!J19=2,'1-Specification &amp; Data'!H$8,IF('1-Simulation'!J19=3,'1-Specification &amp; Data'!H$9))))</f>
        <v>3363.9689425759857</v>
      </c>
      <c r="G19" s="20">
        <f>2*PI()*E19*'1-Simulation'!U19/(1000*60)</f>
        <v>8.7122913284705223</v>
      </c>
      <c r="H19" s="20">
        <f t="shared" si="1"/>
        <v>10.249754504082969</v>
      </c>
      <c r="I19" s="20">
        <f t="shared" si="2"/>
        <v>213.53655216839516</v>
      </c>
      <c r="J19" s="20">
        <f>'1-Simulation'!U19/(IF('1-Simulation'!J19=1,'1-Specification &amp; Data'!H$7,IF('1-Simulation'!J19=2,'1-Specification &amp; Data'!H$8,IF('1-Simulation'!J19=3,'1-Specification &amp; Data'!H$9)))*0.8)</f>
        <v>30.914470100330412</v>
      </c>
      <c r="K19" s="20">
        <f t="shared" si="0"/>
        <v>12.01612485824498</v>
      </c>
      <c r="L19" s="20">
        <f t="shared" si="3"/>
        <v>12.648552482363138</v>
      </c>
      <c r="M19" s="20">
        <f t="shared" si="4"/>
        <v>0</v>
      </c>
      <c r="N19" s="20">
        <f t="shared" si="5"/>
        <v>0</v>
      </c>
      <c r="O19" s="20">
        <f t="shared" si="6"/>
        <v>0</v>
      </c>
      <c r="P19" s="20">
        <f t="shared" si="7"/>
        <v>0</v>
      </c>
      <c r="Q19" s="20">
        <f t="shared" si="8"/>
        <v>9.5161248582449804</v>
      </c>
      <c r="R19" s="20">
        <f t="shared" si="9"/>
        <v>198.25260121343709</v>
      </c>
      <c r="S19" s="20">
        <f t="shared" si="10"/>
        <v>0.58703949413197454</v>
      </c>
      <c r="T19" s="20">
        <f t="shared" si="11"/>
        <v>48.919957844331215</v>
      </c>
    </row>
    <row r="20" spans="1:20" x14ac:dyDescent="0.25">
      <c r="A20" s="19">
        <f t="shared" si="12"/>
        <v>18</v>
      </c>
      <c r="B20" s="19">
        <v>5500</v>
      </c>
      <c r="C20" s="19">
        <v>14</v>
      </c>
      <c r="D20" s="20">
        <v>2.5</v>
      </c>
      <c r="E20" s="20">
        <f>'1-Simulation'!F20*60/(2*PI()*'1-Specification &amp; Data'!B$14)</f>
        <v>419.83806442947554</v>
      </c>
      <c r="F20" s="20">
        <f>E20*(IF('1-Simulation'!J20=1,'1-Specification &amp; Data'!H$7,IF('1-Simulation'!J20=2,'1-Specification &amp; Data'!H$8,IF('1-Simulation'!J20=3,'1-Specification &amp; Data'!H$9))))</f>
        <v>3484.1106905251277</v>
      </c>
      <c r="G20" s="20">
        <f>2*PI()*E20*'1-Simulation'!U20/(1000*60)</f>
        <v>5.4339749548743326</v>
      </c>
      <c r="H20" s="20">
        <f t="shared" si="1"/>
        <v>6.3929117116168621</v>
      </c>
      <c r="I20" s="20">
        <f t="shared" si="2"/>
        <v>133.18566065868461</v>
      </c>
      <c r="J20" s="20">
        <f>'1-Simulation'!U20/(IF('1-Simulation'!J20=1,'1-Specification &amp; Data'!H$7,IF('1-Simulation'!J20=2,'1-Specification &amp; Data'!H$8,IF('1-Simulation'!J20=3,'1-Specification &amp; Data'!H$9)))*0.8)</f>
        <v>18.616887884569309</v>
      </c>
      <c r="K20" s="20">
        <f t="shared" si="0"/>
        <v>7.4946209983785019</v>
      </c>
      <c r="L20" s="20">
        <f t="shared" si="3"/>
        <v>7.8890747351352655</v>
      </c>
      <c r="M20" s="20">
        <f t="shared" si="4"/>
        <v>0</v>
      </c>
      <c r="N20" s="20">
        <f t="shared" si="5"/>
        <v>0</v>
      </c>
      <c r="O20" s="20">
        <f t="shared" si="6"/>
        <v>0</v>
      </c>
      <c r="P20" s="20">
        <f t="shared" si="7"/>
        <v>0</v>
      </c>
      <c r="Q20" s="20">
        <f t="shared" si="8"/>
        <v>4.9946209983785019</v>
      </c>
      <c r="R20" s="20">
        <f t="shared" si="9"/>
        <v>104.05460413288546</v>
      </c>
      <c r="S20" s="20">
        <f t="shared" si="10"/>
        <v>0.58565209941020269</v>
      </c>
      <c r="T20" s="20">
        <f t="shared" si="11"/>
        <v>48.804341617516897</v>
      </c>
    </row>
    <row r="21" spans="1:20" x14ac:dyDescent="0.25">
      <c r="A21" s="19">
        <f t="shared" si="12"/>
        <v>19</v>
      </c>
      <c r="B21" s="19">
        <v>5500</v>
      </c>
      <c r="C21" s="19">
        <v>14</v>
      </c>
      <c r="D21" s="20">
        <v>2.5</v>
      </c>
      <c r="E21" s="20">
        <f>'1-Simulation'!F21*60/(2*PI()*'1-Specification &amp; Data'!B$14)</f>
        <v>434.31523906497466</v>
      </c>
      <c r="F21" s="20">
        <f>E21*(IF('1-Simulation'!J21=1,'1-Specification &amp; Data'!H$7,IF('1-Simulation'!J21=2,'1-Specification &amp; Data'!H$8,IF('1-Simulation'!J21=3,'1-Specification &amp; Data'!H$9))))</f>
        <v>3604.2524384742696</v>
      </c>
      <c r="G21" s="20">
        <f>2*PI()*E21*'1-Simulation'!U21/(1000*60)</f>
        <v>5.6882596985041003</v>
      </c>
      <c r="H21" s="20">
        <f t="shared" si="1"/>
        <v>6.6920702335342357</v>
      </c>
      <c r="I21" s="20">
        <f t="shared" si="2"/>
        <v>139.41812986529658</v>
      </c>
      <c r="J21" s="20">
        <f>'1-Simulation'!U21/(IF('1-Simulation'!J21=1,'1-Specification &amp; Data'!H$7,IF('1-Simulation'!J21=2,'1-Specification &amp; Data'!H$8,IF('1-Simulation'!J21=3,'1-Specification &amp; Data'!H$9)))*0.8)</f>
        <v>18.838469226171362</v>
      </c>
      <c r="K21" s="20">
        <f t="shared" si="0"/>
        <v>7.8453343886685065</v>
      </c>
      <c r="L21" s="20">
        <f t="shared" si="3"/>
        <v>8.2582467249142173</v>
      </c>
      <c r="M21" s="20">
        <f t="shared" si="4"/>
        <v>0</v>
      </c>
      <c r="N21" s="20">
        <f t="shared" si="5"/>
        <v>0</v>
      </c>
      <c r="O21" s="20">
        <f t="shared" si="6"/>
        <v>0</v>
      </c>
      <c r="P21" s="20">
        <f t="shared" si="7"/>
        <v>0</v>
      </c>
      <c r="Q21" s="20">
        <f t="shared" si="8"/>
        <v>5.3453343886685065</v>
      </c>
      <c r="R21" s="20">
        <f t="shared" si="9"/>
        <v>111.36113309726055</v>
      </c>
      <c r="S21" s="20">
        <f t="shared" si="10"/>
        <v>0.58416728430223919</v>
      </c>
      <c r="T21" s="20">
        <f t="shared" si="11"/>
        <v>48.680607025186603</v>
      </c>
    </row>
    <row r="22" spans="1:20" x14ac:dyDescent="0.25">
      <c r="A22" s="19">
        <f t="shared" si="12"/>
        <v>20</v>
      </c>
      <c r="B22" s="19">
        <v>5500</v>
      </c>
      <c r="C22" s="19">
        <v>14</v>
      </c>
      <c r="D22" s="20">
        <v>2.5</v>
      </c>
      <c r="E22" s="20">
        <f>'1-Simulation'!F22*60/(2*PI()*'1-Specification &amp; Data'!B$14)</f>
        <v>405.36088979397641</v>
      </c>
      <c r="F22" s="20">
        <f>E22*(IF('1-Simulation'!J22=1,'1-Specification &amp; Data'!H$7,IF('1-Simulation'!J22=2,'1-Specification &amp; Data'!H$8,IF('1-Simulation'!J22=3,'1-Specification &amp; Data'!H$9))))</f>
        <v>3363.9689425759857</v>
      </c>
      <c r="G22" s="20">
        <f>2*PI()*E22*'1-Simulation'!U22/(1000*60)</f>
        <v>-5.391804223682108</v>
      </c>
      <c r="H22" s="20">
        <f t="shared" si="1"/>
        <v>0</v>
      </c>
      <c r="I22" s="20">
        <f t="shared" si="2"/>
        <v>0</v>
      </c>
      <c r="J22" s="20">
        <f>'1-Simulation'!U22/(IF('1-Simulation'!J22=1,'1-Specification &amp; Data'!H$7,IF('1-Simulation'!J22=2,'1-Specification &amp; Data'!H$8,IF('1-Simulation'!J22=3,'1-Specification &amp; Data'!H$9)))*0.8)</f>
        <v>-19.132139201446783</v>
      </c>
      <c r="K22" s="20">
        <f t="shared" si="0"/>
        <v>0</v>
      </c>
      <c r="L22" s="20">
        <f t="shared" si="3"/>
        <v>0</v>
      </c>
      <c r="M22" s="20">
        <f t="shared" si="4"/>
        <v>2.0480660507572011</v>
      </c>
      <c r="N22" s="20">
        <f t="shared" si="5"/>
        <v>2.5</v>
      </c>
      <c r="O22" s="20">
        <f t="shared" si="6"/>
        <v>4.5480660507572015</v>
      </c>
      <c r="P22" s="20">
        <f t="shared" si="7"/>
        <v>80.071585400654953</v>
      </c>
      <c r="Q22" s="20">
        <f t="shared" si="8"/>
        <v>0</v>
      </c>
      <c r="R22" s="20">
        <f t="shared" si="9"/>
        <v>0</v>
      </c>
      <c r="S22" s="20">
        <f t="shared" si="10"/>
        <v>0.58543063598300504</v>
      </c>
      <c r="T22" s="20">
        <f t="shared" si="11"/>
        <v>48.785886331917091</v>
      </c>
    </row>
    <row r="23" spans="1:20" x14ac:dyDescent="0.25">
      <c r="A23" s="19">
        <f t="shared" si="12"/>
        <v>21</v>
      </c>
      <c r="B23" s="19">
        <v>5500</v>
      </c>
      <c r="C23" s="19">
        <v>14</v>
      </c>
      <c r="D23" s="20">
        <v>2.5</v>
      </c>
      <c r="E23" s="20">
        <f>'1-Simulation'!F23*60/(2*PI()*'1-Specification &amp; Data'!B$14)</f>
        <v>376.40654052297805</v>
      </c>
      <c r="F23" s="20">
        <f>E23*(IF('1-Simulation'!J23=1,'1-Specification &amp; Data'!H$7,IF('1-Simulation'!J23=2,'1-Specification &amp; Data'!H$8,IF('1-Simulation'!J23=3,'1-Specification &amp; Data'!H$9))))</f>
        <v>3123.6854466777004</v>
      </c>
      <c r="G23" s="20">
        <f>2*PI()*E23*'1-Simulation'!U23/(1000*60)</f>
        <v>-5.1128182215919793</v>
      </c>
      <c r="H23" s="20">
        <f t="shared" si="1"/>
        <v>0</v>
      </c>
      <c r="I23" s="20">
        <f t="shared" si="2"/>
        <v>0</v>
      </c>
      <c r="J23" s="20">
        <f>'1-Simulation'!U23/(IF('1-Simulation'!J23=1,'1-Specification &amp; Data'!H$7,IF('1-Simulation'!J23=2,'1-Specification &amp; Data'!H$8,IF('1-Simulation'!J23=3,'1-Specification &amp; Data'!H$9)))*0.8)</f>
        <v>-19.537745725057242</v>
      </c>
      <c r="K23" s="20">
        <f t="shared" si="0"/>
        <v>0</v>
      </c>
      <c r="L23" s="20">
        <f t="shared" si="3"/>
        <v>0</v>
      </c>
      <c r="M23" s="20">
        <f t="shared" si="4"/>
        <v>1.9420937758352701</v>
      </c>
      <c r="N23" s="20">
        <f t="shared" si="5"/>
        <v>2.5</v>
      </c>
      <c r="O23" s="20">
        <f t="shared" si="6"/>
        <v>4.4420937758352697</v>
      </c>
      <c r="P23" s="20">
        <f t="shared" si="7"/>
        <v>78.205876335127982</v>
      </c>
      <c r="Q23" s="20">
        <f t="shared" si="8"/>
        <v>0</v>
      </c>
      <c r="R23" s="20">
        <f t="shared" si="9"/>
        <v>0</v>
      </c>
      <c r="S23" s="20">
        <f t="shared" si="10"/>
        <v>0.5866645509207371</v>
      </c>
      <c r="T23" s="20">
        <f t="shared" si="11"/>
        <v>48.888712576728096</v>
      </c>
    </row>
    <row r="24" spans="1:20" x14ac:dyDescent="0.25">
      <c r="A24" s="19">
        <f t="shared" si="12"/>
        <v>22</v>
      </c>
      <c r="B24" s="19">
        <v>5500</v>
      </c>
      <c r="C24" s="19">
        <v>14</v>
      </c>
      <c r="D24" s="20">
        <v>2.5</v>
      </c>
      <c r="E24" s="20">
        <f>'1-Simulation'!F24*60/(2*PI()*'1-Specification &amp; Data'!B$14)</f>
        <v>347.45219125197974</v>
      </c>
      <c r="F24" s="20">
        <f>E24*(IF('1-Simulation'!J24=1,'1-Specification &amp; Data'!H$7,IF('1-Simulation'!J24=2,'1-Specification &amp; Data'!H$8,IF('1-Simulation'!J24=3,'1-Specification &amp; Data'!H$9))))</f>
        <v>2883.401950779416</v>
      </c>
      <c r="G24" s="20">
        <f>2*PI()*E24*'1-Simulation'!U24/(1000*60)</f>
        <v>-4.8102449148284672</v>
      </c>
      <c r="H24" s="20">
        <f t="shared" si="1"/>
        <v>0</v>
      </c>
      <c r="I24" s="20">
        <f t="shared" si="2"/>
        <v>0</v>
      </c>
      <c r="J24" s="20">
        <f>'1-Simulation'!U24/(IF('1-Simulation'!J24=1,'1-Specification &amp; Data'!H$7,IF('1-Simulation'!J24=2,'1-Specification &amp; Data'!H$8,IF('1-Simulation'!J24=3,'1-Specification &amp; Data'!H$9)))*0.8)</f>
        <v>-19.913307320992661</v>
      </c>
      <c r="K24" s="20">
        <f t="shared" si="0"/>
        <v>0</v>
      </c>
      <c r="L24" s="20">
        <f t="shared" si="3"/>
        <v>0</v>
      </c>
      <c r="M24" s="20">
        <f t="shared" si="4"/>
        <v>1.8271619104077637</v>
      </c>
      <c r="N24" s="20">
        <f t="shared" si="5"/>
        <v>2.5</v>
      </c>
      <c r="O24" s="20">
        <f t="shared" si="6"/>
        <v>4.3271619104077637</v>
      </c>
      <c r="P24" s="20">
        <f t="shared" si="7"/>
        <v>76.182428000136682</v>
      </c>
      <c r="Q24" s="20">
        <f t="shared" si="8"/>
        <v>0</v>
      </c>
      <c r="R24" s="20">
        <f t="shared" si="9"/>
        <v>0</v>
      </c>
      <c r="S24" s="20">
        <f t="shared" si="10"/>
        <v>0.58786654034029484</v>
      </c>
      <c r="T24" s="20">
        <f t="shared" si="11"/>
        <v>48.988878361691235</v>
      </c>
    </row>
    <row r="25" spans="1:20" x14ac:dyDescent="0.25">
      <c r="A25" s="19">
        <f t="shared" si="12"/>
        <v>23</v>
      </c>
      <c r="B25" s="19">
        <v>5500</v>
      </c>
      <c r="C25" s="19">
        <v>14</v>
      </c>
      <c r="D25" s="20">
        <v>2.5</v>
      </c>
      <c r="E25" s="20">
        <f>'1-Simulation'!F25*60/(2*PI()*'1-Specification &amp; Data'!B$14)</f>
        <v>318.49784198098149</v>
      </c>
      <c r="F25" s="20">
        <f>E25*(IF('1-Simulation'!J25=1,'1-Specification &amp; Data'!H$7,IF('1-Simulation'!J25=2,'1-Specification &amp; Data'!H$8,IF('1-Simulation'!J25=3,'1-Specification &amp; Data'!H$9))))</f>
        <v>2643.118454881132</v>
      </c>
      <c r="G25" s="20">
        <f>2*PI()*E25*'1-Simulation'!U25/(1000*60)</f>
        <v>-4.4858987114434434</v>
      </c>
      <c r="H25" s="20">
        <f t="shared" si="1"/>
        <v>0</v>
      </c>
      <c r="I25" s="20">
        <f t="shared" si="2"/>
        <v>0</v>
      </c>
      <c r="J25" s="20">
        <f>'1-Simulation'!U25/(IF('1-Simulation'!J25=1,'1-Specification &amp; Data'!H$7,IF('1-Simulation'!J25=2,'1-Specification &amp; Data'!H$8,IF('1-Simulation'!J25=3,'1-Specification &amp; Data'!H$9)))*0.8)</f>
        <v>-20.258823989253337</v>
      </c>
      <c r="K25" s="20">
        <f t="shared" si="0"/>
        <v>0</v>
      </c>
      <c r="L25" s="20">
        <f t="shared" si="3"/>
        <v>0</v>
      </c>
      <c r="M25" s="20">
        <f t="shared" si="4"/>
        <v>1.7039596537443689</v>
      </c>
      <c r="N25" s="20">
        <f t="shared" si="5"/>
        <v>2.5</v>
      </c>
      <c r="O25" s="20">
        <f t="shared" si="6"/>
        <v>4.2039596537443691</v>
      </c>
      <c r="P25" s="20">
        <f t="shared" si="7"/>
        <v>74.013374185640316</v>
      </c>
      <c r="Q25" s="20">
        <f t="shared" si="8"/>
        <v>0</v>
      </c>
      <c r="R25" s="20">
        <f t="shared" si="9"/>
        <v>0</v>
      </c>
      <c r="S25" s="20">
        <f t="shared" si="10"/>
        <v>0.5890343069107794</v>
      </c>
      <c r="T25" s="20">
        <f t="shared" si="11"/>
        <v>49.086192242564955</v>
      </c>
    </row>
    <row r="26" spans="1:20" x14ac:dyDescent="0.25">
      <c r="A26" s="19">
        <f t="shared" si="12"/>
        <v>24</v>
      </c>
      <c r="B26" s="19">
        <v>5500</v>
      </c>
      <c r="C26" s="19">
        <v>14</v>
      </c>
      <c r="D26" s="20">
        <v>2.5</v>
      </c>
      <c r="E26" s="20">
        <f>'1-Simulation'!F26*60/(2*PI()*'1-Specification &amp; Data'!B$14)</f>
        <v>289.54349270998313</v>
      </c>
      <c r="F26" s="20">
        <f>E26*(IF('1-Simulation'!J26=1,'1-Specification &amp; Data'!H$7,IF('1-Simulation'!J26=2,'1-Specification &amp; Data'!H$8,IF('1-Simulation'!J26=3,'1-Specification &amp; Data'!H$9))))</f>
        <v>3641.6298711695595</v>
      </c>
      <c r="G26" s="20">
        <f>2*PI()*E26*'1-Simulation'!U26/(1000*60)</f>
        <v>-4.1755161262440756</v>
      </c>
      <c r="H26" s="20">
        <f t="shared" si="1"/>
        <v>0</v>
      </c>
      <c r="I26" s="20">
        <f t="shared" si="2"/>
        <v>0</v>
      </c>
      <c r="J26" s="20">
        <f>'1-Simulation'!U26/(IF('1-Simulation'!J26=1,'1-Specification &amp; Data'!H$7,IF('1-Simulation'!J26=2,'1-Specification &amp; Data'!H$8,IF('1-Simulation'!J26=3,'1-Specification &amp; Data'!H$9)))*0.8)</f>
        <v>-13.686605756797499</v>
      </c>
      <c r="K26" s="20">
        <f t="shared" si="0"/>
        <v>0</v>
      </c>
      <c r="L26" s="20">
        <f t="shared" si="3"/>
        <v>0</v>
      </c>
      <c r="M26" s="20">
        <f t="shared" si="4"/>
        <v>1.5860614495215595</v>
      </c>
      <c r="N26" s="20">
        <f t="shared" si="5"/>
        <v>2.5</v>
      </c>
      <c r="O26" s="20">
        <f t="shared" si="6"/>
        <v>4.0860614495215595</v>
      </c>
      <c r="P26" s="20">
        <f t="shared" si="7"/>
        <v>71.937701576083796</v>
      </c>
      <c r="Q26" s="20">
        <f t="shared" si="8"/>
        <v>0</v>
      </c>
      <c r="R26" s="20">
        <f t="shared" si="9"/>
        <v>0</v>
      </c>
      <c r="S26" s="20">
        <f t="shared" si="10"/>
        <v>0.59016932398009092</v>
      </c>
      <c r="T26" s="20">
        <f t="shared" si="11"/>
        <v>49.18077699834091</v>
      </c>
    </row>
    <row r="27" spans="1:20" x14ac:dyDescent="0.25">
      <c r="A27" s="19">
        <f t="shared" si="12"/>
        <v>25</v>
      </c>
      <c r="B27" s="19">
        <v>5500</v>
      </c>
      <c r="C27" s="19">
        <v>14</v>
      </c>
      <c r="D27" s="20">
        <v>2.5</v>
      </c>
      <c r="E27" s="20">
        <f>'1-Simulation'!F27*60/(2*PI()*'1-Specification &amp; Data'!B$14)</f>
        <v>286.64805778288331</v>
      </c>
      <c r="F27" s="20">
        <f>E27*(IF('1-Simulation'!J27=1,'1-Specification &amp; Data'!H$7,IF('1-Simulation'!J27=2,'1-Specification &amp; Data'!H$8,IF('1-Simulation'!J27=3,'1-Specification &amp; Data'!H$9))))</f>
        <v>3605.2135724578643</v>
      </c>
      <c r="G27" s="20">
        <f>2*PI()*E27*'1-Simulation'!U27/(1000*60)</f>
        <v>0.37863071507363455</v>
      </c>
      <c r="H27" s="20">
        <f t="shared" si="1"/>
        <v>0.44544790008662888</v>
      </c>
      <c r="I27" s="20">
        <f t="shared" si="2"/>
        <v>9.2801645851381007</v>
      </c>
      <c r="J27" s="20">
        <f>'1-Simulation'!U27/(IF('1-Simulation'!J27=1,'1-Specification &amp; Data'!H$7,IF('1-Simulation'!J27=2,'1-Specification &amp; Data'!H$8,IF('1-Simulation'!J27=3,'1-Specification &amp; Data'!H$9)))*0.8)</f>
        <v>1.2536209443475121</v>
      </c>
      <c r="K27" s="20">
        <f t="shared" si="0"/>
        <v>0.52221324746380882</v>
      </c>
      <c r="L27" s="20">
        <f t="shared" si="3"/>
        <v>0.54969815522506194</v>
      </c>
      <c r="M27" s="20">
        <f t="shared" si="4"/>
        <v>0</v>
      </c>
      <c r="N27" s="20">
        <f t="shared" si="5"/>
        <v>1.9503018447749381</v>
      </c>
      <c r="O27" s="20">
        <f t="shared" si="6"/>
        <v>1.9777867525361912</v>
      </c>
      <c r="P27" s="20">
        <f t="shared" si="7"/>
        <v>34.820189305214633</v>
      </c>
      <c r="Q27" s="20">
        <f t="shared" si="8"/>
        <v>0</v>
      </c>
      <c r="R27" s="20">
        <f t="shared" si="9"/>
        <v>0</v>
      </c>
      <c r="S27" s="20">
        <f t="shared" si="10"/>
        <v>0.59071870918912872</v>
      </c>
      <c r="T27" s="20">
        <f t="shared" si="11"/>
        <v>49.226559099094061</v>
      </c>
    </row>
    <row r="28" spans="1:20" x14ac:dyDescent="0.25">
      <c r="A28" s="19">
        <f t="shared" si="12"/>
        <v>26</v>
      </c>
      <c r="B28" s="19">
        <v>5500</v>
      </c>
      <c r="C28" s="19">
        <v>14</v>
      </c>
      <c r="D28" s="20">
        <v>2.5</v>
      </c>
      <c r="E28" s="20">
        <f>'1-Simulation'!F28*60/(2*PI()*'1-Specification &amp; Data'!B$14)</f>
        <v>260.58914343898482</v>
      </c>
      <c r="F28" s="20">
        <f>E28*(IF('1-Simulation'!J28=1,'1-Specification &amp; Data'!H$7,IF('1-Simulation'!J28=2,'1-Specification &amp; Data'!H$8,IF('1-Simulation'!J28=3,'1-Specification &amp; Data'!H$9))))</f>
        <v>3277.4668840526037</v>
      </c>
      <c r="G28" s="20">
        <f>2*PI()*E28*'1-Simulation'!U28/(1000*60)</f>
        <v>-3.3532762250257808</v>
      </c>
      <c r="H28" s="20">
        <f t="shared" si="1"/>
        <v>0</v>
      </c>
      <c r="I28" s="20">
        <f t="shared" si="2"/>
        <v>0</v>
      </c>
      <c r="J28" s="20">
        <f>'1-Simulation'!U28/(IF('1-Simulation'!J28=1,'1-Specification &amp; Data'!H$7,IF('1-Simulation'!J28=2,'1-Specification &amp; Data'!H$8,IF('1-Simulation'!J28=3,'1-Specification &amp; Data'!H$9)))*0.8)</f>
        <v>-12.212720348805007</v>
      </c>
      <c r="K28" s="20">
        <f t="shared" si="0"/>
        <v>0</v>
      </c>
      <c r="L28" s="20">
        <f t="shared" si="3"/>
        <v>0</v>
      </c>
      <c r="M28" s="20">
        <f t="shared" si="4"/>
        <v>1.2737352675235925</v>
      </c>
      <c r="N28" s="20">
        <f t="shared" si="5"/>
        <v>2.5</v>
      </c>
      <c r="O28" s="20">
        <f t="shared" si="6"/>
        <v>3.7737352675235925</v>
      </c>
      <c r="P28" s="20">
        <f t="shared" si="7"/>
        <v>66.439001188795643</v>
      </c>
      <c r="Q28" s="20">
        <f t="shared" si="8"/>
        <v>0</v>
      </c>
      <c r="R28" s="20">
        <f t="shared" si="9"/>
        <v>0</v>
      </c>
      <c r="S28" s="20">
        <f t="shared" si="10"/>
        <v>0.59176696898566306</v>
      </c>
      <c r="T28" s="20">
        <f t="shared" si="11"/>
        <v>49.313914082138588</v>
      </c>
    </row>
    <row r="29" spans="1:20" x14ac:dyDescent="0.25">
      <c r="A29" s="19">
        <f t="shared" si="12"/>
        <v>27</v>
      </c>
      <c r="B29" s="19">
        <v>5500</v>
      </c>
      <c r="C29" s="19">
        <v>14</v>
      </c>
      <c r="D29" s="20">
        <v>2.5</v>
      </c>
      <c r="E29" s="20">
        <f>'1-Simulation'!F29*60/(2*PI()*'1-Specification &amp; Data'!B$14)</f>
        <v>246.11196880348567</v>
      </c>
      <c r="F29" s="20">
        <f>E29*(IF('1-Simulation'!J29=1,'1-Specification &amp; Data'!H$7,IF('1-Simulation'!J29=2,'1-Specification &amp; Data'!H$8,IF('1-Simulation'!J29=3,'1-Specification &amp; Data'!H$9))))</f>
        <v>3095.3853904941257</v>
      </c>
      <c r="G29" s="20">
        <f>2*PI()*E29*'1-Simulation'!U29/(1000*60)</f>
        <v>-1.4653005107351595</v>
      </c>
      <c r="H29" s="20">
        <f t="shared" si="1"/>
        <v>0</v>
      </c>
      <c r="I29" s="20">
        <f t="shared" si="2"/>
        <v>0</v>
      </c>
      <c r="J29" s="20">
        <f>'1-Simulation'!U29/(IF('1-Simulation'!J29=1,'1-Specification &amp; Data'!H$7,IF('1-Simulation'!J29=2,'1-Specification &amp; Data'!H$8,IF('1-Simulation'!J29=3,'1-Specification &amp; Data'!H$9)))*0.8)</f>
        <v>-5.6505844178909701</v>
      </c>
      <c r="K29" s="20">
        <f t="shared" si="0"/>
        <v>0</v>
      </c>
      <c r="L29" s="20">
        <f t="shared" si="3"/>
        <v>0</v>
      </c>
      <c r="M29" s="20">
        <f t="shared" si="4"/>
        <v>0.5565914684017288</v>
      </c>
      <c r="N29" s="20">
        <f t="shared" si="5"/>
        <v>2.5</v>
      </c>
      <c r="O29" s="20">
        <f t="shared" si="6"/>
        <v>3.056591468401729</v>
      </c>
      <c r="P29" s="20">
        <f t="shared" si="7"/>
        <v>53.813230077495227</v>
      </c>
      <c r="Q29" s="20">
        <f t="shared" si="8"/>
        <v>0</v>
      </c>
      <c r="R29" s="20">
        <f t="shared" si="9"/>
        <v>0</v>
      </c>
      <c r="S29" s="20">
        <f t="shared" si="10"/>
        <v>0.59261602217133025</v>
      </c>
      <c r="T29" s="20">
        <f t="shared" si="11"/>
        <v>49.384668514277521</v>
      </c>
    </row>
    <row r="30" spans="1:20" x14ac:dyDescent="0.25">
      <c r="A30" s="19">
        <f t="shared" si="12"/>
        <v>28</v>
      </c>
      <c r="B30" s="19">
        <v>5500</v>
      </c>
      <c r="C30" s="19">
        <v>14</v>
      </c>
      <c r="D30" s="20">
        <v>2.5</v>
      </c>
      <c r="E30" s="20">
        <f>'1-Simulation'!F30*60/(2*PI()*'1-Specification &amp; Data'!B$14)</f>
        <v>231.63479416798654</v>
      </c>
      <c r="F30" s="20">
        <f>E30*(IF('1-Simulation'!J30=1,'1-Specification &amp; Data'!H$7,IF('1-Simulation'!J30=2,'1-Specification &amp; Data'!H$8,IF('1-Simulation'!J30=3,'1-Specification &amp; Data'!H$9))))</f>
        <v>2913.303896935648</v>
      </c>
      <c r="G30" s="20">
        <f>2*PI()*E30*'1-Simulation'!U30/(1000*60)</f>
        <v>-1.3990648516145914</v>
      </c>
      <c r="H30" s="20">
        <f t="shared" si="1"/>
        <v>0</v>
      </c>
      <c r="I30" s="20">
        <f t="shared" si="2"/>
        <v>0</v>
      </c>
      <c r="J30" s="20">
        <f>'1-Simulation'!U30/(IF('1-Simulation'!J30=1,'1-Specification &amp; Data'!H$7,IF('1-Simulation'!J30=2,'1-Specification &amp; Data'!H$8,IF('1-Simulation'!J30=3,'1-Specification &amp; Data'!H$9)))*0.8)</f>
        <v>-5.7323599266833476</v>
      </c>
      <c r="K30" s="20">
        <f t="shared" si="0"/>
        <v>0</v>
      </c>
      <c r="L30" s="20">
        <f t="shared" si="3"/>
        <v>0</v>
      </c>
      <c r="M30" s="20">
        <f t="shared" si="4"/>
        <v>0.5314319857560994</v>
      </c>
      <c r="N30" s="20">
        <f t="shared" si="5"/>
        <v>2.5</v>
      </c>
      <c r="O30" s="20">
        <f t="shared" si="6"/>
        <v>3.0314319857560994</v>
      </c>
      <c r="P30" s="20">
        <f t="shared" si="7"/>
        <v>53.37028143936795</v>
      </c>
      <c r="Q30" s="20">
        <f t="shared" si="8"/>
        <v>0</v>
      </c>
      <c r="R30" s="20">
        <f t="shared" si="9"/>
        <v>0</v>
      </c>
      <c r="S30" s="20">
        <f t="shared" si="10"/>
        <v>0.59345808661181809</v>
      </c>
      <c r="T30" s="20">
        <f t="shared" si="11"/>
        <v>49.454840550984841</v>
      </c>
    </row>
    <row r="31" spans="1:20" x14ac:dyDescent="0.25">
      <c r="A31" s="19">
        <f t="shared" si="12"/>
        <v>29</v>
      </c>
      <c r="B31" s="19">
        <v>5500</v>
      </c>
      <c r="C31" s="19">
        <v>14</v>
      </c>
      <c r="D31" s="20">
        <v>2.5</v>
      </c>
      <c r="E31" s="20">
        <f>'1-Simulation'!F31*60/(2*PI()*'1-Specification &amp; Data'!B$14)</f>
        <v>217.15761953248733</v>
      </c>
      <c r="F31" s="20">
        <f>E31*(IF('1-Simulation'!J31=1,'1-Specification &amp; Data'!H$7,IF('1-Simulation'!J31=2,'1-Specification &amp; Data'!H$8,IF('1-Simulation'!J31=3,'1-Specification &amp; Data'!H$9))))</f>
        <v>2731.2224033771695</v>
      </c>
      <c r="G31" s="20">
        <f>2*PI()*E31*'1-Simulation'!U31/(1000*60)</f>
        <v>-1.3292003763904412</v>
      </c>
      <c r="H31" s="20">
        <f t="shared" si="1"/>
        <v>0</v>
      </c>
      <c r="I31" s="20">
        <f t="shared" si="2"/>
        <v>0</v>
      </c>
      <c r="J31" s="20">
        <f>'1-Simulation'!U31/(IF('1-Simulation'!J31=1,'1-Specification &amp; Data'!H$7,IF('1-Simulation'!J31=2,'1-Specification &amp; Data'!H$8,IF('1-Simulation'!J31=3,'1-Specification &amp; Data'!H$9)))*0.8)</f>
        <v>-5.8091793440337947</v>
      </c>
      <c r="K31" s="20">
        <f t="shared" si="0"/>
        <v>0</v>
      </c>
      <c r="L31" s="20">
        <f t="shared" si="3"/>
        <v>0</v>
      </c>
      <c r="M31" s="20">
        <f t="shared" si="4"/>
        <v>0.50489410457115635</v>
      </c>
      <c r="N31" s="20">
        <f t="shared" si="5"/>
        <v>2.5</v>
      </c>
      <c r="O31" s="20">
        <f t="shared" si="6"/>
        <v>3.0048941045711564</v>
      </c>
      <c r="P31" s="20">
        <f t="shared" si="7"/>
        <v>52.903065221323175</v>
      </c>
      <c r="Q31" s="20">
        <f t="shared" si="8"/>
        <v>0</v>
      </c>
      <c r="R31" s="20">
        <f t="shared" si="9"/>
        <v>0</v>
      </c>
      <c r="S31" s="20">
        <f t="shared" si="10"/>
        <v>0.59429277941864345</v>
      </c>
      <c r="T31" s="20">
        <f t="shared" si="11"/>
        <v>49.524398284886956</v>
      </c>
    </row>
    <row r="32" spans="1:20" x14ac:dyDescent="0.25">
      <c r="A32" s="19">
        <f t="shared" si="12"/>
        <v>30</v>
      </c>
      <c r="B32" s="19">
        <v>5500</v>
      </c>
      <c r="C32" s="19">
        <v>14</v>
      </c>
      <c r="D32" s="20">
        <v>2.5</v>
      </c>
      <c r="E32" s="20">
        <f>'1-Simulation'!F32*60/(2*PI()*'1-Specification &amp; Data'!B$14)</f>
        <v>202.68044489698821</v>
      </c>
      <c r="F32" s="20">
        <f>E32*(IF('1-Simulation'!J32=1,'1-Specification &amp; Data'!H$7,IF('1-Simulation'!J32=2,'1-Specification &amp; Data'!H$8,IF('1-Simulation'!J32=3,'1-Specification &amp; Data'!H$9))))</f>
        <v>2549.1409098186919</v>
      </c>
      <c r="G32" s="20">
        <f>2*PI()*E32*'1-Simulation'!U32/(1000*60)</f>
        <v>-1.2559338860691764</v>
      </c>
      <c r="H32" s="20">
        <f t="shared" si="1"/>
        <v>0</v>
      </c>
      <c r="I32" s="20">
        <f t="shared" si="2"/>
        <v>0</v>
      </c>
      <c r="J32" s="20">
        <f>'1-Simulation'!U32/(IF('1-Simulation'!J32=1,'1-Specification &amp; Data'!H$7,IF('1-Simulation'!J32=2,'1-Specification &amp; Data'!H$8,IF('1-Simulation'!J32=3,'1-Specification &amp; Data'!H$9)))*0.8)</f>
        <v>-5.8810426699422766</v>
      </c>
      <c r="K32" s="20">
        <f t="shared" si="0"/>
        <v>0</v>
      </c>
      <c r="L32" s="20">
        <f t="shared" si="3"/>
        <v>0</v>
      </c>
      <c r="M32" s="20">
        <f t="shared" si="4"/>
        <v>0.47706397475560447</v>
      </c>
      <c r="N32" s="20">
        <f t="shared" si="5"/>
        <v>2.5</v>
      </c>
      <c r="O32" s="20">
        <f t="shared" si="6"/>
        <v>2.9770639747556045</v>
      </c>
      <c r="P32" s="20">
        <f t="shared" si="7"/>
        <v>52.413098147105714</v>
      </c>
      <c r="Q32" s="20">
        <f t="shared" si="8"/>
        <v>0</v>
      </c>
      <c r="R32" s="20">
        <f t="shared" si="9"/>
        <v>0</v>
      </c>
      <c r="S32" s="20">
        <f t="shared" si="10"/>
        <v>0.59511974163385328</v>
      </c>
      <c r="T32" s="20">
        <f t="shared" si="11"/>
        <v>49.593311802821106</v>
      </c>
    </row>
    <row r="33" spans="1:20" x14ac:dyDescent="0.25">
      <c r="A33" s="19">
        <f t="shared" si="12"/>
        <v>31</v>
      </c>
      <c r="B33" s="19">
        <v>5500</v>
      </c>
      <c r="C33" s="19">
        <v>14</v>
      </c>
      <c r="D33" s="20">
        <v>2.5</v>
      </c>
      <c r="E33" s="20">
        <f>'1-Simulation'!F33*60/(2*PI()*'1-Specification &amp; Data'!B$14)</f>
        <v>202.68044489698821</v>
      </c>
      <c r="F33" s="20">
        <f>E33*(IF('1-Simulation'!J33=1,'1-Specification &amp; Data'!H$7,IF('1-Simulation'!J33=2,'1-Specification &amp; Data'!H$8,IF('1-Simulation'!J33=3,'1-Specification &amp; Data'!H$9))))</f>
        <v>2549.1409098186919</v>
      </c>
      <c r="G33" s="20">
        <f>2*PI()*E33*'1-Simulation'!U33/(1000*60)</f>
        <v>0.51895079531429211</v>
      </c>
      <c r="H33" s="20">
        <f t="shared" si="1"/>
        <v>0.61053034742857892</v>
      </c>
      <c r="I33" s="20">
        <f t="shared" si="2"/>
        <v>12.719382238095394</v>
      </c>
      <c r="J33" s="20">
        <f>'1-Simulation'!U33/(IF('1-Simulation'!J33=1,'1-Specification &amp; Data'!H$7,IF('1-Simulation'!J33=2,'1-Specification &amp; Data'!H$8,IF('1-Simulation'!J33=3,'1-Specification &amp; Data'!H$9)))*0.8)</f>
        <v>2.4300417439933062</v>
      </c>
      <c r="K33" s="20">
        <f t="shared" si="0"/>
        <v>0.71574483872049111</v>
      </c>
      <c r="L33" s="20">
        <f t="shared" si="3"/>
        <v>0.75341561970578019</v>
      </c>
      <c r="M33" s="20">
        <f t="shared" si="4"/>
        <v>0</v>
      </c>
      <c r="N33" s="20">
        <f t="shared" si="5"/>
        <v>1.7465843802942198</v>
      </c>
      <c r="O33" s="20">
        <f t="shared" si="6"/>
        <v>1.7842551612795088</v>
      </c>
      <c r="P33" s="20">
        <f t="shared" si="7"/>
        <v>31.412942980273041</v>
      </c>
      <c r="Q33" s="20">
        <f t="shared" si="8"/>
        <v>0</v>
      </c>
      <c r="R33" s="20">
        <f t="shared" si="9"/>
        <v>0</v>
      </c>
      <c r="S33" s="20">
        <f t="shared" si="10"/>
        <v>0.59561536806754201</v>
      </c>
      <c r="T33" s="20">
        <f t="shared" si="11"/>
        <v>49.634614005628499</v>
      </c>
    </row>
    <row r="34" spans="1:20" x14ac:dyDescent="0.25">
      <c r="A34" s="19">
        <f t="shared" si="12"/>
        <v>32</v>
      </c>
      <c r="B34" s="19">
        <v>5500</v>
      </c>
      <c r="C34" s="19">
        <v>14</v>
      </c>
      <c r="D34" s="20">
        <v>2.5</v>
      </c>
      <c r="E34" s="20">
        <f>'1-Simulation'!F34*60/(2*PI()*'1-Specification &amp; Data'!B$14)</f>
        <v>202.68044489698821</v>
      </c>
      <c r="F34" s="20">
        <f>E34*(IF('1-Simulation'!J34=1,'1-Specification &amp; Data'!H$7,IF('1-Simulation'!J34=2,'1-Specification &amp; Data'!H$8,IF('1-Simulation'!J34=3,'1-Specification &amp; Data'!H$9))))</f>
        <v>2549.1409098186919</v>
      </c>
      <c r="G34" s="20">
        <f>2*PI()*E34*'1-Simulation'!U34/(1000*60)</f>
        <v>0.51895079531429211</v>
      </c>
      <c r="H34" s="20">
        <f t="shared" si="1"/>
        <v>0.61053034742857892</v>
      </c>
      <c r="I34" s="20">
        <f t="shared" si="2"/>
        <v>12.719382238095394</v>
      </c>
      <c r="J34" s="20">
        <f>'1-Simulation'!U34/(IF('1-Simulation'!J34=1,'1-Specification &amp; Data'!H$7,IF('1-Simulation'!J34=2,'1-Specification &amp; Data'!H$8,IF('1-Simulation'!J34=3,'1-Specification &amp; Data'!H$9)))*0.8)</f>
        <v>2.4300417439933062</v>
      </c>
      <c r="K34" s="20">
        <f t="shared" si="0"/>
        <v>0.71574483872049111</v>
      </c>
      <c r="L34" s="20">
        <f t="shared" si="3"/>
        <v>0.75341561970578019</v>
      </c>
      <c r="M34" s="20">
        <f t="shared" si="4"/>
        <v>0</v>
      </c>
      <c r="N34" s="20">
        <f t="shared" si="5"/>
        <v>1.7465843802942198</v>
      </c>
      <c r="O34" s="20">
        <f t="shared" si="6"/>
        <v>1.7842551612795088</v>
      </c>
      <c r="P34" s="20">
        <f t="shared" si="7"/>
        <v>31.412942980273041</v>
      </c>
      <c r="Q34" s="20">
        <f t="shared" si="8"/>
        <v>0</v>
      </c>
      <c r="R34" s="20">
        <f t="shared" si="9"/>
        <v>0</v>
      </c>
      <c r="S34" s="20">
        <f t="shared" si="10"/>
        <v>0.59611099450123073</v>
      </c>
      <c r="T34" s="20">
        <f t="shared" si="11"/>
        <v>49.675916208435893</v>
      </c>
    </row>
    <row r="35" spans="1:20" x14ac:dyDescent="0.25">
      <c r="A35" s="19">
        <f t="shared" si="12"/>
        <v>33</v>
      </c>
      <c r="B35" s="19">
        <v>5500</v>
      </c>
      <c r="C35" s="19">
        <v>14</v>
      </c>
      <c r="D35" s="20">
        <v>2.5</v>
      </c>
      <c r="E35" s="20">
        <f>'1-Simulation'!F35*60/(2*PI()*'1-Specification &amp; Data'!B$14)</f>
        <v>202.68044489698821</v>
      </c>
      <c r="F35" s="20">
        <f>E35*(IF('1-Simulation'!J35=1,'1-Specification &amp; Data'!H$7,IF('1-Simulation'!J35=2,'1-Specification &amp; Data'!H$8,IF('1-Simulation'!J35=3,'1-Specification &amp; Data'!H$9))))</f>
        <v>2549.1409098186919</v>
      </c>
      <c r="G35" s="20">
        <f>2*PI()*E35*'1-Simulation'!U35/(1000*60)</f>
        <v>0.51895079531429211</v>
      </c>
      <c r="H35" s="20">
        <f t="shared" si="1"/>
        <v>0.61053034742857892</v>
      </c>
      <c r="I35" s="20">
        <f t="shared" si="2"/>
        <v>12.719382238095394</v>
      </c>
      <c r="J35" s="20">
        <f>'1-Simulation'!U35/(IF('1-Simulation'!J35=1,'1-Specification &amp; Data'!H$7,IF('1-Simulation'!J35=2,'1-Specification &amp; Data'!H$8,IF('1-Simulation'!J35=3,'1-Specification &amp; Data'!H$9)))*0.8)</f>
        <v>2.4300417439933062</v>
      </c>
      <c r="K35" s="20">
        <f t="shared" si="0"/>
        <v>0.71574483872049111</v>
      </c>
      <c r="L35" s="20">
        <f t="shared" si="3"/>
        <v>0.75341561970578019</v>
      </c>
      <c r="M35" s="20">
        <f t="shared" si="4"/>
        <v>0</v>
      </c>
      <c r="N35" s="20">
        <f t="shared" si="5"/>
        <v>1.7465843802942198</v>
      </c>
      <c r="O35" s="20">
        <f t="shared" si="6"/>
        <v>1.7842551612795088</v>
      </c>
      <c r="P35" s="20">
        <f t="shared" si="7"/>
        <v>31.412942980273041</v>
      </c>
      <c r="Q35" s="20">
        <f t="shared" si="8"/>
        <v>0</v>
      </c>
      <c r="R35" s="20">
        <f t="shared" si="9"/>
        <v>0</v>
      </c>
      <c r="S35" s="20">
        <f t="shared" si="10"/>
        <v>0.59660662093491945</v>
      </c>
      <c r="T35" s="20">
        <f t="shared" si="11"/>
        <v>49.717218411243287</v>
      </c>
    </row>
    <row r="36" spans="1:20" x14ac:dyDescent="0.25">
      <c r="A36" s="19">
        <f t="shared" si="12"/>
        <v>34</v>
      </c>
      <c r="B36" s="19">
        <v>5500</v>
      </c>
      <c r="C36" s="19">
        <v>14</v>
      </c>
      <c r="D36" s="20">
        <v>2.5</v>
      </c>
      <c r="E36" s="20">
        <f>'1-Simulation'!F36*60/(2*PI()*'1-Specification &amp; Data'!B$14)</f>
        <v>202.68044489698821</v>
      </c>
      <c r="F36" s="20">
        <f>E36*(IF('1-Simulation'!J36=1,'1-Specification &amp; Data'!H$7,IF('1-Simulation'!J36=2,'1-Specification &amp; Data'!H$8,IF('1-Simulation'!J36=3,'1-Specification &amp; Data'!H$9))))</f>
        <v>2549.1409098186919</v>
      </c>
      <c r="G36" s="20">
        <f>2*PI()*E36*'1-Simulation'!U36/(1000*60)</f>
        <v>0.51895079531429211</v>
      </c>
      <c r="H36" s="20">
        <f t="shared" si="1"/>
        <v>0.61053034742857892</v>
      </c>
      <c r="I36" s="20">
        <f t="shared" si="2"/>
        <v>12.719382238095394</v>
      </c>
      <c r="J36" s="20">
        <f>'1-Simulation'!U36/(IF('1-Simulation'!J36=1,'1-Specification &amp; Data'!H$7,IF('1-Simulation'!J36=2,'1-Specification &amp; Data'!H$8,IF('1-Simulation'!J36=3,'1-Specification &amp; Data'!H$9)))*0.8)</f>
        <v>2.4300417439933062</v>
      </c>
      <c r="K36" s="20">
        <f t="shared" si="0"/>
        <v>0.71574483872049111</v>
      </c>
      <c r="L36" s="20">
        <f t="shared" si="3"/>
        <v>0.75341561970578019</v>
      </c>
      <c r="M36" s="20">
        <f t="shared" si="4"/>
        <v>0</v>
      </c>
      <c r="N36" s="20">
        <f t="shared" si="5"/>
        <v>1.7465843802942198</v>
      </c>
      <c r="O36" s="20">
        <f t="shared" si="6"/>
        <v>1.7842551612795088</v>
      </c>
      <c r="P36" s="20">
        <f t="shared" si="7"/>
        <v>31.412942980273041</v>
      </c>
      <c r="Q36" s="20">
        <f t="shared" si="8"/>
        <v>0</v>
      </c>
      <c r="R36" s="20">
        <f t="shared" si="9"/>
        <v>0</v>
      </c>
      <c r="S36" s="20">
        <f t="shared" si="10"/>
        <v>0.59710224736860817</v>
      </c>
      <c r="T36" s="20">
        <f t="shared" si="11"/>
        <v>49.758520614050681</v>
      </c>
    </row>
    <row r="37" spans="1:20" x14ac:dyDescent="0.25">
      <c r="A37" s="19">
        <f t="shared" si="12"/>
        <v>35</v>
      </c>
      <c r="B37" s="19">
        <v>5500</v>
      </c>
      <c r="C37" s="19">
        <v>14</v>
      </c>
      <c r="D37" s="20">
        <v>2.5</v>
      </c>
      <c r="E37" s="20">
        <f>'1-Simulation'!F37*60/(2*PI()*'1-Specification &amp; Data'!B$14)</f>
        <v>202.68044489698821</v>
      </c>
      <c r="F37" s="20">
        <f>E37*(IF('1-Simulation'!J37=1,'1-Specification &amp; Data'!H$7,IF('1-Simulation'!J37=2,'1-Specification &amp; Data'!H$8,IF('1-Simulation'!J37=3,'1-Specification &amp; Data'!H$9))))</f>
        <v>2549.1409098186919</v>
      </c>
      <c r="G37" s="20">
        <f>2*PI()*E37*'1-Simulation'!U37/(1000*60)</f>
        <v>0.51895079531429211</v>
      </c>
      <c r="H37" s="20">
        <f t="shared" si="1"/>
        <v>0.61053034742857892</v>
      </c>
      <c r="I37" s="20">
        <f t="shared" si="2"/>
        <v>12.719382238095394</v>
      </c>
      <c r="J37" s="20">
        <f>'1-Simulation'!U37/(IF('1-Simulation'!J37=1,'1-Specification &amp; Data'!H$7,IF('1-Simulation'!J37=2,'1-Specification &amp; Data'!H$8,IF('1-Simulation'!J37=3,'1-Specification &amp; Data'!H$9)))*0.8)</f>
        <v>2.4300417439933062</v>
      </c>
      <c r="K37" s="20">
        <f t="shared" si="0"/>
        <v>0.71574483872049111</v>
      </c>
      <c r="L37" s="20">
        <f t="shared" si="3"/>
        <v>0.75341561970578019</v>
      </c>
      <c r="M37" s="20">
        <f t="shared" si="4"/>
        <v>0</v>
      </c>
      <c r="N37" s="20">
        <f t="shared" si="5"/>
        <v>1.7465843802942198</v>
      </c>
      <c r="O37" s="20">
        <f t="shared" si="6"/>
        <v>1.7842551612795088</v>
      </c>
      <c r="P37" s="20">
        <f t="shared" si="7"/>
        <v>31.412942980273041</v>
      </c>
      <c r="Q37" s="20">
        <f t="shared" si="8"/>
        <v>0</v>
      </c>
      <c r="R37" s="20">
        <f t="shared" si="9"/>
        <v>0</v>
      </c>
      <c r="S37" s="20">
        <f t="shared" si="10"/>
        <v>0.5975978738022969</v>
      </c>
      <c r="T37" s="20">
        <f t="shared" si="11"/>
        <v>49.799822816858075</v>
      </c>
    </row>
    <row r="38" spans="1:20" x14ac:dyDescent="0.25">
      <c r="A38" s="19">
        <f t="shared" si="12"/>
        <v>36</v>
      </c>
      <c r="B38" s="19">
        <v>5500</v>
      </c>
      <c r="C38" s="19">
        <v>14</v>
      </c>
      <c r="D38" s="20">
        <v>2.5</v>
      </c>
      <c r="E38" s="20">
        <f>'1-Simulation'!F38*60/(2*PI()*'1-Specification &amp; Data'!B$14)</f>
        <v>202.68044489698821</v>
      </c>
      <c r="F38" s="20">
        <f>E38*(IF('1-Simulation'!J38=1,'1-Specification &amp; Data'!H$7,IF('1-Simulation'!J38=2,'1-Specification &amp; Data'!H$8,IF('1-Simulation'!J38=3,'1-Specification &amp; Data'!H$9))))</f>
        <v>2549.1409098186919</v>
      </c>
      <c r="G38" s="20">
        <f>2*PI()*E38*'1-Simulation'!U38/(1000*60)</f>
        <v>0.51895079531429211</v>
      </c>
      <c r="H38" s="20">
        <f t="shared" si="1"/>
        <v>0.61053034742857892</v>
      </c>
      <c r="I38" s="20">
        <f t="shared" si="2"/>
        <v>12.719382238095394</v>
      </c>
      <c r="J38" s="20">
        <f>'1-Simulation'!U38/(IF('1-Simulation'!J38=1,'1-Specification &amp; Data'!H$7,IF('1-Simulation'!J38=2,'1-Specification &amp; Data'!H$8,IF('1-Simulation'!J38=3,'1-Specification &amp; Data'!H$9)))*0.8)</f>
        <v>2.4300417439933062</v>
      </c>
      <c r="K38" s="20">
        <f t="shared" si="0"/>
        <v>0.71574483872049111</v>
      </c>
      <c r="L38" s="20">
        <f t="shared" si="3"/>
        <v>0.75341561970578019</v>
      </c>
      <c r="M38" s="20">
        <f t="shared" si="4"/>
        <v>0</v>
      </c>
      <c r="N38" s="20">
        <f t="shared" si="5"/>
        <v>1.7465843802942198</v>
      </c>
      <c r="O38" s="20">
        <f t="shared" si="6"/>
        <v>1.7842551612795088</v>
      </c>
      <c r="P38" s="20">
        <f t="shared" si="7"/>
        <v>31.412942980273041</v>
      </c>
      <c r="Q38" s="20">
        <f t="shared" si="8"/>
        <v>0</v>
      </c>
      <c r="R38" s="20">
        <f t="shared" si="9"/>
        <v>0</v>
      </c>
      <c r="S38" s="20">
        <f t="shared" si="10"/>
        <v>0.59809350023598562</v>
      </c>
      <c r="T38" s="20">
        <f t="shared" si="11"/>
        <v>49.841125019665469</v>
      </c>
    </row>
    <row r="39" spans="1:20" x14ac:dyDescent="0.25">
      <c r="A39" s="19">
        <f t="shared" si="12"/>
        <v>37</v>
      </c>
      <c r="B39" s="19">
        <v>5500</v>
      </c>
      <c r="C39" s="19">
        <v>14</v>
      </c>
      <c r="D39" s="20">
        <v>2.5</v>
      </c>
      <c r="E39" s="20">
        <f>'1-Simulation'!F39*60/(2*PI()*'1-Specification &amp; Data'!B$14)</f>
        <v>202.68044489698821</v>
      </c>
      <c r="F39" s="20">
        <f>E39*(IF('1-Simulation'!J39=1,'1-Specification &amp; Data'!H$7,IF('1-Simulation'!J39=2,'1-Specification &amp; Data'!H$8,IF('1-Simulation'!J39=3,'1-Specification &amp; Data'!H$9))))</f>
        <v>2549.1409098186919</v>
      </c>
      <c r="G39" s="20">
        <f>2*PI()*E39*'1-Simulation'!U39/(1000*60)</f>
        <v>0.51895079531429211</v>
      </c>
      <c r="H39" s="20">
        <f t="shared" si="1"/>
        <v>0.61053034742857892</v>
      </c>
      <c r="I39" s="20">
        <f t="shared" si="2"/>
        <v>12.719382238095394</v>
      </c>
      <c r="J39" s="20">
        <f>'1-Simulation'!U39/(IF('1-Simulation'!J39=1,'1-Specification &amp; Data'!H$7,IF('1-Simulation'!J39=2,'1-Specification &amp; Data'!H$8,IF('1-Simulation'!J39=3,'1-Specification &amp; Data'!H$9)))*0.8)</f>
        <v>2.4300417439933062</v>
      </c>
      <c r="K39" s="20">
        <f t="shared" si="0"/>
        <v>0.71574483872049111</v>
      </c>
      <c r="L39" s="20">
        <f t="shared" si="3"/>
        <v>0.75341561970578019</v>
      </c>
      <c r="M39" s="20">
        <f t="shared" si="4"/>
        <v>0</v>
      </c>
      <c r="N39" s="20">
        <f t="shared" si="5"/>
        <v>1.7465843802942198</v>
      </c>
      <c r="O39" s="20">
        <f t="shared" si="6"/>
        <v>1.7842551612795088</v>
      </c>
      <c r="P39" s="20">
        <f t="shared" si="7"/>
        <v>31.412942980273041</v>
      </c>
      <c r="Q39" s="20">
        <f t="shared" si="8"/>
        <v>0</v>
      </c>
      <c r="R39" s="20">
        <f t="shared" si="9"/>
        <v>0</v>
      </c>
      <c r="S39" s="20">
        <f t="shared" si="10"/>
        <v>0.59858912666967434</v>
      </c>
      <c r="T39" s="20">
        <f t="shared" si="11"/>
        <v>49.882427222472863</v>
      </c>
    </row>
    <row r="40" spans="1:20" x14ac:dyDescent="0.25">
      <c r="A40" s="19">
        <f t="shared" si="12"/>
        <v>38</v>
      </c>
      <c r="B40" s="19">
        <v>5500</v>
      </c>
      <c r="C40" s="19">
        <v>14</v>
      </c>
      <c r="D40" s="20">
        <v>2.5</v>
      </c>
      <c r="E40" s="20">
        <f>'1-Simulation'!F40*60/(2*PI()*'1-Specification &amp; Data'!B$14)</f>
        <v>202.68044489698821</v>
      </c>
      <c r="F40" s="20">
        <f>E40*(IF('1-Simulation'!J40=1,'1-Specification &amp; Data'!H$7,IF('1-Simulation'!J40=2,'1-Specification &amp; Data'!H$8,IF('1-Simulation'!J40=3,'1-Specification &amp; Data'!H$9))))</f>
        <v>2549.1409098186919</v>
      </c>
      <c r="G40" s="20">
        <f>2*PI()*E40*'1-Simulation'!U40/(1000*60)</f>
        <v>0.51895079531429211</v>
      </c>
      <c r="H40" s="20">
        <f t="shared" si="1"/>
        <v>0.61053034742857892</v>
      </c>
      <c r="I40" s="20">
        <f t="shared" si="2"/>
        <v>12.719382238095394</v>
      </c>
      <c r="J40" s="20">
        <f>'1-Simulation'!U40/(IF('1-Simulation'!J40=1,'1-Specification &amp; Data'!H$7,IF('1-Simulation'!J40=2,'1-Specification &amp; Data'!H$8,IF('1-Simulation'!J40=3,'1-Specification &amp; Data'!H$9)))*0.8)</f>
        <v>2.4300417439933062</v>
      </c>
      <c r="K40" s="20">
        <f t="shared" si="0"/>
        <v>0.71574483872049111</v>
      </c>
      <c r="L40" s="20">
        <f t="shared" si="3"/>
        <v>0.75341561970578019</v>
      </c>
      <c r="M40" s="20">
        <f t="shared" si="4"/>
        <v>0</v>
      </c>
      <c r="N40" s="20">
        <f t="shared" si="5"/>
        <v>1.7465843802942198</v>
      </c>
      <c r="O40" s="20">
        <f t="shared" si="6"/>
        <v>1.7842551612795088</v>
      </c>
      <c r="P40" s="20">
        <f t="shared" si="7"/>
        <v>31.412942980273041</v>
      </c>
      <c r="Q40" s="20">
        <f t="shared" si="8"/>
        <v>0</v>
      </c>
      <c r="R40" s="20">
        <f t="shared" si="9"/>
        <v>0</v>
      </c>
      <c r="S40" s="20">
        <f t="shared" si="10"/>
        <v>0.59908475310336307</v>
      </c>
      <c r="T40" s="20">
        <f t="shared" si="11"/>
        <v>49.923729425280257</v>
      </c>
    </row>
    <row r="41" spans="1:20" x14ac:dyDescent="0.25">
      <c r="A41" s="19">
        <f t="shared" si="12"/>
        <v>39</v>
      </c>
      <c r="B41" s="19">
        <v>5500</v>
      </c>
      <c r="C41" s="19">
        <v>14</v>
      </c>
      <c r="D41" s="20">
        <v>2.5</v>
      </c>
      <c r="E41" s="20">
        <f>'1-Simulation'!F41*60/(2*PI()*'1-Specification &amp; Data'!B$14)</f>
        <v>202.68044489698821</v>
      </c>
      <c r="F41" s="20">
        <f>E41*(IF('1-Simulation'!J41=1,'1-Specification &amp; Data'!H$7,IF('1-Simulation'!J41=2,'1-Specification &amp; Data'!H$8,IF('1-Simulation'!J41=3,'1-Specification &amp; Data'!H$9))))</f>
        <v>2549.1409098186919</v>
      </c>
      <c r="G41" s="20">
        <f>2*PI()*E41*'1-Simulation'!U41/(1000*60)</f>
        <v>0.51895079531429211</v>
      </c>
      <c r="H41" s="20">
        <f t="shared" si="1"/>
        <v>0.61053034742857892</v>
      </c>
      <c r="I41" s="20">
        <f t="shared" si="2"/>
        <v>12.719382238095394</v>
      </c>
      <c r="J41" s="20">
        <f>'1-Simulation'!U41/(IF('1-Simulation'!J41=1,'1-Specification &amp; Data'!H$7,IF('1-Simulation'!J41=2,'1-Specification &amp; Data'!H$8,IF('1-Simulation'!J41=3,'1-Specification &amp; Data'!H$9)))*0.8)</f>
        <v>2.4300417439933062</v>
      </c>
      <c r="K41" s="20">
        <f t="shared" si="0"/>
        <v>0.71574483872049111</v>
      </c>
      <c r="L41" s="20">
        <f t="shared" si="3"/>
        <v>0.75341561970578019</v>
      </c>
      <c r="M41" s="20">
        <f t="shared" si="4"/>
        <v>0</v>
      </c>
      <c r="N41" s="20">
        <f t="shared" si="5"/>
        <v>1.7465843802942198</v>
      </c>
      <c r="O41" s="20">
        <f t="shared" si="6"/>
        <v>1.7842551612795088</v>
      </c>
      <c r="P41" s="20">
        <f t="shared" si="7"/>
        <v>31.412942980273041</v>
      </c>
      <c r="Q41" s="20">
        <f t="shared" si="8"/>
        <v>0</v>
      </c>
      <c r="R41" s="20">
        <f t="shared" si="9"/>
        <v>0</v>
      </c>
      <c r="S41" s="20">
        <f t="shared" si="10"/>
        <v>0.59958037953705179</v>
      </c>
      <c r="T41" s="20">
        <f t="shared" si="11"/>
        <v>49.965031628087651</v>
      </c>
    </row>
    <row r="42" spans="1:20" x14ac:dyDescent="0.25">
      <c r="A42" s="19">
        <f t="shared" si="12"/>
        <v>40</v>
      </c>
      <c r="B42" s="19">
        <v>5500</v>
      </c>
      <c r="C42" s="19">
        <v>14</v>
      </c>
      <c r="D42" s="20">
        <v>2.5</v>
      </c>
      <c r="E42" s="20">
        <f>'1-Simulation'!F42*60/(2*PI()*'1-Specification &amp; Data'!B$14)</f>
        <v>202.68044489698821</v>
      </c>
      <c r="F42" s="20">
        <f>E42*(IF('1-Simulation'!J42=1,'1-Specification &amp; Data'!H$7,IF('1-Simulation'!J42=2,'1-Specification &amp; Data'!H$8,IF('1-Simulation'!J42=3,'1-Specification &amp; Data'!H$9))))</f>
        <v>2549.1409098186919</v>
      </c>
      <c r="G42" s="20">
        <f>2*PI()*E42*'1-Simulation'!U42/(1000*60)</f>
        <v>0.51895079531429211</v>
      </c>
      <c r="H42" s="20">
        <f t="shared" si="1"/>
        <v>0.61053034742857892</v>
      </c>
      <c r="I42" s="20">
        <f t="shared" si="2"/>
        <v>12.719382238095394</v>
      </c>
      <c r="J42" s="20">
        <f>'1-Simulation'!U42/(IF('1-Simulation'!J42=1,'1-Specification &amp; Data'!H$7,IF('1-Simulation'!J42=2,'1-Specification &amp; Data'!H$8,IF('1-Simulation'!J42=3,'1-Specification &amp; Data'!H$9)))*0.8)</f>
        <v>2.4300417439933062</v>
      </c>
      <c r="K42" s="20">
        <f t="shared" si="0"/>
        <v>0.71574483872049111</v>
      </c>
      <c r="L42" s="20">
        <f t="shared" si="3"/>
        <v>0.75341561970578019</v>
      </c>
      <c r="M42" s="20">
        <f t="shared" si="4"/>
        <v>0</v>
      </c>
      <c r="N42" s="20">
        <f t="shared" si="5"/>
        <v>1.7465843802942198</v>
      </c>
      <c r="O42" s="20">
        <f t="shared" si="6"/>
        <v>1.7842551612795088</v>
      </c>
      <c r="P42" s="20">
        <f t="shared" si="7"/>
        <v>31.412942980273041</v>
      </c>
      <c r="Q42" s="20">
        <f t="shared" si="8"/>
        <v>0</v>
      </c>
      <c r="R42" s="20">
        <f t="shared" si="9"/>
        <v>0</v>
      </c>
      <c r="S42" s="20">
        <f t="shared" si="10"/>
        <v>0.60007600597074051</v>
      </c>
      <c r="T42" s="20">
        <f t="shared" si="11"/>
        <v>50.006333830895045</v>
      </c>
    </row>
    <row r="43" spans="1:20" x14ac:dyDescent="0.25">
      <c r="A43" s="19">
        <f t="shared" si="12"/>
        <v>41</v>
      </c>
      <c r="B43" s="19">
        <v>5500</v>
      </c>
      <c r="C43" s="19">
        <v>14</v>
      </c>
      <c r="D43" s="20">
        <v>2.5</v>
      </c>
      <c r="E43" s="20">
        <f>'1-Simulation'!F43*60/(2*PI()*'1-Specification &amp; Data'!B$14)</f>
        <v>202.68044489698821</v>
      </c>
      <c r="F43" s="20">
        <f>E43*(IF('1-Simulation'!J43=1,'1-Specification &amp; Data'!H$7,IF('1-Simulation'!J43=2,'1-Specification &amp; Data'!H$8,IF('1-Simulation'!J43=3,'1-Specification &amp; Data'!H$9))))</f>
        <v>2549.1409098186919</v>
      </c>
      <c r="G43" s="20">
        <f>2*PI()*E43*'1-Simulation'!U43/(1000*60)</f>
        <v>0.51895079531429211</v>
      </c>
      <c r="H43" s="20">
        <f t="shared" si="1"/>
        <v>0.61053034742857892</v>
      </c>
      <c r="I43" s="20">
        <f t="shared" si="2"/>
        <v>12.719382238095394</v>
      </c>
      <c r="J43" s="20">
        <f>'1-Simulation'!U43/(IF('1-Simulation'!J43=1,'1-Specification &amp; Data'!H$7,IF('1-Simulation'!J43=2,'1-Specification &amp; Data'!H$8,IF('1-Simulation'!J43=3,'1-Specification &amp; Data'!H$9)))*0.8)</f>
        <v>2.4300417439933062</v>
      </c>
      <c r="K43" s="20">
        <f t="shared" si="0"/>
        <v>0.71574483872049111</v>
      </c>
      <c r="L43" s="20">
        <f t="shared" si="3"/>
        <v>0.75341561970578019</v>
      </c>
      <c r="M43" s="20">
        <f t="shared" si="4"/>
        <v>0</v>
      </c>
      <c r="N43" s="20">
        <f t="shared" si="5"/>
        <v>1.7465843802942198</v>
      </c>
      <c r="O43" s="20">
        <f t="shared" si="6"/>
        <v>1.7842551612795088</v>
      </c>
      <c r="P43" s="20">
        <f t="shared" si="7"/>
        <v>31.412942980273041</v>
      </c>
      <c r="Q43" s="20">
        <f t="shared" si="8"/>
        <v>0</v>
      </c>
      <c r="R43" s="20">
        <f t="shared" si="9"/>
        <v>0</v>
      </c>
      <c r="S43" s="20">
        <f t="shared" si="10"/>
        <v>0.60057163240442923</v>
      </c>
      <c r="T43" s="20">
        <f t="shared" si="11"/>
        <v>50.047636033702439</v>
      </c>
    </row>
    <row r="44" spans="1:20" x14ac:dyDescent="0.25">
      <c r="A44" s="19">
        <f t="shared" si="12"/>
        <v>42</v>
      </c>
      <c r="B44" s="19">
        <v>5500</v>
      </c>
      <c r="C44" s="19">
        <v>14</v>
      </c>
      <c r="D44" s="20">
        <v>2.5</v>
      </c>
      <c r="E44" s="20">
        <f>'1-Simulation'!F44*60/(2*PI()*'1-Specification &amp; Data'!B$14)</f>
        <v>202.68044489698821</v>
      </c>
      <c r="F44" s="20">
        <f>E44*(IF('1-Simulation'!J44=1,'1-Specification &amp; Data'!H$7,IF('1-Simulation'!J44=2,'1-Specification &amp; Data'!H$8,IF('1-Simulation'!J44=3,'1-Specification &amp; Data'!H$9))))</f>
        <v>2549.1409098186919</v>
      </c>
      <c r="G44" s="20">
        <f>2*PI()*E44*'1-Simulation'!U44/(1000*60)</f>
        <v>0.51895079531429211</v>
      </c>
      <c r="H44" s="20">
        <f t="shared" si="1"/>
        <v>0.61053034742857892</v>
      </c>
      <c r="I44" s="20">
        <f t="shared" si="2"/>
        <v>12.719382238095394</v>
      </c>
      <c r="J44" s="20">
        <f>'1-Simulation'!U44/(IF('1-Simulation'!J44=1,'1-Specification &amp; Data'!H$7,IF('1-Simulation'!J44=2,'1-Specification &amp; Data'!H$8,IF('1-Simulation'!J44=3,'1-Specification &amp; Data'!H$9)))*0.8)</f>
        <v>2.4300417439933062</v>
      </c>
      <c r="K44" s="20">
        <f t="shared" si="0"/>
        <v>0.71574483872049111</v>
      </c>
      <c r="L44" s="20">
        <f t="shared" si="3"/>
        <v>0.75341561970578019</v>
      </c>
      <c r="M44" s="20">
        <f t="shared" si="4"/>
        <v>0</v>
      </c>
      <c r="N44" s="20">
        <f t="shared" si="5"/>
        <v>1.7465843802942198</v>
      </c>
      <c r="O44" s="20">
        <f t="shared" si="6"/>
        <v>1.7842551612795088</v>
      </c>
      <c r="P44" s="20">
        <f t="shared" si="7"/>
        <v>31.412942980273041</v>
      </c>
      <c r="Q44" s="20">
        <f t="shared" si="8"/>
        <v>0</v>
      </c>
      <c r="R44" s="20">
        <f t="shared" si="9"/>
        <v>0</v>
      </c>
      <c r="S44" s="20">
        <f t="shared" si="10"/>
        <v>0.60106725883811796</v>
      </c>
      <c r="T44" s="20">
        <f t="shared" si="11"/>
        <v>50.088938236509833</v>
      </c>
    </row>
    <row r="45" spans="1:20" x14ac:dyDescent="0.25">
      <c r="A45" s="19">
        <f t="shared" si="12"/>
        <v>43</v>
      </c>
      <c r="B45" s="19">
        <v>5500</v>
      </c>
      <c r="C45" s="19">
        <v>14</v>
      </c>
      <c r="D45" s="20">
        <v>2.5</v>
      </c>
      <c r="E45" s="20">
        <f>'1-Simulation'!F45*60/(2*PI()*'1-Specification &amp; Data'!B$14)</f>
        <v>202.68044489698821</v>
      </c>
      <c r="F45" s="20">
        <f>E45*(IF('1-Simulation'!J45=1,'1-Specification &amp; Data'!H$7,IF('1-Simulation'!J45=2,'1-Specification &amp; Data'!H$8,IF('1-Simulation'!J45=3,'1-Specification &amp; Data'!H$9))))</f>
        <v>2549.1409098186919</v>
      </c>
      <c r="G45" s="20">
        <f>2*PI()*E45*'1-Simulation'!U45/(1000*60)</f>
        <v>0.51895079531429211</v>
      </c>
      <c r="H45" s="20">
        <f t="shared" si="1"/>
        <v>0.61053034742857892</v>
      </c>
      <c r="I45" s="20">
        <f t="shared" si="2"/>
        <v>12.719382238095394</v>
      </c>
      <c r="J45" s="20">
        <f>'1-Simulation'!U45/(IF('1-Simulation'!J45=1,'1-Specification &amp; Data'!H$7,IF('1-Simulation'!J45=2,'1-Specification &amp; Data'!H$8,IF('1-Simulation'!J45=3,'1-Specification &amp; Data'!H$9)))*0.8)</f>
        <v>2.4300417439933062</v>
      </c>
      <c r="K45" s="20">
        <f t="shared" si="0"/>
        <v>0.71574483872049111</v>
      </c>
      <c r="L45" s="20">
        <f t="shared" si="3"/>
        <v>0.75341561970578019</v>
      </c>
      <c r="M45" s="20">
        <f t="shared" si="4"/>
        <v>0</v>
      </c>
      <c r="N45" s="20">
        <f t="shared" si="5"/>
        <v>1.7465843802942198</v>
      </c>
      <c r="O45" s="20">
        <f t="shared" si="6"/>
        <v>1.7842551612795088</v>
      </c>
      <c r="P45" s="20">
        <f t="shared" si="7"/>
        <v>31.412942980273041</v>
      </c>
      <c r="Q45" s="20">
        <f t="shared" si="8"/>
        <v>0</v>
      </c>
      <c r="R45" s="20">
        <f t="shared" si="9"/>
        <v>0</v>
      </c>
      <c r="S45" s="20">
        <f t="shared" si="10"/>
        <v>0.60156288527180668</v>
      </c>
      <c r="T45" s="20">
        <f t="shared" si="11"/>
        <v>50.130240439317227</v>
      </c>
    </row>
    <row r="46" spans="1:20" x14ac:dyDescent="0.25">
      <c r="A46" s="19">
        <f t="shared" si="12"/>
        <v>44</v>
      </c>
      <c r="B46" s="19">
        <v>5500</v>
      </c>
      <c r="C46" s="19">
        <v>14</v>
      </c>
      <c r="D46" s="20">
        <v>2.5</v>
      </c>
      <c r="E46" s="20">
        <f>'1-Simulation'!F46*60/(2*PI()*'1-Specification &amp; Data'!B$14)</f>
        <v>202.68044489698821</v>
      </c>
      <c r="F46" s="20">
        <f>E46*(IF('1-Simulation'!J46=1,'1-Specification &amp; Data'!H$7,IF('1-Simulation'!J46=2,'1-Specification &amp; Data'!H$8,IF('1-Simulation'!J46=3,'1-Specification &amp; Data'!H$9))))</f>
        <v>2549.1409098186919</v>
      </c>
      <c r="G46" s="20">
        <f>2*PI()*E46*'1-Simulation'!U46/(1000*60)</f>
        <v>0.51895079531429211</v>
      </c>
      <c r="H46" s="20">
        <f t="shared" si="1"/>
        <v>0.61053034742857892</v>
      </c>
      <c r="I46" s="20">
        <f t="shared" si="2"/>
        <v>12.719382238095394</v>
      </c>
      <c r="J46" s="20">
        <f>'1-Simulation'!U46/(IF('1-Simulation'!J46=1,'1-Specification &amp; Data'!H$7,IF('1-Simulation'!J46=2,'1-Specification &amp; Data'!H$8,IF('1-Simulation'!J46=3,'1-Specification &amp; Data'!H$9)))*0.8)</f>
        <v>2.4300417439933062</v>
      </c>
      <c r="K46" s="20">
        <f t="shared" si="0"/>
        <v>0.71574483872049111</v>
      </c>
      <c r="L46" s="20">
        <f t="shared" si="3"/>
        <v>0.75341561970578019</v>
      </c>
      <c r="M46" s="20">
        <f t="shared" si="4"/>
        <v>0</v>
      </c>
      <c r="N46" s="20">
        <f t="shared" si="5"/>
        <v>1.7465843802942198</v>
      </c>
      <c r="O46" s="20">
        <f t="shared" si="6"/>
        <v>1.7842551612795088</v>
      </c>
      <c r="P46" s="20">
        <f t="shared" si="7"/>
        <v>31.412942980273041</v>
      </c>
      <c r="Q46" s="20">
        <f t="shared" si="8"/>
        <v>0</v>
      </c>
      <c r="R46" s="20">
        <f t="shared" si="9"/>
        <v>0</v>
      </c>
      <c r="S46" s="20">
        <f t="shared" si="10"/>
        <v>0.6020585117054954</v>
      </c>
      <c r="T46" s="20">
        <f t="shared" si="11"/>
        <v>50.171542642124621</v>
      </c>
    </row>
    <row r="47" spans="1:20" x14ac:dyDescent="0.25">
      <c r="A47" s="19">
        <f t="shared" si="12"/>
        <v>45</v>
      </c>
      <c r="B47" s="19">
        <v>5500</v>
      </c>
      <c r="C47" s="19">
        <v>14</v>
      </c>
      <c r="D47" s="20">
        <v>2.5</v>
      </c>
      <c r="E47" s="20">
        <f>'1-Simulation'!F47*60/(2*PI()*'1-Specification &amp; Data'!B$14)</f>
        <v>217.15761953248733</v>
      </c>
      <c r="F47" s="20">
        <f>E47*(IF('1-Simulation'!J47=1,'1-Specification &amp; Data'!H$7,IF('1-Simulation'!J47=2,'1-Specification &amp; Data'!H$8,IF('1-Simulation'!J47=3,'1-Specification &amp; Data'!H$9))))</f>
        <v>2731.2224033771695</v>
      </c>
      <c r="G47" s="20">
        <f>2*PI()*E47*'1-Simulation'!U47/(1000*60)</f>
        <v>2.4741239408598474</v>
      </c>
      <c r="H47" s="20">
        <f t="shared" si="1"/>
        <v>2.9107340480704087</v>
      </c>
      <c r="I47" s="20">
        <f t="shared" si="2"/>
        <v>60.640292668133519</v>
      </c>
      <c r="J47" s="20">
        <f>'1-Simulation'!U47/(IF('1-Simulation'!J47=1,'1-Specification &amp; Data'!H$7,IF('1-Simulation'!J47=2,'1-Specification &amp; Data'!H$8,IF('1-Simulation'!J47=3,'1-Specification &amp; Data'!H$9)))*0.8)</f>
        <v>10.812989483837372</v>
      </c>
      <c r="K47" s="20">
        <f t="shared" si="0"/>
        <v>3.4123494115714053</v>
      </c>
      <c r="L47" s="20">
        <f t="shared" si="3"/>
        <v>3.5919467490225321</v>
      </c>
      <c r="M47" s="20">
        <f t="shared" si="4"/>
        <v>0</v>
      </c>
      <c r="N47" s="20">
        <f t="shared" si="5"/>
        <v>0</v>
      </c>
      <c r="O47" s="20">
        <f t="shared" si="6"/>
        <v>0</v>
      </c>
      <c r="P47" s="20">
        <f t="shared" si="7"/>
        <v>0</v>
      </c>
      <c r="Q47" s="20">
        <f t="shared" si="8"/>
        <v>0.91234941157140526</v>
      </c>
      <c r="R47" s="20">
        <f t="shared" si="9"/>
        <v>19.007279407737609</v>
      </c>
      <c r="S47" s="20">
        <f t="shared" si="10"/>
        <v>0.60180508131339228</v>
      </c>
      <c r="T47" s="20">
        <f t="shared" si="11"/>
        <v>50.150423442782696</v>
      </c>
    </row>
    <row r="48" spans="1:20" x14ac:dyDescent="0.25">
      <c r="A48" s="19">
        <f t="shared" si="12"/>
        <v>46</v>
      </c>
      <c r="B48" s="19">
        <v>5500</v>
      </c>
      <c r="C48" s="19">
        <v>14</v>
      </c>
      <c r="D48" s="20">
        <v>2.5</v>
      </c>
      <c r="E48" s="20">
        <f>'1-Simulation'!F48*60/(2*PI()*'1-Specification &amp; Data'!B$14)</f>
        <v>238.8733814857361</v>
      </c>
      <c r="F48" s="20">
        <f>E48*(IF('1-Simulation'!J48=1,'1-Specification &amp; Data'!H$7,IF('1-Simulation'!J48=2,'1-Specification &amp; Data'!H$8,IF('1-Simulation'!J48=3,'1-Specification &amp; Data'!H$9))))</f>
        <v>3004.3446437148868</v>
      </c>
      <c r="G48" s="20">
        <f>2*PI()*E48*'1-Simulation'!U48/(1000*60)</f>
        <v>3.7969204779684276</v>
      </c>
      <c r="H48" s="20">
        <f t="shared" si="1"/>
        <v>4.46696526819815</v>
      </c>
      <c r="I48" s="20">
        <f t="shared" si="2"/>
        <v>93.061776420794786</v>
      </c>
      <c r="J48" s="20">
        <f>'1-Simulation'!U48/(IF('1-Simulation'!J48=1,'1-Specification &amp; Data'!H$7,IF('1-Simulation'!J48=2,'1-Specification &amp; Data'!H$8,IF('1-Simulation'!J48=3,'1-Specification &amp; Data'!H$9)))*0.8)</f>
        <v>15.085619351121586</v>
      </c>
      <c r="K48" s="20">
        <f t="shared" si="0"/>
        <v>5.236770537160786</v>
      </c>
      <c r="L48" s="20">
        <f t="shared" si="3"/>
        <v>5.5123900391166174</v>
      </c>
      <c r="M48" s="20">
        <f t="shared" si="4"/>
        <v>0</v>
      </c>
      <c r="N48" s="20">
        <f t="shared" si="5"/>
        <v>0</v>
      </c>
      <c r="O48" s="20">
        <f t="shared" si="6"/>
        <v>0</v>
      </c>
      <c r="P48" s="20">
        <f t="shared" si="7"/>
        <v>0</v>
      </c>
      <c r="Q48" s="20">
        <f t="shared" si="8"/>
        <v>2.736770537160786</v>
      </c>
      <c r="R48" s="20">
        <f t="shared" si="9"/>
        <v>57.016052857516371</v>
      </c>
      <c r="S48" s="20">
        <f t="shared" si="10"/>
        <v>0.60104486727529205</v>
      </c>
      <c r="T48" s="20">
        <f t="shared" si="11"/>
        <v>50.087072272941008</v>
      </c>
    </row>
    <row r="49" spans="1:20" x14ac:dyDescent="0.25">
      <c r="A49" s="19">
        <f t="shared" si="12"/>
        <v>47</v>
      </c>
      <c r="B49" s="19">
        <v>5500</v>
      </c>
      <c r="C49" s="19">
        <v>14</v>
      </c>
      <c r="D49" s="20">
        <v>2.5</v>
      </c>
      <c r="E49" s="20">
        <f>'1-Simulation'!F49*60/(2*PI()*'1-Specification &amp; Data'!B$14)</f>
        <v>260.58914343898482</v>
      </c>
      <c r="F49" s="20">
        <f>E49*(IF('1-Simulation'!J49=1,'1-Specification &amp; Data'!H$7,IF('1-Simulation'!J49=2,'1-Specification &amp; Data'!H$8,IF('1-Simulation'!J49=3,'1-Specification &amp; Data'!H$9))))</f>
        <v>3277.4668840526037</v>
      </c>
      <c r="G49" s="20">
        <f>2*PI()*E49*'1-Simulation'!U49/(1000*60)</f>
        <v>4.1773059231297918</v>
      </c>
      <c r="H49" s="20">
        <f t="shared" si="1"/>
        <v>4.9144775566232841</v>
      </c>
      <c r="I49" s="20">
        <f t="shared" si="2"/>
        <v>102.38494909631841</v>
      </c>
      <c r="J49" s="20">
        <f>'1-Simulation'!U49/(IF('1-Simulation'!J49=1,'1-Specification &amp; Data'!H$7,IF('1-Simulation'!J49=2,'1-Specification &amp; Data'!H$8,IF('1-Simulation'!J49=3,'1-Specification &amp; Data'!H$9)))*0.8)</f>
        <v>15.213858217182411</v>
      </c>
      <c r="K49" s="20">
        <f t="shared" si="0"/>
        <v>5.7614039350800521</v>
      </c>
      <c r="L49" s="20">
        <f t="shared" si="3"/>
        <v>6.0646357211368969</v>
      </c>
      <c r="M49" s="20">
        <f t="shared" si="4"/>
        <v>0</v>
      </c>
      <c r="N49" s="20">
        <f t="shared" si="5"/>
        <v>0</v>
      </c>
      <c r="O49" s="20">
        <f t="shared" si="6"/>
        <v>0</v>
      </c>
      <c r="P49" s="20">
        <f t="shared" si="7"/>
        <v>0</v>
      </c>
      <c r="Q49" s="20">
        <f t="shared" si="8"/>
        <v>3.2614039350800521</v>
      </c>
      <c r="R49" s="20">
        <f t="shared" si="9"/>
        <v>67.945915314167749</v>
      </c>
      <c r="S49" s="20">
        <f t="shared" si="10"/>
        <v>0.60013892173776984</v>
      </c>
      <c r="T49" s="20">
        <f t="shared" si="11"/>
        <v>50.011576811480822</v>
      </c>
    </row>
    <row r="50" spans="1:20" x14ac:dyDescent="0.25">
      <c r="A50" s="19">
        <f t="shared" si="12"/>
        <v>48</v>
      </c>
      <c r="B50" s="19">
        <v>5500</v>
      </c>
      <c r="C50" s="19">
        <v>14</v>
      </c>
      <c r="D50" s="20">
        <v>2.5</v>
      </c>
      <c r="E50" s="20">
        <f>'1-Simulation'!F50*60/(2*PI()*'1-Specification &amp; Data'!B$14)</f>
        <v>289.54349270998313</v>
      </c>
      <c r="F50" s="20">
        <f>E50*(IF('1-Simulation'!J50=1,'1-Specification &amp; Data'!H$7,IF('1-Simulation'!J50=2,'1-Specification &amp; Data'!H$8,IF('1-Simulation'!J50=3,'1-Specification &amp; Data'!H$9))))</f>
        <v>3641.6298711695595</v>
      </c>
      <c r="G50" s="20">
        <f>2*PI()*E50*'1-Simulation'!U50/(1000*60)</f>
        <v>5.9666820530900289</v>
      </c>
      <c r="H50" s="20">
        <f t="shared" si="1"/>
        <v>7.019625944811799</v>
      </c>
      <c r="I50" s="20">
        <f t="shared" si="2"/>
        <v>146.24220718357915</v>
      </c>
      <c r="J50" s="20">
        <f>'1-Simulation'!U50/(IF('1-Simulation'!J50=1,'1-Specification &amp; Data'!H$7,IF('1-Simulation'!J50=2,'1-Specification &amp; Data'!H$8,IF('1-Simulation'!J50=3,'1-Specification &amp; Data'!H$9)))*0.8)</f>
        <v>19.55773189894483</v>
      </c>
      <c r="K50" s="20">
        <f t="shared" si="0"/>
        <v>8.2293387395214523</v>
      </c>
      <c r="L50" s="20">
        <f t="shared" si="3"/>
        <v>8.6624618310752126</v>
      </c>
      <c r="M50" s="20">
        <f t="shared" si="4"/>
        <v>0</v>
      </c>
      <c r="N50" s="20">
        <f t="shared" si="5"/>
        <v>0</v>
      </c>
      <c r="O50" s="20">
        <f t="shared" si="6"/>
        <v>0</v>
      </c>
      <c r="P50" s="20">
        <f t="shared" si="7"/>
        <v>0</v>
      </c>
      <c r="Q50" s="20">
        <f t="shared" si="8"/>
        <v>5.7293387395214523</v>
      </c>
      <c r="R50" s="20">
        <f t="shared" si="9"/>
        <v>119.36122374003025</v>
      </c>
      <c r="S50" s="20">
        <f t="shared" si="10"/>
        <v>0.59854743875456939</v>
      </c>
      <c r="T50" s="20">
        <f t="shared" si="11"/>
        <v>49.878953229547449</v>
      </c>
    </row>
    <row r="51" spans="1:20" x14ac:dyDescent="0.25">
      <c r="A51" s="19">
        <f t="shared" si="12"/>
        <v>49</v>
      </c>
      <c r="B51" s="19">
        <v>5500</v>
      </c>
      <c r="C51" s="19">
        <v>14</v>
      </c>
      <c r="D51" s="20">
        <v>2.5</v>
      </c>
      <c r="E51" s="20">
        <f>'1-Simulation'!F51*60/(2*PI()*'1-Specification &amp; Data'!B$14)</f>
        <v>292.43892763708294</v>
      </c>
      <c r="F51" s="20">
        <f>E51*(IF('1-Simulation'!J51=1,'1-Specification &amp; Data'!H$7,IF('1-Simulation'!J51=2,'1-Specification &amp; Data'!H$8,IF('1-Simulation'!J51=3,'1-Specification &amp; Data'!H$9))))</f>
        <v>2426.8633085726751</v>
      </c>
      <c r="G51" s="20">
        <f>2*PI()*E51*'1-Simulation'!U51/(1000*60)</f>
        <v>1.4194327179745374</v>
      </c>
      <c r="H51" s="20">
        <f t="shared" si="1"/>
        <v>1.6699208446759264</v>
      </c>
      <c r="I51" s="20">
        <f t="shared" si="2"/>
        <v>34.790017597415137</v>
      </c>
      <c r="J51" s="20">
        <f>'1-Simulation'!U51/(IF('1-Simulation'!J51=1,'1-Specification &amp; Data'!H$7,IF('1-Simulation'!J51=2,'1-Specification &amp; Data'!H$8,IF('1-Simulation'!J51=3,'1-Specification &amp; Data'!H$9)))*0.8)</f>
        <v>6.9815345384515304</v>
      </c>
      <c r="K51" s="20">
        <f t="shared" si="0"/>
        <v>1.9577032176740052</v>
      </c>
      <c r="L51" s="20">
        <f t="shared" si="3"/>
        <v>2.0607402291305319</v>
      </c>
      <c r="M51" s="20">
        <f t="shared" si="4"/>
        <v>0</v>
      </c>
      <c r="N51" s="20">
        <f t="shared" si="5"/>
        <v>0.4392597708694681</v>
      </c>
      <c r="O51" s="20">
        <f t="shared" si="6"/>
        <v>0.54229678232599476</v>
      </c>
      <c r="P51" s="20">
        <f t="shared" si="7"/>
        <v>9.547478562077373</v>
      </c>
      <c r="Q51" s="20">
        <f t="shared" si="8"/>
        <v>0</v>
      </c>
      <c r="R51" s="20">
        <f t="shared" si="9"/>
        <v>0</v>
      </c>
      <c r="S51" s="20">
        <f t="shared" si="10"/>
        <v>0.59869807674965991</v>
      </c>
      <c r="T51" s="20">
        <f t="shared" si="11"/>
        <v>49.891506395804996</v>
      </c>
    </row>
    <row r="52" spans="1:20" x14ac:dyDescent="0.25">
      <c r="A52" s="19">
        <f t="shared" si="12"/>
        <v>50</v>
      </c>
      <c r="B52" s="19">
        <v>5500</v>
      </c>
      <c r="C52" s="19">
        <v>14</v>
      </c>
      <c r="D52" s="20">
        <v>2.5</v>
      </c>
      <c r="E52" s="20">
        <f>'1-Simulation'!F52*60/(2*PI()*'1-Specification &amp; Data'!B$14)</f>
        <v>311.2592546632319</v>
      </c>
      <c r="F52" s="20">
        <f>E52*(IF('1-Simulation'!J52=1,'1-Specification &amp; Data'!H$7,IF('1-Simulation'!J52=2,'1-Specification &amp; Data'!H$8,IF('1-Simulation'!J52=3,'1-Specification &amp; Data'!H$9))))</f>
        <v>2583.0475809065606</v>
      </c>
      <c r="G52" s="20">
        <f>2*PI()*E52*'1-Simulation'!U52/(1000*60)</f>
        <v>4.5330699019959235</v>
      </c>
      <c r="H52" s="20">
        <f t="shared" si="1"/>
        <v>5.3330234141128514</v>
      </c>
      <c r="I52" s="20">
        <f t="shared" si="2"/>
        <v>111.1046544606844</v>
      </c>
      <c r="J52" s="20">
        <f>'1-Simulation'!U52/(IF('1-Simulation'!J52=1,'1-Specification &amp; Data'!H$7,IF('1-Simulation'!J52=2,'1-Specification &amp; Data'!H$8,IF('1-Simulation'!J52=3,'1-Specification &amp; Data'!H$9)))*0.8)</f>
        <v>20.947944037596969</v>
      </c>
      <c r="K52" s="20">
        <f t="shared" si="0"/>
        <v>6.2520790317852892</v>
      </c>
      <c r="L52" s="20">
        <f t="shared" si="3"/>
        <v>6.5811358229318841</v>
      </c>
      <c r="M52" s="20">
        <f t="shared" si="4"/>
        <v>0</v>
      </c>
      <c r="N52" s="20">
        <f t="shared" si="5"/>
        <v>0</v>
      </c>
      <c r="O52" s="20">
        <f t="shared" si="6"/>
        <v>0</v>
      </c>
      <c r="P52" s="20">
        <f t="shared" si="7"/>
        <v>0</v>
      </c>
      <c r="Q52" s="20">
        <f t="shared" si="8"/>
        <v>3.7520790317852892</v>
      </c>
      <c r="R52" s="20">
        <f t="shared" si="9"/>
        <v>78.168313162193527</v>
      </c>
      <c r="S52" s="20">
        <f t="shared" si="10"/>
        <v>0.59765583257416399</v>
      </c>
      <c r="T52" s="20">
        <f t="shared" si="11"/>
        <v>49.804652714513672</v>
      </c>
    </row>
    <row r="53" spans="1:20" x14ac:dyDescent="0.25">
      <c r="A53" s="19">
        <f t="shared" si="12"/>
        <v>51</v>
      </c>
      <c r="B53" s="19">
        <v>5500</v>
      </c>
      <c r="C53" s="19">
        <v>14</v>
      </c>
      <c r="D53" s="20">
        <v>2.5</v>
      </c>
      <c r="E53" s="20">
        <f>'1-Simulation'!F53*60/(2*PI()*'1-Specification &amp; Data'!B$14)</f>
        <v>325.73642929873103</v>
      </c>
      <c r="F53" s="20">
        <f>E53*(IF('1-Simulation'!J53=1,'1-Specification &amp; Data'!H$7,IF('1-Simulation'!J53=2,'1-Specification &amp; Data'!H$8,IF('1-Simulation'!J53=3,'1-Specification &amp; Data'!H$9))))</f>
        <v>2703.1893288557026</v>
      </c>
      <c r="G53" s="20">
        <f>2*PI()*E53*'1-Simulation'!U53/(1000*60)</f>
        <v>3.9313089127557665</v>
      </c>
      <c r="H53" s="20">
        <f t="shared" si="1"/>
        <v>4.6250693091244317</v>
      </c>
      <c r="I53" s="20">
        <f t="shared" si="2"/>
        <v>96.355610606759001</v>
      </c>
      <c r="J53" s="20">
        <f>'1-Simulation'!U53/(IF('1-Simulation'!J53=1,'1-Specification &amp; Data'!H$7,IF('1-Simulation'!J53=2,'1-Specification &amp; Data'!H$8,IF('1-Simulation'!J53=3,'1-Specification &amp; Data'!H$9)))*0.8)</f>
        <v>17.359695442175159</v>
      </c>
      <c r="K53" s="20">
        <f t="shared" si="0"/>
        <v>5.4221211126898377</v>
      </c>
      <c r="L53" s="20">
        <f t="shared" si="3"/>
        <v>5.7074959080945664</v>
      </c>
      <c r="M53" s="20">
        <f t="shared" si="4"/>
        <v>0</v>
      </c>
      <c r="N53" s="20">
        <f t="shared" si="5"/>
        <v>0</v>
      </c>
      <c r="O53" s="20">
        <f t="shared" si="6"/>
        <v>0</v>
      </c>
      <c r="P53" s="20">
        <f t="shared" si="7"/>
        <v>0</v>
      </c>
      <c r="Q53" s="20">
        <f t="shared" si="8"/>
        <v>2.9221211126898377</v>
      </c>
      <c r="R53" s="20">
        <f t="shared" si="9"/>
        <v>60.877523181038278</v>
      </c>
      <c r="S53" s="20">
        <f t="shared" si="10"/>
        <v>0.59684413226508348</v>
      </c>
      <c r="T53" s="20">
        <f t="shared" si="11"/>
        <v>49.737011022090293</v>
      </c>
    </row>
    <row r="54" spans="1:20" x14ac:dyDescent="0.25">
      <c r="A54" s="19">
        <f t="shared" si="12"/>
        <v>52</v>
      </c>
      <c r="B54" s="19">
        <v>5500</v>
      </c>
      <c r="C54" s="19">
        <v>14</v>
      </c>
      <c r="D54" s="20">
        <v>2.5</v>
      </c>
      <c r="E54" s="20">
        <f>'1-Simulation'!F54*60/(2*PI()*'1-Specification &amp; Data'!B$14)</f>
        <v>347.45219125197974</v>
      </c>
      <c r="F54" s="20">
        <f>E54*(IF('1-Simulation'!J54=1,'1-Specification &amp; Data'!H$7,IF('1-Simulation'!J54=2,'1-Specification &amp; Data'!H$8,IF('1-Simulation'!J54=3,'1-Specification &amp; Data'!H$9))))</f>
        <v>2883.401950779416</v>
      </c>
      <c r="G54" s="20">
        <f>2*PI()*E54*'1-Simulation'!U54/(1000*60)</f>
        <v>5.7678267492860087</v>
      </c>
      <c r="H54" s="20">
        <f t="shared" si="1"/>
        <v>6.7856785285717747</v>
      </c>
      <c r="I54" s="20">
        <f t="shared" si="2"/>
        <v>141.36830267857863</v>
      </c>
      <c r="J54" s="20">
        <f>'1-Simulation'!U54/(IF('1-Simulation'!J54=1,'1-Specification &amp; Data'!H$7,IF('1-Simulation'!J54=2,'1-Specification &amp; Data'!H$8,IF('1-Simulation'!J54=3,'1-Specification &amp; Data'!H$9)))*0.8)</f>
        <v>23.877475818062411</v>
      </c>
      <c r="K54" s="20">
        <f t="shared" si="0"/>
        <v>7.9550744766374848</v>
      </c>
      <c r="L54" s="20">
        <f t="shared" si="3"/>
        <v>8.3737626069868263</v>
      </c>
      <c r="M54" s="20">
        <f t="shared" si="4"/>
        <v>0</v>
      </c>
      <c r="N54" s="20">
        <f t="shared" si="5"/>
        <v>0</v>
      </c>
      <c r="O54" s="20">
        <f t="shared" si="6"/>
        <v>0</v>
      </c>
      <c r="P54" s="20">
        <f t="shared" si="7"/>
        <v>0</v>
      </c>
      <c r="Q54" s="20">
        <f t="shared" si="8"/>
        <v>5.4550744766374848</v>
      </c>
      <c r="R54" s="20">
        <f t="shared" si="9"/>
        <v>113.64738492994759</v>
      </c>
      <c r="S54" s="20">
        <f t="shared" si="10"/>
        <v>0.59532883379935086</v>
      </c>
      <c r="T54" s="20">
        <f t="shared" si="11"/>
        <v>49.610736149945907</v>
      </c>
    </row>
    <row r="55" spans="1:20" x14ac:dyDescent="0.25">
      <c r="A55" s="19">
        <f t="shared" si="12"/>
        <v>53</v>
      </c>
      <c r="B55" s="19">
        <v>5500</v>
      </c>
      <c r="C55" s="19">
        <v>14</v>
      </c>
      <c r="D55" s="20">
        <v>2.5</v>
      </c>
      <c r="E55" s="20">
        <f>'1-Simulation'!F55*60/(2*PI()*'1-Specification &amp; Data'!B$14)</f>
        <v>376.40654052297805</v>
      </c>
      <c r="F55" s="20">
        <f>E55*(IF('1-Simulation'!J55=1,'1-Specification &amp; Data'!H$7,IF('1-Simulation'!J55=2,'1-Specification &amp; Data'!H$8,IF('1-Simulation'!J55=3,'1-Specification &amp; Data'!H$9))))</f>
        <v>3123.6854466777004</v>
      </c>
      <c r="G55" s="20">
        <f>2*PI()*E55*'1-Simulation'!U55/(1000*60)</f>
        <v>7.9838419339783444</v>
      </c>
      <c r="H55" s="20">
        <f t="shared" si="1"/>
        <v>9.3927552164451118</v>
      </c>
      <c r="I55" s="20">
        <f t="shared" si="2"/>
        <v>195.68240034260648</v>
      </c>
      <c r="J55" s="20">
        <f>'1-Simulation'!U55/(IF('1-Simulation'!J55=1,'1-Specification &amp; Data'!H$7,IF('1-Simulation'!J55=2,'1-Specification &amp; Data'!H$8,IF('1-Simulation'!J55=3,'1-Specification &amp; Data'!H$9)))*0.8)</f>
        <v>30.508863576720053</v>
      </c>
      <c r="K55" s="20">
        <f t="shared" si="0"/>
        <v>11.011436361600365</v>
      </c>
      <c r="L55" s="20">
        <f t="shared" si="3"/>
        <v>11.590985643789859</v>
      </c>
      <c r="M55" s="20">
        <f t="shared" si="4"/>
        <v>0</v>
      </c>
      <c r="N55" s="20">
        <f t="shared" si="5"/>
        <v>0</v>
      </c>
      <c r="O55" s="20">
        <f t="shared" si="6"/>
        <v>0</v>
      </c>
      <c r="P55" s="20">
        <f t="shared" si="7"/>
        <v>0</v>
      </c>
      <c r="Q55" s="20">
        <f t="shared" si="8"/>
        <v>8.5114363616003654</v>
      </c>
      <c r="R55" s="20">
        <f t="shared" si="9"/>
        <v>177.32159086667426</v>
      </c>
      <c r="S55" s="20">
        <f t="shared" si="10"/>
        <v>0.59296454592112857</v>
      </c>
      <c r="T55" s="20">
        <f t="shared" si="11"/>
        <v>49.41371216009405</v>
      </c>
    </row>
    <row r="56" spans="1:20" x14ac:dyDescent="0.25">
      <c r="A56" s="19">
        <f t="shared" si="12"/>
        <v>54</v>
      </c>
      <c r="B56" s="19">
        <v>5500</v>
      </c>
      <c r="C56" s="19">
        <v>14</v>
      </c>
      <c r="D56" s="20">
        <v>2.5</v>
      </c>
      <c r="E56" s="20">
        <f>'1-Simulation'!F56*60/(2*PI()*'1-Specification &amp; Data'!B$14)</f>
        <v>383.6451278407277</v>
      </c>
      <c r="F56" s="20">
        <f>E56*(IF('1-Simulation'!J56=1,'1-Specification &amp; Data'!H$7,IF('1-Simulation'!J56=2,'1-Specification &amp; Data'!H$8,IF('1-Simulation'!J56=3,'1-Specification &amp; Data'!H$9))))</f>
        <v>3183.7563206522723</v>
      </c>
      <c r="G56" s="20">
        <f>2*PI()*E56*'1-Simulation'!U56/(1000*60)</f>
        <v>3.1579774707052786</v>
      </c>
      <c r="H56" s="20">
        <f t="shared" si="1"/>
        <v>3.7152676125944453</v>
      </c>
      <c r="I56" s="20">
        <f t="shared" si="2"/>
        <v>77.401408595717612</v>
      </c>
      <c r="J56" s="20">
        <f>'1-Simulation'!U56/(IF('1-Simulation'!J56=1,'1-Specification &amp; Data'!H$7,IF('1-Simulation'!J56=2,'1-Specification &amp; Data'!H$8,IF('1-Simulation'!J56=3,'1-Specification &amp; Data'!H$9)))*0.8)</f>
        <v>11.839970007486652</v>
      </c>
      <c r="K56" s="20">
        <f t="shared" si="0"/>
        <v>4.3555306126546842</v>
      </c>
      <c r="L56" s="20">
        <f t="shared" si="3"/>
        <v>4.5847690659522993</v>
      </c>
      <c r="M56" s="20">
        <f t="shared" si="4"/>
        <v>0</v>
      </c>
      <c r="N56" s="20">
        <f t="shared" si="5"/>
        <v>0</v>
      </c>
      <c r="O56" s="20">
        <f t="shared" si="6"/>
        <v>0</v>
      </c>
      <c r="P56" s="20">
        <f t="shared" si="7"/>
        <v>0</v>
      </c>
      <c r="Q56" s="20">
        <f t="shared" si="8"/>
        <v>1.8555306126546842</v>
      </c>
      <c r="R56" s="20">
        <f t="shared" si="9"/>
        <v>38.656887763639254</v>
      </c>
      <c r="S56" s="20">
        <f t="shared" si="10"/>
        <v>0.59244912075094669</v>
      </c>
      <c r="T56" s="20">
        <f t="shared" si="11"/>
        <v>49.370760062578888</v>
      </c>
    </row>
    <row r="57" spans="1:20" x14ac:dyDescent="0.25">
      <c r="A57" s="19">
        <f t="shared" si="12"/>
        <v>55</v>
      </c>
      <c r="B57" s="19">
        <v>5500</v>
      </c>
      <c r="C57" s="19">
        <v>14</v>
      </c>
      <c r="D57" s="20">
        <v>2.5</v>
      </c>
      <c r="E57" s="20">
        <f>'1-Simulation'!F57*60/(2*PI()*'1-Specification &amp; Data'!B$14)</f>
        <v>366.2725182781287</v>
      </c>
      <c r="F57" s="20">
        <f>E57*(IF('1-Simulation'!J57=1,'1-Specification &amp; Data'!H$7,IF('1-Simulation'!J57=2,'1-Specification &amp; Data'!H$8,IF('1-Simulation'!J57=3,'1-Specification &amp; Data'!H$9))))</f>
        <v>3039.5862231133015</v>
      </c>
      <c r="G57" s="20">
        <f>2*PI()*E57*'1-Simulation'!U57/(1000*60)</f>
        <v>5.9956476431468388</v>
      </c>
      <c r="H57" s="20">
        <f t="shared" si="1"/>
        <v>7.0537031095845162</v>
      </c>
      <c r="I57" s="20">
        <f t="shared" si="2"/>
        <v>146.95214811634409</v>
      </c>
      <c r="J57" s="20">
        <f>'1-Simulation'!U57/(IF('1-Simulation'!J57=1,'1-Specification &amp; Data'!H$7,IF('1-Simulation'!J57=2,'1-Specification &amp; Data'!H$8,IF('1-Simulation'!J57=3,'1-Specification &amp; Data'!H$9)))*0.8)</f>
        <v>23.54523501064018</v>
      </c>
      <c r="K57" s="20">
        <f t="shared" si="0"/>
        <v>8.2692885223734081</v>
      </c>
      <c r="L57" s="20">
        <f t="shared" si="3"/>
        <v>8.7045142340772728</v>
      </c>
      <c r="M57" s="20">
        <f t="shared" si="4"/>
        <v>0</v>
      </c>
      <c r="N57" s="20">
        <f t="shared" si="5"/>
        <v>0</v>
      </c>
      <c r="O57" s="20">
        <f t="shared" si="6"/>
        <v>0</v>
      </c>
      <c r="P57" s="20">
        <f t="shared" si="7"/>
        <v>0</v>
      </c>
      <c r="Q57" s="20">
        <f t="shared" si="8"/>
        <v>5.7692885223734081</v>
      </c>
      <c r="R57" s="20">
        <f t="shared" si="9"/>
        <v>120.19351088277934</v>
      </c>
      <c r="S57" s="20">
        <f t="shared" si="10"/>
        <v>0.59084654060584296</v>
      </c>
      <c r="T57" s="20">
        <f t="shared" si="11"/>
        <v>49.237211717153585</v>
      </c>
    </row>
    <row r="58" spans="1:20" x14ac:dyDescent="0.25">
      <c r="A58" s="19">
        <f t="shared" si="12"/>
        <v>56</v>
      </c>
      <c r="B58" s="19">
        <v>5500</v>
      </c>
      <c r="C58" s="19">
        <v>14</v>
      </c>
      <c r="D58" s="20">
        <v>2.5</v>
      </c>
      <c r="E58" s="20">
        <f>'1-Simulation'!F58*60/(2*PI()*'1-Specification &amp; Data'!B$14)</f>
        <v>332.97501661648062</v>
      </c>
      <c r="F58" s="20">
        <f>E58*(IF('1-Simulation'!J58=1,'1-Specification &amp; Data'!H$7,IF('1-Simulation'!J58=2,'1-Specification &amp; Data'!H$8,IF('1-Simulation'!J58=3,'1-Specification &amp; Data'!H$9))))</f>
        <v>2763.260202830274</v>
      </c>
      <c r="G58" s="20">
        <f>2*PI()*E58*'1-Simulation'!U58/(1000*60)</f>
        <v>2.1679922502034192</v>
      </c>
      <c r="H58" s="20">
        <f t="shared" si="1"/>
        <v>2.5505791178863757</v>
      </c>
      <c r="I58" s="20">
        <f t="shared" si="2"/>
        <v>53.13706495596616</v>
      </c>
      <c r="J58" s="20">
        <f>'1-Simulation'!U58/(IF('1-Simulation'!J58=1,'1-Specification &amp; Data'!H$7,IF('1-Simulation'!J58=2,'1-Specification &amp; Data'!H$8,IF('1-Simulation'!J58=3,'1-Specification &amp; Data'!H$9)))*0.8)</f>
        <v>9.3652060757266167</v>
      </c>
      <c r="K58" s="20">
        <f t="shared" si="0"/>
        <v>2.9901279224928206</v>
      </c>
      <c r="L58" s="20">
        <f t="shared" si="3"/>
        <v>3.1475030763082321</v>
      </c>
      <c r="M58" s="20">
        <f t="shared" si="4"/>
        <v>0</v>
      </c>
      <c r="N58" s="20">
        <f t="shared" si="5"/>
        <v>0</v>
      </c>
      <c r="O58" s="20">
        <f t="shared" si="6"/>
        <v>0</v>
      </c>
      <c r="P58" s="20">
        <f t="shared" si="7"/>
        <v>0</v>
      </c>
      <c r="Q58" s="20">
        <f t="shared" si="8"/>
        <v>0.49012792249282056</v>
      </c>
      <c r="R58" s="20">
        <f t="shared" si="9"/>
        <v>10.210998385267095</v>
      </c>
      <c r="S58" s="20">
        <f t="shared" si="10"/>
        <v>0.59071039396070602</v>
      </c>
      <c r="T58" s="20">
        <f t="shared" si="11"/>
        <v>49.225866163392169</v>
      </c>
    </row>
    <row r="59" spans="1:20" x14ac:dyDescent="0.25">
      <c r="A59" s="19">
        <f t="shared" si="12"/>
        <v>57</v>
      </c>
      <c r="B59" s="19">
        <v>5500</v>
      </c>
      <c r="C59" s="19">
        <v>14</v>
      </c>
      <c r="D59" s="20">
        <v>2.5</v>
      </c>
      <c r="E59" s="20">
        <f>'1-Simulation'!F59*60/(2*PI()*'1-Specification &amp; Data'!B$14)</f>
        <v>311.2592546632319</v>
      </c>
      <c r="F59" s="20">
        <f>E59*(IF('1-Simulation'!J59=1,'1-Specification &amp; Data'!H$7,IF('1-Simulation'!J59=2,'1-Specification &amp; Data'!H$8,IF('1-Simulation'!J59=3,'1-Specification &amp; Data'!H$9))))</f>
        <v>2583.0475809065606</v>
      </c>
      <c r="G59" s="20">
        <f>2*PI()*E59*'1-Simulation'!U59/(1000*60)</f>
        <v>4.1383395881930394</v>
      </c>
      <c r="H59" s="20">
        <f t="shared" si="1"/>
        <v>4.8686348096388699</v>
      </c>
      <c r="I59" s="20">
        <f t="shared" si="2"/>
        <v>101.42989186747646</v>
      </c>
      <c r="J59" s="20">
        <f>'1-Simulation'!U59/(IF('1-Simulation'!J59=1,'1-Specification &amp; Data'!H$7,IF('1-Simulation'!J59=2,'1-Specification &amp; Data'!H$8,IF('1-Simulation'!J59=3,'1-Specification &amp; Data'!H$9)))*0.8)</f>
        <v>19.123840570795114</v>
      </c>
      <c r="K59" s="20">
        <f t="shared" si="0"/>
        <v>5.7076609726129774</v>
      </c>
      <c r="L59" s="20">
        <f t="shared" si="3"/>
        <v>6.008064181697871</v>
      </c>
      <c r="M59" s="20">
        <f t="shared" si="4"/>
        <v>0</v>
      </c>
      <c r="N59" s="20">
        <f t="shared" si="5"/>
        <v>0</v>
      </c>
      <c r="O59" s="20">
        <f t="shared" si="6"/>
        <v>0</v>
      </c>
      <c r="P59" s="20">
        <f t="shared" si="7"/>
        <v>0</v>
      </c>
      <c r="Q59" s="20">
        <f t="shared" si="8"/>
        <v>3.2076609726129774</v>
      </c>
      <c r="R59" s="20">
        <f t="shared" si="9"/>
        <v>66.826270262770365</v>
      </c>
      <c r="S59" s="20">
        <f t="shared" si="10"/>
        <v>0.58981937702386911</v>
      </c>
      <c r="T59" s="20">
        <f t="shared" si="11"/>
        <v>49.151614751989094</v>
      </c>
    </row>
    <row r="60" spans="1:20" x14ac:dyDescent="0.25">
      <c r="A60" s="19">
        <f t="shared" si="12"/>
        <v>58</v>
      </c>
      <c r="B60" s="19">
        <v>5500</v>
      </c>
      <c r="C60" s="19">
        <v>14</v>
      </c>
      <c r="D60" s="20">
        <v>2.5</v>
      </c>
      <c r="E60" s="20">
        <f>'1-Simulation'!F60*60/(2*PI()*'1-Specification &amp; Data'!B$14)</f>
        <v>289.54349270998313</v>
      </c>
      <c r="F60" s="20">
        <f>E60*(IF('1-Simulation'!J60=1,'1-Specification &amp; Data'!H$7,IF('1-Simulation'!J60=2,'1-Specification &amp; Data'!H$8,IF('1-Simulation'!J60=3,'1-Specification &amp; Data'!H$9))))</f>
        <v>3641.6298711695595</v>
      </c>
      <c r="G60" s="20">
        <f>2*PI()*E60*'1-Simulation'!U60/(1000*60)</f>
        <v>3.7771154326649432</v>
      </c>
      <c r="H60" s="20">
        <f t="shared" si="1"/>
        <v>4.4436652148999336</v>
      </c>
      <c r="I60" s="20">
        <f t="shared" si="2"/>
        <v>92.57635864374862</v>
      </c>
      <c r="J60" s="20">
        <f>'1-Simulation'!U60/(IF('1-Simulation'!J60=1,'1-Specification &amp; Data'!H$7,IF('1-Simulation'!J60=2,'1-Specification &amp; Data'!H$8,IF('1-Simulation'!J60=3,'1-Specification &amp; Data'!H$9)))*0.8)</f>
        <v>12.38071851761754</v>
      </c>
      <c r="K60" s="20">
        <f t="shared" si="0"/>
        <v>5.2094551171159829</v>
      </c>
      <c r="L60" s="20">
        <f t="shared" si="3"/>
        <v>5.4836369653852453</v>
      </c>
      <c r="M60" s="20">
        <f t="shared" si="4"/>
        <v>0</v>
      </c>
      <c r="N60" s="20">
        <f t="shared" si="5"/>
        <v>0</v>
      </c>
      <c r="O60" s="20">
        <f t="shared" si="6"/>
        <v>0</v>
      </c>
      <c r="P60" s="20">
        <f t="shared" si="7"/>
        <v>0</v>
      </c>
      <c r="Q60" s="20">
        <f t="shared" si="8"/>
        <v>2.7094551171159829</v>
      </c>
      <c r="R60" s="20">
        <f t="shared" si="9"/>
        <v>56.446981606582973</v>
      </c>
      <c r="S60" s="20">
        <f t="shared" si="10"/>
        <v>0.58906675060244795</v>
      </c>
      <c r="T60" s="20">
        <f t="shared" si="11"/>
        <v>49.088895883537333</v>
      </c>
    </row>
    <row r="61" spans="1:20" x14ac:dyDescent="0.25">
      <c r="A61" s="19">
        <f t="shared" si="12"/>
        <v>59</v>
      </c>
      <c r="B61" s="19">
        <v>5500</v>
      </c>
      <c r="C61" s="19">
        <v>14</v>
      </c>
      <c r="D61" s="20">
        <v>2.5</v>
      </c>
      <c r="E61" s="20">
        <f>'1-Simulation'!F61*60/(2*PI()*'1-Specification &amp; Data'!B$14)</f>
        <v>286.64805778288331</v>
      </c>
      <c r="F61" s="20">
        <f>E61*(IF('1-Simulation'!J61=1,'1-Specification &amp; Data'!H$7,IF('1-Simulation'!J61=2,'1-Specification &amp; Data'!H$8,IF('1-Simulation'!J61=3,'1-Specification &amp; Data'!H$9))))</f>
        <v>3605.2135724578643</v>
      </c>
      <c r="G61" s="20">
        <f>2*PI()*E61*'1-Simulation'!U61/(1000*60)</f>
        <v>6.9966389337009733</v>
      </c>
      <c r="H61" s="20">
        <f t="shared" si="1"/>
        <v>8.2313399220011458</v>
      </c>
      <c r="I61" s="20">
        <f t="shared" si="2"/>
        <v>171.48624837502385</v>
      </c>
      <c r="J61" s="20">
        <f>'1-Simulation'!U61/(IF('1-Simulation'!J61=1,'1-Specification &amp; Data'!H$7,IF('1-Simulation'!J61=2,'1-Specification &amp; Data'!H$8,IF('1-Simulation'!J61=3,'1-Specification &amp; Data'!H$9)))*0.8)</f>
        <v>23.16540301179478</v>
      </c>
      <c r="K61" s="20">
        <f t="shared" si="0"/>
        <v>9.6498709519356929</v>
      </c>
      <c r="L61" s="20">
        <f t="shared" si="3"/>
        <v>10.157758896774414</v>
      </c>
      <c r="M61" s="20">
        <f t="shared" si="4"/>
        <v>0</v>
      </c>
      <c r="N61" s="20">
        <f t="shared" si="5"/>
        <v>0</v>
      </c>
      <c r="O61" s="20">
        <f t="shared" si="6"/>
        <v>0</v>
      </c>
      <c r="P61" s="20">
        <f t="shared" si="7"/>
        <v>0</v>
      </c>
      <c r="Q61" s="20">
        <f t="shared" si="8"/>
        <v>7.1498709519356929</v>
      </c>
      <c r="R61" s="20">
        <f t="shared" si="9"/>
        <v>148.9556448319936</v>
      </c>
      <c r="S61" s="20">
        <f t="shared" si="10"/>
        <v>0.58708067533802133</v>
      </c>
      <c r="T61" s="20">
        <f t="shared" si="11"/>
        <v>48.923389611501783</v>
      </c>
    </row>
    <row r="62" spans="1:20" x14ac:dyDescent="0.25">
      <c r="A62" s="19">
        <f t="shared" si="12"/>
        <v>60</v>
      </c>
      <c r="B62" s="19">
        <v>5500</v>
      </c>
      <c r="C62" s="19">
        <v>14</v>
      </c>
      <c r="D62" s="20">
        <v>2.5</v>
      </c>
      <c r="E62" s="20">
        <f>'1-Simulation'!F62*60/(2*PI()*'1-Specification &amp; Data'!B$14)</f>
        <v>275.066318074484</v>
      </c>
      <c r="F62" s="20">
        <f>E62*(IF('1-Simulation'!J62=1,'1-Specification &amp; Data'!H$7,IF('1-Simulation'!J62=2,'1-Specification &amp; Data'!H$8,IF('1-Simulation'!J62=3,'1-Specification &amp; Data'!H$9))))</f>
        <v>3459.5483776110818</v>
      </c>
      <c r="G62" s="20">
        <f>2*PI()*E62*'1-Simulation'!U62/(1000*60)</f>
        <v>5.2463901840464109</v>
      </c>
      <c r="H62" s="20">
        <f t="shared" si="1"/>
        <v>6.1722237459369538</v>
      </c>
      <c r="I62" s="20">
        <f t="shared" si="2"/>
        <v>128.58799470701987</v>
      </c>
      <c r="J62" s="20">
        <f>'1-Simulation'!U62/(IF('1-Simulation'!J62=1,'1-Specification &amp; Data'!H$7,IF('1-Simulation'!J62=2,'1-Specification &amp; Data'!H$8,IF('1-Simulation'!J62=3,'1-Specification &amp; Data'!H$9)))*0.8)</f>
        <v>18.10183382425415</v>
      </c>
      <c r="K62" s="20">
        <f t="shared" si="0"/>
        <v>7.2359012261863471</v>
      </c>
      <c r="L62" s="20">
        <f t="shared" si="3"/>
        <v>7.6167381328277344</v>
      </c>
      <c r="M62" s="20">
        <f t="shared" si="4"/>
        <v>0</v>
      </c>
      <c r="N62" s="20">
        <f t="shared" si="5"/>
        <v>0</v>
      </c>
      <c r="O62" s="20">
        <f t="shared" si="6"/>
        <v>0</v>
      </c>
      <c r="P62" s="20">
        <f t="shared" si="7"/>
        <v>0</v>
      </c>
      <c r="Q62" s="20">
        <f t="shared" si="8"/>
        <v>4.7359012261863471</v>
      </c>
      <c r="R62" s="20">
        <f t="shared" si="9"/>
        <v>98.664608878882234</v>
      </c>
      <c r="S62" s="20">
        <f t="shared" si="10"/>
        <v>0.58576514721963624</v>
      </c>
      <c r="T62" s="20">
        <f t="shared" si="11"/>
        <v>48.813762268303023</v>
      </c>
    </row>
    <row r="63" spans="1:20" x14ac:dyDescent="0.25">
      <c r="A63" s="19">
        <f t="shared" si="12"/>
        <v>61</v>
      </c>
      <c r="B63" s="19">
        <v>5500</v>
      </c>
      <c r="C63" s="19">
        <v>14</v>
      </c>
      <c r="D63" s="20">
        <v>2.5</v>
      </c>
      <c r="E63" s="20">
        <f>'1-Simulation'!F63*60/(2*PI()*'1-Specification &amp; Data'!B$14)</f>
        <v>260.58914343898482</v>
      </c>
      <c r="F63" s="20">
        <f>E63*(IF('1-Simulation'!J63=1,'1-Specification &amp; Data'!H$7,IF('1-Simulation'!J63=2,'1-Specification &amp; Data'!H$8,IF('1-Simulation'!J63=3,'1-Specification &amp; Data'!H$9))))</f>
        <v>3277.4668840526037</v>
      </c>
      <c r="G63" s="20">
        <f>2*PI()*E63*'1-Simulation'!U63/(1000*60)</f>
        <v>4.4886905550973788</v>
      </c>
      <c r="H63" s="20">
        <f t="shared" si="1"/>
        <v>5.2808124177616227</v>
      </c>
      <c r="I63" s="20">
        <f t="shared" si="2"/>
        <v>110.0169253700338</v>
      </c>
      <c r="J63" s="20">
        <f>'1-Simulation'!U63/(IF('1-Simulation'!J63=1,'1-Specification &amp; Data'!H$7,IF('1-Simulation'!J63=2,'1-Specification &amp; Data'!H$8,IF('1-Simulation'!J63=3,'1-Specification &amp; Data'!H$9)))*0.8)</f>
        <v>16.347929249790671</v>
      </c>
      <c r="K63" s="20">
        <f t="shared" si="0"/>
        <v>6.1908703607990887</v>
      </c>
      <c r="L63" s="20">
        <f t="shared" si="3"/>
        <v>6.5167056429464099</v>
      </c>
      <c r="M63" s="20">
        <f t="shared" si="4"/>
        <v>0</v>
      </c>
      <c r="N63" s="20">
        <f t="shared" si="5"/>
        <v>0</v>
      </c>
      <c r="O63" s="20">
        <f t="shared" si="6"/>
        <v>0</v>
      </c>
      <c r="P63" s="20">
        <f t="shared" si="7"/>
        <v>0</v>
      </c>
      <c r="Q63" s="20">
        <f t="shared" si="8"/>
        <v>3.6908703607990887</v>
      </c>
      <c r="R63" s="20">
        <f t="shared" si="9"/>
        <v>76.893132516647682</v>
      </c>
      <c r="S63" s="20">
        <f t="shared" si="10"/>
        <v>0.58473990545274757</v>
      </c>
      <c r="T63" s="20">
        <f t="shared" si="11"/>
        <v>48.728325454395637</v>
      </c>
    </row>
    <row r="64" spans="1:20" x14ac:dyDescent="0.25">
      <c r="A64" s="19">
        <f t="shared" si="12"/>
        <v>62</v>
      </c>
      <c r="B64" s="19">
        <v>5500</v>
      </c>
      <c r="C64" s="19">
        <v>14</v>
      </c>
      <c r="D64" s="20">
        <v>2.5</v>
      </c>
      <c r="E64" s="20">
        <f>'1-Simulation'!F64*60/(2*PI()*'1-Specification &amp; Data'!B$14)</f>
        <v>238.8733814857361</v>
      </c>
      <c r="F64" s="20">
        <f>E64*(IF('1-Simulation'!J64=1,'1-Specification &amp; Data'!H$7,IF('1-Simulation'!J64=2,'1-Specification &amp; Data'!H$8,IF('1-Simulation'!J64=3,'1-Specification &amp; Data'!H$9))))</f>
        <v>3004.3446437148868</v>
      </c>
      <c r="G64" s="20">
        <f>2*PI()*E64*'1-Simulation'!U64/(1000*60)</f>
        <v>3.0364422033615575</v>
      </c>
      <c r="H64" s="20">
        <f t="shared" si="1"/>
        <v>3.5722849451312442</v>
      </c>
      <c r="I64" s="20">
        <f t="shared" si="2"/>
        <v>74.422603023567589</v>
      </c>
      <c r="J64" s="20">
        <f>'1-Simulation'!U64/(IF('1-Simulation'!J64=1,'1-Specification &amp; Data'!H$7,IF('1-Simulation'!J64=2,'1-Specification &amp; Data'!H$8,IF('1-Simulation'!J64=3,'1-Specification &amp; Data'!H$9)))*0.8)</f>
        <v>12.064148176762071</v>
      </c>
      <c r="K64" s="20">
        <f t="shared" si="0"/>
        <v>4.1879073213730882</v>
      </c>
      <c r="L64" s="20">
        <f t="shared" si="3"/>
        <v>4.4083234961821987</v>
      </c>
      <c r="M64" s="20">
        <f t="shared" si="4"/>
        <v>0</v>
      </c>
      <c r="N64" s="20">
        <f t="shared" si="5"/>
        <v>0</v>
      </c>
      <c r="O64" s="20">
        <f t="shared" si="6"/>
        <v>0</v>
      </c>
      <c r="P64" s="20">
        <f t="shared" si="7"/>
        <v>0</v>
      </c>
      <c r="Q64" s="20">
        <f t="shared" si="8"/>
        <v>1.6879073213730882</v>
      </c>
      <c r="R64" s="20">
        <f t="shared" si="9"/>
        <v>35.164735861939342</v>
      </c>
      <c r="S64" s="20">
        <f t="shared" si="10"/>
        <v>0.58427104230792171</v>
      </c>
      <c r="T64" s="20">
        <f t="shared" si="11"/>
        <v>48.689253525660142</v>
      </c>
    </row>
    <row r="65" spans="1:20" x14ac:dyDescent="0.25">
      <c r="A65" s="19">
        <f t="shared" si="12"/>
        <v>63</v>
      </c>
      <c r="B65" s="19">
        <v>5500</v>
      </c>
      <c r="C65" s="19">
        <v>14</v>
      </c>
      <c r="D65" s="20">
        <v>2.5</v>
      </c>
      <c r="E65" s="20">
        <f>'1-Simulation'!F65*60/(2*PI()*'1-Specification &amp; Data'!B$14)</f>
        <v>231.63479416798654</v>
      </c>
      <c r="F65" s="20">
        <f>E65*(IF('1-Simulation'!J65=1,'1-Specification &amp; Data'!H$7,IF('1-Simulation'!J65=2,'1-Specification &amp; Data'!H$8,IF('1-Simulation'!J65=3,'1-Specification &amp; Data'!H$9))))</f>
        <v>2913.303896935648</v>
      </c>
      <c r="G65" s="20">
        <f>2*PI()*E65*'1-Simulation'!U65/(1000*60)</f>
        <v>-0.3848450336811764</v>
      </c>
      <c r="H65" s="20">
        <f t="shared" si="1"/>
        <v>0</v>
      </c>
      <c r="I65" s="20">
        <f t="shared" si="2"/>
        <v>0</v>
      </c>
      <c r="J65" s="20">
        <f>'1-Simulation'!U65/(IF('1-Simulation'!J65=1,'1-Specification &amp; Data'!H$7,IF('1-Simulation'!J65=2,'1-Specification &amp; Data'!H$8,IF('1-Simulation'!J65=3,'1-Specification &amp; Data'!H$9)))*0.8)</f>
        <v>-1.5768177197155389</v>
      </c>
      <c r="K65" s="20">
        <f t="shared" si="0"/>
        <v>0</v>
      </c>
      <c r="L65" s="20">
        <f t="shared" si="3"/>
        <v>0</v>
      </c>
      <c r="M65" s="20">
        <f t="shared" si="4"/>
        <v>0.14618261635372748</v>
      </c>
      <c r="N65" s="20">
        <f t="shared" si="5"/>
        <v>2.5</v>
      </c>
      <c r="O65" s="20">
        <f t="shared" si="6"/>
        <v>2.6461826163537276</v>
      </c>
      <c r="P65" s="20">
        <f t="shared" si="7"/>
        <v>46.587722118903656</v>
      </c>
      <c r="Q65" s="20">
        <f t="shared" si="8"/>
        <v>0</v>
      </c>
      <c r="R65" s="20">
        <f t="shared" si="9"/>
        <v>0</v>
      </c>
      <c r="S65" s="20">
        <f t="shared" si="10"/>
        <v>0.58500609303468665</v>
      </c>
      <c r="T65" s="20">
        <f t="shared" si="11"/>
        <v>48.750507752890556</v>
      </c>
    </row>
    <row r="66" spans="1:20" x14ac:dyDescent="0.25">
      <c r="A66" s="19">
        <f t="shared" si="12"/>
        <v>64</v>
      </c>
      <c r="B66" s="19">
        <v>5500</v>
      </c>
      <c r="C66" s="19">
        <v>14</v>
      </c>
      <c r="D66" s="20">
        <v>2.5</v>
      </c>
      <c r="E66" s="20">
        <f>'1-Simulation'!F66*60/(2*PI()*'1-Specification &amp; Data'!B$14)</f>
        <v>224.39620685023692</v>
      </c>
      <c r="F66" s="20">
        <f>E66*(IF('1-Simulation'!J66=1,'1-Specification &amp; Data'!H$7,IF('1-Simulation'!J66=2,'1-Specification &amp; Data'!H$8,IF('1-Simulation'!J66=3,'1-Specification &amp; Data'!H$9))))</f>
        <v>2822.2631501564088</v>
      </c>
      <c r="G66" s="20">
        <f>2*PI()*E66*'1-Simulation'!U66/(1000*60)</f>
        <v>-0.38204659232957261</v>
      </c>
      <c r="H66" s="20">
        <f t="shared" si="1"/>
        <v>0</v>
      </c>
      <c r="I66" s="20">
        <f t="shared" si="2"/>
        <v>0</v>
      </c>
      <c r="J66" s="20">
        <f>'1-Simulation'!U66/(IF('1-Simulation'!J66=1,'1-Specification &amp; Data'!H$7,IF('1-Simulation'!J66=2,'1-Specification &amp; Data'!H$8,IF('1-Simulation'!J66=3,'1-Specification &amp; Data'!H$9)))*0.8)</f>
        <v>-1.6158469398210411</v>
      </c>
      <c r="K66" s="20">
        <f t="shared" ref="K66:K129" si="13">H66/0.853</f>
        <v>0</v>
      </c>
      <c r="L66" s="20">
        <f t="shared" si="3"/>
        <v>0</v>
      </c>
      <c r="M66" s="20">
        <f t="shared" si="4"/>
        <v>0.14511963400320346</v>
      </c>
      <c r="N66" s="20">
        <f t="shared" si="5"/>
        <v>2.5</v>
      </c>
      <c r="O66" s="20">
        <f t="shared" si="6"/>
        <v>2.6451196340032035</v>
      </c>
      <c r="P66" s="20">
        <f t="shared" si="7"/>
        <v>46.569007640901468</v>
      </c>
      <c r="Q66" s="20">
        <f t="shared" si="8"/>
        <v>0</v>
      </c>
      <c r="R66" s="20">
        <f t="shared" si="9"/>
        <v>0</v>
      </c>
      <c r="S66" s="20">
        <f t="shared" si="10"/>
        <v>0.58574084848857644</v>
      </c>
      <c r="T66" s="20">
        <f t="shared" si="11"/>
        <v>48.811737374048036</v>
      </c>
    </row>
    <row r="67" spans="1:20" x14ac:dyDescent="0.25">
      <c r="A67" s="19">
        <f t="shared" si="12"/>
        <v>65</v>
      </c>
      <c r="B67" s="19">
        <v>5500</v>
      </c>
      <c r="C67" s="19">
        <v>14</v>
      </c>
      <c r="D67" s="20">
        <v>2.5</v>
      </c>
      <c r="E67" s="20">
        <f>'1-Simulation'!F67*60/(2*PI()*'1-Specification &amp; Data'!B$14)</f>
        <v>217.15761953248733</v>
      </c>
      <c r="F67" s="20">
        <f>E67*(IF('1-Simulation'!J67=1,'1-Specification &amp; Data'!H$7,IF('1-Simulation'!J67=2,'1-Specification &amp; Data'!H$8,IF('1-Simulation'!J67=3,'1-Specification &amp; Data'!H$9))))</f>
        <v>2731.2224033771695</v>
      </c>
      <c r="G67" s="20">
        <f>2*PI()*E67*'1-Simulation'!U67/(1000*60)</f>
        <v>-0.37836929707787259</v>
      </c>
      <c r="H67" s="20">
        <f t="shared" ref="H67:H130" si="14">IF(G67&gt;0,G67/0.85,0)</f>
        <v>0</v>
      </c>
      <c r="I67" s="20">
        <f t="shared" ref="I67:I130" si="15">(H67*1000)/48</f>
        <v>0</v>
      </c>
      <c r="J67" s="20">
        <f>'1-Simulation'!U67/(IF('1-Simulation'!J67=1,'1-Specification &amp; Data'!H$7,IF('1-Simulation'!J67=2,'1-Specification &amp; Data'!H$8,IF('1-Simulation'!J67=3,'1-Specification &amp; Data'!H$9)))*0.8)</f>
        <v>-1.6536371370660188</v>
      </c>
      <c r="K67" s="20">
        <f t="shared" si="13"/>
        <v>0</v>
      </c>
      <c r="L67" s="20">
        <f t="shared" ref="L67:L130" si="16">K67/0.95</f>
        <v>0</v>
      </c>
      <c r="M67" s="20">
        <f t="shared" ref="M67:M130" si="17">IF(G67&lt;0,-G67*0.6*0.8*0.85*0.95*0.98,0)</f>
        <v>0.14372282075643572</v>
      </c>
      <c r="N67" s="20">
        <f t="shared" ref="N67:N130" si="18">IF(L67&lt;D67,D67-L67,0)</f>
        <v>2.5</v>
      </c>
      <c r="O67" s="20">
        <f t="shared" ref="O67:O130" si="19">M67+(IF(L67&lt;D67,D67-K67,0))</f>
        <v>2.6437228207564356</v>
      </c>
      <c r="P67" s="20">
        <f t="shared" ref="P67:P130" si="20">(O67*1000)/56.8</f>
        <v>46.544415858387957</v>
      </c>
      <c r="Q67" s="20">
        <f t="shared" ref="Q67:Q130" si="21">IF(L67&gt;D67,K67-D67,0)</f>
        <v>0</v>
      </c>
      <c r="R67" s="20">
        <f t="shared" ref="R67:R130" si="22">(Q67*1000)/48</f>
        <v>0</v>
      </c>
      <c r="S67" s="20">
        <f t="shared" ref="S67:S130" si="23">S66+IF(O67&gt;0,O67/3600,-Q67/3600)</f>
        <v>0.5864752159387866</v>
      </c>
      <c r="T67" s="20">
        <f t="shared" ref="T67:T130" si="24">(100*S67)/1.2</f>
        <v>48.872934661565552</v>
      </c>
    </row>
    <row r="68" spans="1:20" x14ac:dyDescent="0.25">
      <c r="A68" s="19">
        <f t="shared" ref="A68:A131" si="25">1+A67</f>
        <v>66</v>
      </c>
      <c r="B68" s="19">
        <v>5500</v>
      </c>
      <c r="C68" s="19">
        <v>14</v>
      </c>
      <c r="D68" s="20">
        <v>2.5</v>
      </c>
      <c r="E68" s="20">
        <f>'1-Simulation'!F68*60/(2*PI()*'1-Specification &amp; Data'!B$14)</f>
        <v>217.15761953248733</v>
      </c>
      <c r="F68" s="20">
        <f>E68*(IF('1-Simulation'!J68=1,'1-Specification &amp; Data'!H$7,IF('1-Simulation'!J68=2,'1-Specification &amp; Data'!H$8,IF('1-Simulation'!J68=3,'1-Specification &amp; Data'!H$9))))</f>
        <v>2731.2224033771695</v>
      </c>
      <c r="G68" s="20">
        <f>2*PI()*E68*'1-Simulation'!U68/(1000*60)</f>
        <v>0.57246178223470334</v>
      </c>
      <c r="H68" s="20">
        <f t="shared" si="14"/>
        <v>0.67348444968788634</v>
      </c>
      <c r="I68" s="20">
        <f t="shared" si="15"/>
        <v>14.030926035164299</v>
      </c>
      <c r="J68" s="20">
        <f>'1-Simulation'!U68/(IF('1-Simulation'!J68=1,'1-Specification &amp; Data'!H$7,IF('1-Simulation'!J68=2,'1-Specification &amp; Data'!H$8,IF('1-Simulation'!J68=3,'1-Specification &amp; Data'!H$9)))*0.8)</f>
        <v>2.5019050699017882</v>
      </c>
      <c r="K68" s="20">
        <f t="shared" si="13"/>
        <v>0.78954800666809655</v>
      </c>
      <c r="L68" s="20">
        <f t="shared" si="16"/>
        <v>0.83110316491378589</v>
      </c>
      <c r="M68" s="20">
        <f t="shared" si="17"/>
        <v>0</v>
      </c>
      <c r="N68" s="20">
        <f t="shared" si="18"/>
        <v>1.6688968350862141</v>
      </c>
      <c r="O68" s="20">
        <f t="shared" si="19"/>
        <v>1.7104519933319033</v>
      </c>
      <c r="P68" s="20">
        <f t="shared" si="20"/>
        <v>30.11359143189971</v>
      </c>
      <c r="Q68" s="20">
        <f t="shared" si="21"/>
        <v>0</v>
      </c>
      <c r="R68" s="20">
        <f t="shared" si="22"/>
        <v>0</v>
      </c>
      <c r="S68" s="20">
        <f t="shared" si="23"/>
        <v>0.58695034149248992</v>
      </c>
      <c r="T68" s="20">
        <f t="shared" si="24"/>
        <v>48.912528457707495</v>
      </c>
    </row>
    <row r="69" spans="1:20" x14ac:dyDescent="0.25">
      <c r="A69" s="19">
        <f t="shared" si="25"/>
        <v>67</v>
      </c>
      <c r="B69" s="19">
        <v>5500</v>
      </c>
      <c r="C69" s="19">
        <v>14</v>
      </c>
      <c r="D69" s="20">
        <v>2.5</v>
      </c>
      <c r="E69" s="20">
        <f>'1-Simulation'!F69*60/(2*PI()*'1-Specification &amp; Data'!B$14)</f>
        <v>217.15761953248733</v>
      </c>
      <c r="F69" s="20">
        <f>E69*(IF('1-Simulation'!J69=1,'1-Specification &amp; Data'!H$7,IF('1-Simulation'!J69=2,'1-Specification &amp; Data'!H$8,IF('1-Simulation'!J69=3,'1-Specification &amp; Data'!H$9))))</f>
        <v>2731.2224033771695</v>
      </c>
      <c r="G69" s="20">
        <f>2*PI()*E69*'1-Simulation'!U69/(1000*60)</f>
        <v>0.57246178223470334</v>
      </c>
      <c r="H69" s="20">
        <f t="shared" si="14"/>
        <v>0.67348444968788634</v>
      </c>
      <c r="I69" s="20">
        <f t="shared" si="15"/>
        <v>14.030926035164299</v>
      </c>
      <c r="J69" s="20">
        <f>'1-Simulation'!U69/(IF('1-Simulation'!J69=1,'1-Specification &amp; Data'!H$7,IF('1-Simulation'!J69=2,'1-Specification &amp; Data'!H$8,IF('1-Simulation'!J69=3,'1-Specification &amp; Data'!H$9)))*0.8)</f>
        <v>2.5019050699017882</v>
      </c>
      <c r="K69" s="20">
        <f t="shared" si="13"/>
        <v>0.78954800666809655</v>
      </c>
      <c r="L69" s="20">
        <f t="shared" si="16"/>
        <v>0.83110316491378589</v>
      </c>
      <c r="M69" s="20">
        <f t="shared" si="17"/>
        <v>0</v>
      </c>
      <c r="N69" s="20">
        <f t="shared" si="18"/>
        <v>1.6688968350862141</v>
      </c>
      <c r="O69" s="20">
        <f t="shared" si="19"/>
        <v>1.7104519933319033</v>
      </c>
      <c r="P69" s="20">
        <f t="shared" si="20"/>
        <v>30.11359143189971</v>
      </c>
      <c r="Q69" s="20">
        <f t="shared" si="21"/>
        <v>0</v>
      </c>
      <c r="R69" s="20">
        <f t="shared" si="22"/>
        <v>0</v>
      </c>
      <c r="S69" s="20">
        <f t="shared" si="23"/>
        <v>0.58742546704619325</v>
      </c>
      <c r="T69" s="20">
        <f t="shared" si="24"/>
        <v>48.952122253849438</v>
      </c>
    </row>
    <row r="70" spans="1:20" x14ac:dyDescent="0.25">
      <c r="A70" s="19">
        <f t="shared" si="25"/>
        <v>68</v>
      </c>
      <c r="B70" s="19">
        <v>5500</v>
      </c>
      <c r="C70" s="19">
        <v>14</v>
      </c>
      <c r="D70" s="20">
        <v>2.5</v>
      </c>
      <c r="E70" s="20">
        <f>'1-Simulation'!F70*60/(2*PI()*'1-Specification &amp; Data'!B$14)</f>
        <v>217.15761953248733</v>
      </c>
      <c r="F70" s="20">
        <f>E70*(IF('1-Simulation'!J70=1,'1-Specification &amp; Data'!H$7,IF('1-Simulation'!J70=2,'1-Specification &amp; Data'!H$8,IF('1-Simulation'!J70=3,'1-Specification &amp; Data'!H$9))))</f>
        <v>2731.2224033771695</v>
      </c>
      <c r="G70" s="20">
        <f>2*PI()*E70*'1-Simulation'!U70/(1000*60)</f>
        <v>0.57246178223470334</v>
      </c>
      <c r="H70" s="20">
        <f t="shared" si="14"/>
        <v>0.67348444968788634</v>
      </c>
      <c r="I70" s="20">
        <f t="shared" si="15"/>
        <v>14.030926035164299</v>
      </c>
      <c r="J70" s="20">
        <f>'1-Simulation'!U70/(IF('1-Simulation'!J70=1,'1-Specification &amp; Data'!H$7,IF('1-Simulation'!J70=2,'1-Specification &amp; Data'!H$8,IF('1-Simulation'!J70=3,'1-Specification &amp; Data'!H$9)))*0.8)</f>
        <v>2.5019050699017882</v>
      </c>
      <c r="K70" s="20">
        <f t="shared" si="13"/>
        <v>0.78954800666809655</v>
      </c>
      <c r="L70" s="20">
        <f t="shared" si="16"/>
        <v>0.83110316491378589</v>
      </c>
      <c r="M70" s="20">
        <f t="shared" si="17"/>
        <v>0</v>
      </c>
      <c r="N70" s="20">
        <f t="shared" si="18"/>
        <v>1.6688968350862141</v>
      </c>
      <c r="O70" s="20">
        <f t="shared" si="19"/>
        <v>1.7104519933319033</v>
      </c>
      <c r="P70" s="20">
        <f t="shared" si="20"/>
        <v>30.11359143189971</v>
      </c>
      <c r="Q70" s="20">
        <f t="shared" si="21"/>
        <v>0</v>
      </c>
      <c r="R70" s="20">
        <f t="shared" si="22"/>
        <v>0</v>
      </c>
      <c r="S70" s="20">
        <f t="shared" si="23"/>
        <v>0.58790059259989658</v>
      </c>
      <c r="T70" s="20">
        <f t="shared" si="24"/>
        <v>48.991716049991389</v>
      </c>
    </row>
    <row r="71" spans="1:20" x14ac:dyDescent="0.25">
      <c r="A71" s="19">
        <f t="shared" si="25"/>
        <v>69</v>
      </c>
      <c r="B71" s="19">
        <v>5500</v>
      </c>
      <c r="C71" s="19">
        <v>14</v>
      </c>
      <c r="D71" s="20">
        <v>2.5</v>
      </c>
      <c r="E71" s="20">
        <f>'1-Simulation'!F71*60/(2*PI()*'1-Specification &amp; Data'!B$14)</f>
        <v>217.15761953248733</v>
      </c>
      <c r="F71" s="20">
        <f>E71*(IF('1-Simulation'!J71=1,'1-Specification &amp; Data'!H$7,IF('1-Simulation'!J71=2,'1-Specification &amp; Data'!H$8,IF('1-Simulation'!J71=3,'1-Specification &amp; Data'!H$9))))</f>
        <v>2731.2224033771695</v>
      </c>
      <c r="G71" s="20">
        <f>2*PI()*E71*'1-Simulation'!U71/(1000*60)</f>
        <v>0.57246178223470334</v>
      </c>
      <c r="H71" s="20">
        <f t="shared" si="14"/>
        <v>0.67348444968788634</v>
      </c>
      <c r="I71" s="20">
        <f t="shared" si="15"/>
        <v>14.030926035164299</v>
      </c>
      <c r="J71" s="20">
        <f>'1-Simulation'!U71/(IF('1-Simulation'!J71=1,'1-Specification &amp; Data'!H$7,IF('1-Simulation'!J71=2,'1-Specification &amp; Data'!H$8,IF('1-Simulation'!J71=3,'1-Specification &amp; Data'!H$9)))*0.8)</f>
        <v>2.5019050699017882</v>
      </c>
      <c r="K71" s="20">
        <f t="shared" si="13"/>
        <v>0.78954800666809655</v>
      </c>
      <c r="L71" s="20">
        <f t="shared" si="16"/>
        <v>0.83110316491378589</v>
      </c>
      <c r="M71" s="20">
        <f t="shared" si="17"/>
        <v>0</v>
      </c>
      <c r="N71" s="20">
        <f t="shared" si="18"/>
        <v>1.6688968350862141</v>
      </c>
      <c r="O71" s="20">
        <f t="shared" si="19"/>
        <v>1.7104519933319033</v>
      </c>
      <c r="P71" s="20">
        <f t="shared" si="20"/>
        <v>30.11359143189971</v>
      </c>
      <c r="Q71" s="20">
        <f t="shared" si="21"/>
        <v>0</v>
      </c>
      <c r="R71" s="20">
        <f t="shared" si="22"/>
        <v>0</v>
      </c>
      <c r="S71" s="20">
        <f t="shared" si="23"/>
        <v>0.5883757181535999</v>
      </c>
      <c r="T71" s="20">
        <f t="shared" si="24"/>
        <v>49.031309846133333</v>
      </c>
    </row>
    <row r="72" spans="1:20" x14ac:dyDescent="0.25">
      <c r="A72" s="19">
        <f t="shared" si="25"/>
        <v>70</v>
      </c>
      <c r="B72" s="19">
        <v>5500</v>
      </c>
      <c r="C72" s="19">
        <v>14</v>
      </c>
      <c r="D72" s="20">
        <v>2.5</v>
      </c>
      <c r="E72" s="20">
        <f>'1-Simulation'!F72*60/(2*PI()*'1-Specification &amp; Data'!B$14)</f>
        <v>217.15761953248733</v>
      </c>
      <c r="F72" s="20">
        <f>E72*(IF('1-Simulation'!J72=1,'1-Specification &amp; Data'!H$7,IF('1-Simulation'!J72=2,'1-Specification &amp; Data'!H$8,IF('1-Simulation'!J72=3,'1-Specification &amp; Data'!H$9))))</f>
        <v>2731.2224033771695</v>
      </c>
      <c r="G72" s="20">
        <f>2*PI()*E72*'1-Simulation'!U72/(1000*60)</f>
        <v>0.57246178223470334</v>
      </c>
      <c r="H72" s="20">
        <f t="shared" si="14"/>
        <v>0.67348444968788634</v>
      </c>
      <c r="I72" s="20">
        <f t="shared" si="15"/>
        <v>14.030926035164299</v>
      </c>
      <c r="J72" s="20">
        <f>'1-Simulation'!U72/(IF('1-Simulation'!J72=1,'1-Specification &amp; Data'!H$7,IF('1-Simulation'!J72=2,'1-Specification &amp; Data'!H$8,IF('1-Simulation'!J72=3,'1-Specification &amp; Data'!H$9)))*0.8)</f>
        <v>2.5019050699017882</v>
      </c>
      <c r="K72" s="20">
        <f t="shared" si="13"/>
        <v>0.78954800666809655</v>
      </c>
      <c r="L72" s="20">
        <f t="shared" si="16"/>
        <v>0.83110316491378589</v>
      </c>
      <c r="M72" s="20">
        <f t="shared" si="17"/>
        <v>0</v>
      </c>
      <c r="N72" s="20">
        <f t="shared" si="18"/>
        <v>1.6688968350862141</v>
      </c>
      <c r="O72" s="20">
        <f t="shared" si="19"/>
        <v>1.7104519933319033</v>
      </c>
      <c r="P72" s="20">
        <f t="shared" si="20"/>
        <v>30.11359143189971</v>
      </c>
      <c r="Q72" s="20">
        <f t="shared" si="21"/>
        <v>0</v>
      </c>
      <c r="R72" s="20">
        <f t="shared" si="22"/>
        <v>0</v>
      </c>
      <c r="S72" s="20">
        <f t="shared" si="23"/>
        <v>0.58885084370730323</v>
      </c>
      <c r="T72" s="20">
        <f t="shared" si="24"/>
        <v>49.070903642275276</v>
      </c>
    </row>
    <row r="73" spans="1:20" x14ac:dyDescent="0.25">
      <c r="A73" s="19">
        <f t="shared" si="25"/>
        <v>71</v>
      </c>
      <c r="B73" s="19">
        <v>5500</v>
      </c>
      <c r="C73" s="19">
        <v>14</v>
      </c>
      <c r="D73" s="20">
        <v>2.5</v>
      </c>
      <c r="E73" s="20">
        <f>'1-Simulation'!F73*60/(2*PI()*'1-Specification &amp; Data'!B$14)</f>
        <v>217.15761953248733</v>
      </c>
      <c r="F73" s="20">
        <f>E73*(IF('1-Simulation'!J73=1,'1-Specification &amp; Data'!H$7,IF('1-Simulation'!J73=2,'1-Specification &amp; Data'!H$8,IF('1-Simulation'!J73=3,'1-Specification &amp; Data'!H$9))))</f>
        <v>2731.2224033771695</v>
      </c>
      <c r="G73" s="20">
        <f>2*PI()*E73*'1-Simulation'!U73/(1000*60)</f>
        <v>0.57246178223470334</v>
      </c>
      <c r="H73" s="20">
        <f t="shared" si="14"/>
        <v>0.67348444968788634</v>
      </c>
      <c r="I73" s="20">
        <f t="shared" si="15"/>
        <v>14.030926035164299</v>
      </c>
      <c r="J73" s="20">
        <f>'1-Simulation'!U73/(IF('1-Simulation'!J73=1,'1-Specification &amp; Data'!H$7,IF('1-Simulation'!J73=2,'1-Specification &amp; Data'!H$8,IF('1-Simulation'!J73=3,'1-Specification &amp; Data'!H$9)))*0.8)</f>
        <v>2.5019050699017882</v>
      </c>
      <c r="K73" s="20">
        <f t="shared" si="13"/>
        <v>0.78954800666809655</v>
      </c>
      <c r="L73" s="20">
        <f t="shared" si="16"/>
        <v>0.83110316491378589</v>
      </c>
      <c r="M73" s="20">
        <f t="shared" si="17"/>
        <v>0</v>
      </c>
      <c r="N73" s="20">
        <f t="shared" si="18"/>
        <v>1.6688968350862141</v>
      </c>
      <c r="O73" s="20">
        <f t="shared" si="19"/>
        <v>1.7104519933319033</v>
      </c>
      <c r="P73" s="20">
        <f t="shared" si="20"/>
        <v>30.11359143189971</v>
      </c>
      <c r="Q73" s="20">
        <f t="shared" si="21"/>
        <v>0</v>
      </c>
      <c r="R73" s="20">
        <f t="shared" si="22"/>
        <v>0</v>
      </c>
      <c r="S73" s="20">
        <f t="shared" si="23"/>
        <v>0.58932596926100655</v>
      </c>
      <c r="T73" s="20">
        <f t="shared" si="24"/>
        <v>49.110497438417219</v>
      </c>
    </row>
    <row r="74" spans="1:20" x14ac:dyDescent="0.25">
      <c r="A74" s="19">
        <f t="shared" si="25"/>
        <v>72</v>
      </c>
      <c r="B74" s="19">
        <v>5500</v>
      </c>
      <c r="C74" s="19">
        <v>14</v>
      </c>
      <c r="D74" s="20">
        <v>2.5</v>
      </c>
      <c r="E74" s="20">
        <f>'1-Simulation'!F74*60/(2*PI()*'1-Specification &amp; Data'!B$14)</f>
        <v>217.15761953248733</v>
      </c>
      <c r="F74" s="20">
        <f>E74*(IF('1-Simulation'!J74=1,'1-Specification &amp; Data'!H$7,IF('1-Simulation'!J74=2,'1-Specification &amp; Data'!H$8,IF('1-Simulation'!J74=3,'1-Specification &amp; Data'!H$9))))</f>
        <v>2731.2224033771695</v>
      </c>
      <c r="G74" s="20">
        <f>2*PI()*E74*'1-Simulation'!U74/(1000*60)</f>
        <v>0.57246178223470334</v>
      </c>
      <c r="H74" s="20">
        <f t="shared" si="14"/>
        <v>0.67348444968788634</v>
      </c>
      <c r="I74" s="20">
        <f t="shared" si="15"/>
        <v>14.030926035164299</v>
      </c>
      <c r="J74" s="20">
        <f>'1-Simulation'!U74/(IF('1-Simulation'!J74=1,'1-Specification &amp; Data'!H$7,IF('1-Simulation'!J74=2,'1-Specification &amp; Data'!H$8,IF('1-Simulation'!J74=3,'1-Specification &amp; Data'!H$9)))*0.8)</f>
        <v>2.5019050699017882</v>
      </c>
      <c r="K74" s="20">
        <f t="shared" si="13"/>
        <v>0.78954800666809655</v>
      </c>
      <c r="L74" s="20">
        <f t="shared" si="16"/>
        <v>0.83110316491378589</v>
      </c>
      <c r="M74" s="20">
        <f t="shared" si="17"/>
        <v>0</v>
      </c>
      <c r="N74" s="20">
        <f t="shared" si="18"/>
        <v>1.6688968350862141</v>
      </c>
      <c r="O74" s="20">
        <f t="shared" si="19"/>
        <v>1.7104519933319033</v>
      </c>
      <c r="P74" s="20">
        <f t="shared" si="20"/>
        <v>30.11359143189971</v>
      </c>
      <c r="Q74" s="20">
        <f t="shared" si="21"/>
        <v>0</v>
      </c>
      <c r="R74" s="20">
        <f t="shared" si="22"/>
        <v>0</v>
      </c>
      <c r="S74" s="20">
        <f t="shared" si="23"/>
        <v>0.58980109481470988</v>
      </c>
      <c r="T74" s="20">
        <f t="shared" si="24"/>
        <v>49.150091234559163</v>
      </c>
    </row>
    <row r="75" spans="1:20" x14ac:dyDescent="0.25">
      <c r="A75" s="19">
        <f t="shared" si="25"/>
        <v>73</v>
      </c>
      <c r="B75" s="19">
        <v>5500</v>
      </c>
      <c r="C75" s="19">
        <v>14</v>
      </c>
      <c r="D75" s="20">
        <v>2.5</v>
      </c>
      <c r="E75" s="20">
        <f>'1-Simulation'!F75*60/(2*PI()*'1-Specification &amp; Data'!B$14)</f>
        <v>217.15761953248733</v>
      </c>
      <c r="F75" s="20">
        <f>E75*(IF('1-Simulation'!J75=1,'1-Specification &amp; Data'!H$7,IF('1-Simulation'!J75=2,'1-Specification &amp; Data'!H$8,IF('1-Simulation'!J75=3,'1-Specification &amp; Data'!H$9))))</f>
        <v>2731.2224033771695</v>
      </c>
      <c r="G75" s="20">
        <f>2*PI()*E75*'1-Simulation'!U75/(1000*60)</f>
        <v>0.57246178223470334</v>
      </c>
      <c r="H75" s="20">
        <f t="shared" si="14"/>
        <v>0.67348444968788634</v>
      </c>
      <c r="I75" s="20">
        <f t="shared" si="15"/>
        <v>14.030926035164299</v>
      </c>
      <c r="J75" s="20">
        <f>'1-Simulation'!U75/(IF('1-Simulation'!J75=1,'1-Specification &amp; Data'!H$7,IF('1-Simulation'!J75=2,'1-Specification &amp; Data'!H$8,IF('1-Simulation'!J75=3,'1-Specification &amp; Data'!H$9)))*0.8)</f>
        <v>2.5019050699017882</v>
      </c>
      <c r="K75" s="20">
        <f t="shared" si="13"/>
        <v>0.78954800666809655</v>
      </c>
      <c r="L75" s="20">
        <f t="shared" si="16"/>
        <v>0.83110316491378589</v>
      </c>
      <c r="M75" s="20">
        <f t="shared" si="17"/>
        <v>0</v>
      </c>
      <c r="N75" s="20">
        <f t="shared" si="18"/>
        <v>1.6688968350862141</v>
      </c>
      <c r="O75" s="20">
        <f t="shared" si="19"/>
        <v>1.7104519933319033</v>
      </c>
      <c r="P75" s="20">
        <f t="shared" si="20"/>
        <v>30.11359143189971</v>
      </c>
      <c r="Q75" s="20">
        <f t="shared" si="21"/>
        <v>0</v>
      </c>
      <c r="R75" s="20">
        <f t="shared" si="22"/>
        <v>0</v>
      </c>
      <c r="S75" s="20">
        <f t="shared" si="23"/>
        <v>0.59027622036841321</v>
      </c>
      <c r="T75" s="20">
        <f t="shared" si="24"/>
        <v>49.189685030701106</v>
      </c>
    </row>
    <row r="76" spans="1:20" x14ac:dyDescent="0.25">
      <c r="A76" s="19">
        <f t="shared" si="25"/>
        <v>74</v>
      </c>
      <c r="B76" s="19">
        <v>5500</v>
      </c>
      <c r="C76" s="19">
        <v>14</v>
      </c>
      <c r="D76" s="20">
        <v>2.5</v>
      </c>
      <c r="E76" s="20">
        <f>'1-Simulation'!F76*60/(2*PI()*'1-Specification &amp; Data'!B$14)</f>
        <v>217.15761953248733</v>
      </c>
      <c r="F76" s="20">
        <f>E76*(IF('1-Simulation'!J76=1,'1-Specification &amp; Data'!H$7,IF('1-Simulation'!J76=2,'1-Specification &amp; Data'!H$8,IF('1-Simulation'!J76=3,'1-Specification &amp; Data'!H$9))))</f>
        <v>2731.2224033771695</v>
      </c>
      <c r="G76" s="20">
        <f>2*PI()*E76*'1-Simulation'!U76/(1000*60)</f>
        <v>0.57246178223470334</v>
      </c>
      <c r="H76" s="20">
        <f t="shared" si="14"/>
        <v>0.67348444968788634</v>
      </c>
      <c r="I76" s="20">
        <f t="shared" si="15"/>
        <v>14.030926035164299</v>
      </c>
      <c r="J76" s="20">
        <f>'1-Simulation'!U76/(IF('1-Simulation'!J76=1,'1-Specification &amp; Data'!H$7,IF('1-Simulation'!J76=2,'1-Specification &amp; Data'!H$8,IF('1-Simulation'!J76=3,'1-Specification &amp; Data'!H$9)))*0.8)</f>
        <v>2.5019050699017882</v>
      </c>
      <c r="K76" s="20">
        <f t="shared" si="13"/>
        <v>0.78954800666809655</v>
      </c>
      <c r="L76" s="20">
        <f t="shared" si="16"/>
        <v>0.83110316491378589</v>
      </c>
      <c r="M76" s="20">
        <f t="shared" si="17"/>
        <v>0</v>
      </c>
      <c r="N76" s="20">
        <f t="shared" si="18"/>
        <v>1.6688968350862141</v>
      </c>
      <c r="O76" s="20">
        <f t="shared" si="19"/>
        <v>1.7104519933319033</v>
      </c>
      <c r="P76" s="20">
        <f t="shared" si="20"/>
        <v>30.11359143189971</v>
      </c>
      <c r="Q76" s="20">
        <f t="shared" si="21"/>
        <v>0</v>
      </c>
      <c r="R76" s="20">
        <f t="shared" si="22"/>
        <v>0</v>
      </c>
      <c r="S76" s="20">
        <f t="shared" si="23"/>
        <v>0.59075134592211653</v>
      </c>
      <c r="T76" s="20">
        <f t="shared" si="24"/>
        <v>49.22927882684305</v>
      </c>
    </row>
    <row r="77" spans="1:20" x14ac:dyDescent="0.25">
      <c r="A77" s="19">
        <f t="shared" si="25"/>
        <v>75</v>
      </c>
      <c r="B77" s="19">
        <v>5500</v>
      </c>
      <c r="C77" s="19">
        <v>14</v>
      </c>
      <c r="D77" s="20">
        <v>2.5</v>
      </c>
      <c r="E77" s="20">
        <f>'1-Simulation'!F77*60/(2*PI()*'1-Specification &amp; Data'!B$14)</f>
        <v>217.15761953248733</v>
      </c>
      <c r="F77" s="20">
        <f>E77*(IF('1-Simulation'!J77=1,'1-Specification &amp; Data'!H$7,IF('1-Simulation'!J77=2,'1-Specification &amp; Data'!H$8,IF('1-Simulation'!J77=3,'1-Specification &amp; Data'!H$9))))</f>
        <v>2731.2224033771695</v>
      </c>
      <c r="G77" s="20">
        <f>2*PI()*E77*'1-Simulation'!U77/(1000*60)</f>
        <v>0.57246178223470334</v>
      </c>
      <c r="H77" s="20">
        <f t="shared" si="14"/>
        <v>0.67348444968788634</v>
      </c>
      <c r="I77" s="20">
        <f t="shared" si="15"/>
        <v>14.030926035164299</v>
      </c>
      <c r="J77" s="20">
        <f>'1-Simulation'!U77/(IF('1-Simulation'!J77=1,'1-Specification &amp; Data'!H$7,IF('1-Simulation'!J77=2,'1-Specification &amp; Data'!H$8,IF('1-Simulation'!J77=3,'1-Specification &amp; Data'!H$9)))*0.8)</f>
        <v>2.5019050699017882</v>
      </c>
      <c r="K77" s="20">
        <f t="shared" si="13"/>
        <v>0.78954800666809655</v>
      </c>
      <c r="L77" s="20">
        <f t="shared" si="16"/>
        <v>0.83110316491378589</v>
      </c>
      <c r="M77" s="20">
        <f t="shared" si="17"/>
        <v>0</v>
      </c>
      <c r="N77" s="20">
        <f t="shared" si="18"/>
        <v>1.6688968350862141</v>
      </c>
      <c r="O77" s="20">
        <f t="shared" si="19"/>
        <v>1.7104519933319033</v>
      </c>
      <c r="P77" s="20">
        <f t="shared" si="20"/>
        <v>30.11359143189971</v>
      </c>
      <c r="Q77" s="20">
        <f t="shared" si="21"/>
        <v>0</v>
      </c>
      <c r="R77" s="20">
        <f t="shared" si="22"/>
        <v>0</v>
      </c>
      <c r="S77" s="20">
        <f t="shared" si="23"/>
        <v>0.59122647147581986</v>
      </c>
      <c r="T77" s="20">
        <f t="shared" si="24"/>
        <v>49.268872622984993</v>
      </c>
    </row>
    <row r="78" spans="1:20" x14ac:dyDescent="0.25">
      <c r="A78" s="19">
        <f t="shared" si="25"/>
        <v>76</v>
      </c>
      <c r="B78" s="19">
        <v>5500</v>
      </c>
      <c r="C78" s="19">
        <v>14</v>
      </c>
      <c r="D78" s="20">
        <v>2.5</v>
      </c>
      <c r="E78" s="20">
        <f>'1-Simulation'!F78*60/(2*PI()*'1-Specification &amp; Data'!B$14)</f>
        <v>217.15761953248733</v>
      </c>
      <c r="F78" s="20">
        <f>E78*(IF('1-Simulation'!J78=1,'1-Specification &amp; Data'!H$7,IF('1-Simulation'!J78=2,'1-Specification &amp; Data'!H$8,IF('1-Simulation'!J78=3,'1-Specification &amp; Data'!H$9))))</f>
        <v>2731.2224033771695</v>
      </c>
      <c r="G78" s="20">
        <f>2*PI()*E78*'1-Simulation'!U78/(1000*60)</f>
        <v>0.57246178223470334</v>
      </c>
      <c r="H78" s="20">
        <f t="shared" si="14"/>
        <v>0.67348444968788634</v>
      </c>
      <c r="I78" s="20">
        <f t="shared" si="15"/>
        <v>14.030926035164299</v>
      </c>
      <c r="J78" s="20">
        <f>'1-Simulation'!U78/(IF('1-Simulation'!J78=1,'1-Specification &amp; Data'!H$7,IF('1-Simulation'!J78=2,'1-Specification &amp; Data'!H$8,IF('1-Simulation'!J78=3,'1-Specification &amp; Data'!H$9)))*0.8)</f>
        <v>2.5019050699017882</v>
      </c>
      <c r="K78" s="20">
        <f t="shared" si="13"/>
        <v>0.78954800666809655</v>
      </c>
      <c r="L78" s="20">
        <f t="shared" si="16"/>
        <v>0.83110316491378589</v>
      </c>
      <c r="M78" s="20">
        <f t="shared" si="17"/>
        <v>0</v>
      </c>
      <c r="N78" s="20">
        <f t="shared" si="18"/>
        <v>1.6688968350862141</v>
      </c>
      <c r="O78" s="20">
        <f t="shared" si="19"/>
        <v>1.7104519933319033</v>
      </c>
      <c r="P78" s="20">
        <f t="shared" si="20"/>
        <v>30.11359143189971</v>
      </c>
      <c r="Q78" s="20">
        <f t="shared" si="21"/>
        <v>0</v>
      </c>
      <c r="R78" s="20">
        <f t="shared" si="22"/>
        <v>0</v>
      </c>
      <c r="S78" s="20">
        <f t="shared" si="23"/>
        <v>0.59170159702952319</v>
      </c>
      <c r="T78" s="20">
        <f t="shared" si="24"/>
        <v>49.308466419126937</v>
      </c>
    </row>
    <row r="79" spans="1:20" x14ac:dyDescent="0.25">
      <c r="A79" s="19">
        <f t="shared" si="25"/>
        <v>77</v>
      </c>
      <c r="B79" s="19">
        <v>5500</v>
      </c>
      <c r="C79" s="19">
        <v>14</v>
      </c>
      <c r="D79" s="20">
        <v>2.5</v>
      </c>
      <c r="E79" s="20">
        <f>'1-Simulation'!F79*60/(2*PI()*'1-Specification &amp; Data'!B$14)</f>
        <v>217.15761953248733</v>
      </c>
      <c r="F79" s="20">
        <f>E79*(IF('1-Simulation'!J79=1,'1-Specification &amp; Data'!H$7,IF('1-Simulation'!J79=2,'1-Specification &amp; Data'!H$8,IF('1-Simulation'!J79=3,'1-Specification &amp; Data'!H$9))))</f>
        <v>2731.2224033771695</v>
      </c>
      <c r="G79" s="20">
        <f>2*PI()*E79*'1-Simulation'!U79/(1000*60)</f>
        <v>0.57246178223470334</v>
      </c>
      <c r="H79" s="20">
        <f t="shared" si="14"/>
        <v>0.67348444968788634</v>
      </c>
      <c r="I79" s="20">
        <f t="shared" si="15"/>
        <v>14.030926035164299</v>
      </c>
      <c r="J79" s="20">
        <f>'1-Simulation'!U79/(IF('1-Simulation'!J79=1,'1-Specification &amp; Data'!H$7,IF('1-Simulation'!J79=2,'1-Specification &amp; Data'!H$8,IF('1-Simulation'!J79=3,'1-Specification &amp; Data'!H$9)))*0.8)</f>
        <v>2.5019050699017882</v>
      </c>
      <c r="K79" s="20">
        <f t="shared" si="13"/>
        <v>0.78954800666809655</v>
      </c>
      <c r="L79" s="20">
        <f t="shared" si="16"/>
        <v>0.83110316491378589</v>
      </c>
      <c r="M79" s="20">
        <f t="shared" si="17"/>
        <v>0</v>
      </c>
      <c r="N79" s="20">
        <f t="shared" si="18"/>
        <v>1.6688968350862141</v>
      </c>
      <c r="O79" s="20">
        <f t="shared" si="19"/>
        <v>1.7104519933319033</v>
      </c>
      <c r="P79" s="20">
        <f t="shared" si="20"/>
        <v>30.11359143189971</v>
      </c>
      <c r="Q79" s="20">
        <f t="shared" si="21"/>
        <v>0</v>
      </c>
      <c r="R79" s="20">
        <f t="shared" si="22"/>
        <v>0</v>
      </c>
      <c r="S79" s="20">
        <f t="shared" si="23"/>
        <v>0.59217672258322651</v>
      </c>
      <c r="T79" s="20">
        <f t="shared" si="24"/>
        <v>49.34806021526888</v>
      </c>
    </row>
    <row r="80" spans="1:20" x14ac:dyDescent="0.25">
      <c r="A80" s="19">
        <f t="shared" si="25"/>
        <v>78</v>
      </c>
      <c r="B80" s="19">
        <v>5500</v>
      </c>
      <c r="C80" s="19">
        <v>14</v>
      </c>
      <c r="D80" s="20">
        <v>2.5</v>
      </c>
      <c r="E80" s="20">
        <f>'1-Simulation'!F80*60/(2*PI()*'1-Specification &amp; Data'!B$14)</f>
        <v>217.15761953248733</v>
      </c>
      <c r="F80" s="20">
        <f>E80*(IF('1-Simulation'!J80=1,'1-Specification &amp; Data'!H$7,IF('1-Simulation'!J80=2,'1-Specification &amp; Data'!H$8,IF('1-Simulation'!J80=3,'1-Specification &amp; Data'!H$9))))</f>
        <v>2731.2224033771695</v>
      </c>
      <c r="G80" s="20">
        <f>2*PI()*E80*'1-Simulation'!U80/(1000*60)</f>
        <v>0.57246178223470334</v>
      </c>
      <c r="H80" s="20">
        <f t="shared" si="14"/>
        <v>0.67348444968788634</v>
      </c>
      <c r="I80" s="20">
        <f t="shared" si="15"/>
        <v>14.030926035164299</v>
      </c>
      <c r="J80" s="20">
        <f>'1-Simulation'!U80/(IF('1-Simulation'!J80=1,'1-Specification &amp; Data'!H$7,IF('1-Simulation'!J80=2,'1-Specification &amp; Data'!H$8,IF('1-Simulation'!J80=3,'1-Specification &amp; Data'!H$9)))*0.8)</f>
        <v>2.5019050699017882</v>
      </c>
      <c r="K80" s="20">
        <f t="shared" si="13"/>
        <v>0.78954800666809655</v>
      </c>
      <c r="L80" s="20">
        <f t="shared" si="16"/>
        <v>0.83110316491378589</v>
      </c>
      <c r="M80" s="20">
        <f t="shared" si="17"/>
        <v>0</v>
      </c>
      <c r="N80" s="20">
        <f t="shared" si="18"/>
        <v>1.6688968350862141</v>
      </c>
      <c r="O80" s="20">
        <f t="shared" si="19"/>
        <v>1.7104519933319033</v>
      </c>
      <c r="P80" s="20">
        <f t="shared" si="20"/>
        <v>30.11359143189971</v>
      </c>
      <c r="Q80" s="20">
        <f t="shared" si="21"/>
        <v>0</v>
      </c>
      <c r="R80" s="20">
        <f t="shared" si="22"/>
        <v>0</v>
      </c>
      <c r="S80" s="20">
        <f t="shared" si="23"/>
        <v>0.59265184813692984</v>
      </c>
      <c r="T80" s="20">
        <f t="shared" si="24"/>
        <v>49.387654011410824</v>
      </c>
    </row>
    <row r="81" spans="1:20" x14ac:dyDescent="0.25">
      <c r="A81" s="19">
        <f t="shared" si="25"/>
        <v>79</v>
      </c>
      <c r="B81" s="19">
        <v>5500</v>
      </c>
      <c r="C81" s="19">
        <v>14</v>
      </c>
      <c r="D81" s="20">
        <v>2.5</v>
      </c>
      <c r="E81" s="20">
        <f>'1-Simulation'!F81*60/(2*PI()*'1-Specification &amp; Data'!B$14)</f>
        <v>217.15761953248733</v>
      </c>
      <c r="F81" s="20">
        <f>E81*(IF('1-Simulation'!J81=1,'1-Specification &amp; Data'!H$7,IF('1-Simulation'!J81=2,'1-Specification &amp; Data'!H$8,IF('1-Simulation'!J81=3,'1-Specification &amp; Data'!H$9))))</f>
        <v>2731.2224033771695</v>
      </c>
      <c r="G81" s="20">
        <f>2*PI()*E81*'1-Simulation'!U81/(1000*60)</f>
        <v>0.57246178223470334</v>
      </c>
      <c r="H81" s="20">
        <f t="shared" si="14"/>
        <v>0.67348444968788634</v>
      </c>
      <c r="I81" s="20">
        <f t="shared" si="15"/>
        <v>14.030926035164299</v>
      </c>
      <c r="J81" s="20">
        <f>'1-Simulation'!U81/(IF('1-Simulation'!J81=1,'1-Specification &amp; Data'!H$7,IF('1-Simulation'!J81=2,'1-Specification &amp; Data'!H$8,IF('1-Simulation'!J81=3,'1-Specification &amp; Data'!H$9)))*0.8)</f>
        <v>2.5019050699017882</v>
      </c>
      <c r="K81" s="20">
        <f t="shared" si="13"/>
        <v>0.78954800666809655</v>
      </c>
      <c r="L81" s="20">
        <f t="shared" si="16"/>
        <v>0.83110316491378589</v>
      </c>
      <c r="M81" s="20">
        <f t="shared" si="17"/>
        <v>0</v>
      </c>
      <c r="N81" s="20">
        <f t="shared" si="18"/>
        <v>1.6688968350862141</v>
      </c>
      <c r="O81" s="20">
        <f t="shared" si="19"/>
        <v>1.7104519933319033</v>
      </c>
      <c r="P81" s="20">
        <f t="shared" si="20"/>
        <v>30.11359143189971</v>
      </c>
      <c r="Q81" s="20">
        <f t="shared" si="21"/>
        <v>0</v>
      </c>
      <c r="R81" s="20">
        <f t="shared" si="22"/>
        <v>0</v>
      </c>
      <c r="S81" s="20">
        <f t="shared" si="23"/>
        <v>0.59312697369063316</v>
      </c>
      <c r="T81" s="20">
        <f t="shared" si="24"/>
        <v>49.427247807552767</v>
      </c>
    </row>
    <row r="82" spans="1:20" x14ac:dyDescent="0.25">
      <c r="A82" s="19">
        <f t="shared" si="25"/>
        <v>80</v>
      </c>
      <c r="B82" s="19">
        <v>5500</v>
      </c>
      <c r="C82" s="19">
        <v>14</v>
      </c>
      <c r="D82" s="20">
        <v>2.5</v>
      </c>
      <c r="E82" s="20">
        <f>'1-Simulation'!F82*60/(2*PI()*'1-Specification &amp; Data'!B$14)</f>
        <v>217.15761953248733</v>
      </c>
      <c r="F82" s="20">
        <f>E82*(IF('1-Simulation'!J82=1,'1-Specification &amp; Data'!H$7,IF('1-Simulation'!J82=2,'1-Specification &amp; Data'!H$8,IF('1-Simulation'!J82=3,'1-Specification &amp; Data'!H$9))))</f>
        <v>2731.2224033771695</v>
      </c>
      <c r="G82" s="20">
        <f>2*PI()*E82*'1-Simulation'!U82/(1000*60)</f>
        <v>0.57246178223470334</v>
      </c>
      <c r="H82" s="20">
        <f t="shared" si="14"/>
        <v>0.67348444968788634</v>
      </c>
      <c r="I82" s="20">
        <f t="shared" si="15"/>
        <v>14.030926035164299</v>
      </c>
      <c r="J82" s="20">
        <f>'1-Simulation'!U82/(IF('1-Simulation'!J82=1,'1-Specification &amp; Data'!H$7,IF('1-Simulation'!J82=2,'1-Specification &amp; Data'!H$8,IF('1-Simulation'!J82=3,'1-Specification &amp; Data'!H$9)))*0.8)</f>
        <v>2.5019050699017882</v>
      </c>
      <c r="K82" s="20">
        <f t="shared" si="13"/>
        <v>0.78954800666809655</v>
      </c>
      <c r="L82" s="20">
        <f t="shared" si="16"/>
        <v>0.83110316491378589</v>
      </c>
      <c r="M82" s="20">
        <f t="shared" si="17"/>
        <v>0</v>
      </c>
      <c r="N82" s="20">
        <f t="shared" si="18"/>
        <v>1.6688968350862141</v>
      </c>
      <c r="O82" s="20">
        <f t="shared" si="19"/>
        <v>1.7104519933319033</v>
      </c>
      <c r="P82" s="20">
        <f t="shared" si="20"/>
        <v>30.11359143189971</v>
      </c>
      <c r="Q82" s="20">
        <f t="shared" si="21"/>
        <v>0</v>
      </c>
      <c r="R82" s="20">
        <f t="shared" si="22"/>
        <v>0</v>
      </c>
      <c r="S82" s="20">
        <f t="shared" si="23"/>
        <v>0.59360209924433649</v>
      </c>
      <c r="T82" s="20">
        <f t="shared" si="24"/>
        <v>49.466841603694711</v>
      </c>
    </row>
    <row r="83" spans="1:20" x14ac:dyDescent="0.25">
      <c r="A83" s="19">
        <f t="shared" si="25"/>
        <v>81</v>
      </c>
      <c r="B83" s="19">
        <v>5500</v>
      </c>
      <c r="C83" s="19">
        <v>14</v>
      </c>
      <c r="D83" s="20">
        <v>2.5</v>
      </c>
      <c r="E83" s="20">
        <f>'1-Simulation'!F83*60/(2*PI()*'1-Specification &amp; Data'!B$14)</f>
        <v>246.11196880348567</v>
      </c>
      <c r="F83" s="20">
        <f>E83*(IF('1-Simulation'!J83=1,'1-Specification &amp; Data'!H$7,IF('1-Simulation'!J83=2,'1-Specification &amp; Data'!H$8,IF('1-Simulation'!J83=3,'1-Specification &amp; Data'!H$9))))</f>
        <v>3095.3853904941257</v>
      </c>
      <c r="G83" s="20">
        <f>2*PI()*E83*'1-Simulation'!U83/(1000*60)</f>
        <v>5.0003508285903413</v>
      </c>
      <c r="H83" s="20">
        <f t="shared" si="14"/>
        <v>5.8827656806945194</v>
      </c>
      <c r="I83" s="20">
        <f t="shared" si="15"/>
        <v>122.55761834780249</v>
      </c>
      <c r="J83" s="20">
        <f>'1-Simulation'!U83/(IF('1-Simulation'!J83=1,'1-Specification &amp; Data'!H$7,IF('1-Simulation'!J83=2,'1-Specification &amp; Data'!H$8,IF('1-Simulation'!J83=3,'1-Specification &amp; Data'!H$9)))*0.8)</f>
        <v>19.282668823915813</v>
      </c>
      <c r="K83" s="20">
        <f t="shared" si="13"/>
        <v>6.8965600008142083</v>
      </c>
      <c r="L83" s="20">
        <f t="shared" si="16"/>
        <v>7.2595368429623246</v>
      </c>
      <c r="M83" s="20">
        <f t="shared" si="17"/>
        <v>0</v>
      </c>
      <c r="N83" s="20">
        <f t="shared" si="18"/>
        <v>0</v>
      </c>
      <c r="O83" s="20">
        <f t="shared" si="19"/>
        <v>0</v>
      </c>
      <c r="P83" s="20">
        <f t="shared" si="20"/>
        <v>0</v>
      </c>
      <c r="Q83" s="20">
        <f t="shared" si="21"/>
        <v>4.3965600008142083</v>
      </c>
      <c r="R83" s="20">
        <f t="shared" si="22"/>
        <v>91.595000016962672</v>
      </c>
      <c r="S83" s="20">
        <f t="shared" si="23"/>
        <v>0.59238083257744367</v>
      </c>
      <c r="T83" s="20">
        <f t="shared" si="24"/>
        <v>49.365069381453637</v>
      </c>
    </row>
    <row r="84" spans="1:20" x14ac:dyDescent="0.25">
      <c r="A84" s="19">
        <f t="shared" si="25"/>
        <v>82</v>
      </c>
      <c r="B84" s="19">
        <v>5500</v>
      </c>
      <c r="C84" s="19">
        <v>14</v>
      </c>
      <c r="D84" s="20">
        <v>2.5</v>
      </c>
      <c r="E84" s="20">
        <f>'1-Simulation'!F84*60/(2*PI()*'1-Specification &amp; Data'!B$14)</f>
        <v>267.82773075673435</v>
      </c>
      <c r="F84" s="20">
        <f>E84*(IF('1-Simulation'!J84=1,'1-Specification &amp; Data'!H$7,IF('1-Simulation'!J84=2,'1-Specification &amp; Data'!H$8,IF('1-Simulation'!J84=3,'1-Specification &amp; Data'!H$9))))</f>
        <v>3368.5076308318421</v>
      </c>
      <c r="G84" s="20">
        <f>2*PI()*E84*'1-Simulation'!U84/(1000*60)</f>
        <v>4.3061044804074262</v>
      </c>
      <c r="H84" s="20">
        <f t="shared" si="14"/>
        <v>5.06600527106756</v>
      </c>
      <c r="I84" s="20">
        <f t="shared" si="15"/>
        <v>105.54177648057417</v>
      </c>
      <c r="J84" s="20">
        <f>'1-Simulation'!U84/(IF('1-Simulation'!J84=1,'1-Specification &amp; Data'!H$7,IF('1-Simulation'!J84=2,'1-Specification &amp; Data'!H$8,IF('1-Simulation'!J84=3,'1-Specification &amp; Data'!H$9)))*0.8)</f>
        <v>15.259082551590303</v>
      </c>
      <c r="K84" s="20">
        <f t="shared" si="13"/>
        <v>5.9390448664332478</v>
      </c>
      <c r="L84" s="20">
        <f t="shared" si="16"/>
        <v>6.251626175192893</v>
      </c>
      <c r="M84" s="20">
        <f t="shared" si="17"/>
        <v>0</v>
      </c>
      <c r="N84" s="20">
        <f t="shared" si="18"/>
        <v>0</v>
      </c>
      <c r="O84" s="20">
        <f t="shared" si="19"/>
        <v>0</v>
      </c>
      <c r="P84" s="20">
        <f t="shared" si="20"/>
        <v>0</v>
      </c>
      <c r="Q84" s="20">
        <f t="shared" si="21"/>
        <v>3.4390448664332478</v>
      </c>
      <c r="R84" s="20">
        <f t="shared" si="22"/>
        <v>71.646768050692671</v>
      </c>
      <c r="S84" s="20">
        <f t="shared" si="23"/>
        <v>0.59142554233676781</v>
      </c>
      <c r="T84" s="20">
        <f t="shared" si="24"/>
        <v>49.285461861397323</v>
      </c>
    </row>
    <row r="85" spans="1:20" x14ac:dyDescent="0.25">
      <c r="A85" s="19">
        <f t="shared" si="25"/>
        <v>83</v>
      </c>
      <c r="B85" s="19">
        <v>5500</v>
      </c>
      <c r="C85" s="19">
        <v>14</v>
      </c>
      <c r="D85" s="20">
        <v>2.5</v>
      </c>
      <c r="E85" s="20">
        <f>'1-Simulation'!F85*60/(2*PI()*'1-Specification &amp; Data'!B$14)</f>
        <v>289.54349270998313</v>
      </c>
      <c r="F85" s="20">
        <f>E85*(IF('1-Simulation'!J85=1,'1-Specification &amp; Data'!H$7,IF('1-Simulation'!J85=2,'1-Specification &amp; Data'!H$8,IF('1-Simulation'!J85=3,'1-Specification &amp; Data'!H$9))))</f>
        <v>3641.6298711695595</v>
      </c>
      <c r="G85" s="20">
        <f>2*PI()*E85*'1-Simulation'!U85/(1000*60)</f>
        <v>4.6989072806732697</v>
      </c>
      <c r="H85" s="20">
        <f t="shared" si="14"/>
        <v>5.5281262125567876</v>
      </c>
      <c r="I85" s="20">
        <f t="shared" si="15"/>
        <v>115.16929609493307</v>
      </c>
      <c r="J85" s="20">
        <f>'1-Simulation'!U85/(IF('1-Simulation'!J85=1,'1-Specification &amp; Data'!H$7,IF('1-Simulation'!J85=2,'1-Specification &amp; Data'!H$8,IF('1-Simulation'!J85=3,'1-Specification &amp; Data'!H$9)))*0.8)</f>
        <v>15.402189691977055</v>
      </c>
      <c r="K85" s="20">
        <f t="shared" si="13"/>
        <v>6.4808044695859177</v>
      </c>
      <c r="L85" s="20">
        <f t="shared" si="16"/>
        <v>6.8218994416693874</v>
      </c>
      <c r="M85" s="20">
        <f t="shared" si="17"/>
        <v>0</v>
      </c>
      <c r="N85" s="20">
        <f t="shared" si="18"/>
        <v>0</v>
      </c>
      <c r="O85" s="20">
        <f t="shared" si="19"/>
        <v>0</v>
      </c>
      <c r="P85" s="20">
        <f t="shared" si="20"/>
        <v>0</v>
      </c>
      <c r="Q85" s="20">
        <f t="shared" si="21"/>
        <v>3.9808044695859177</v>
      </c>
      <c r="R85" s="20">
        <f t="shared" si="22"/>
        <v>82.933426449706616</v>
      </c>
      <c r="S85" s="20">
        <f t="shared" si="23"/>
        <v>0.59031976331743841</v>
      </c>
      <c r="T85" s="20">
        <f t="shared" si="24"/>
        <v>49.193313609786536</v>
      </c>
    </row>
    <row r="86" spans="1:20" x14ac:dyDescent="0.25">
      <c r="A86" s="19">
        <f t="shared" si="25"/>
        <v>84</v>
      </c>
      <c r="B86" s="19">
        <v>5500</v>
      </c>
      <c r="C86" s="19">
        <v>14</v>
      </c>
      <c r="D86" s="20">
        <v>2.5</v>
      </c>
      <c r="E86" s="20">
        <f>'1-Simulation'!F86*60/(2*PI()*'1-Specification &amp; Data'!B$14)</f>
        <v>292.43892763708294</v>
      </c>
      <c r="F86" s="20">
        <f>E86*(IF('1-Simulation'!J86=1,'1-Specification &amp; Data'!H$7,IF('1-Simulation'!J86=2,'1-Specification &amp; Data'!H$8,IF('1-Simulation'!J86=3,'1-Specification &amp; Data'!H$9))))</f>
        <v>2426.8633085726751</v>
      </c>
      <c r="G86" s="20">
        <f>2*PI()*E86*'1-Simulation'!U86/(1000*60)</f>
        <v>1.4194327179745374</v>
      </c>
      <c r="H86" s="20">
        <f t="shared" si="14"/>
        <v>1.6699208446759264</v>
      </c>
      <c r="I86" s="20">
        <f t="shared" si="15"/>
        <v>34.790017597415137</v>
      </c>
      <c r="J86" s="20">
        <f>'1-Simulation'!U86/(IF('1-Simulation'!J86=1,'1-Specification &amp; Data'!H$7,IF('1-Simulation'!J86=2,'1-Specification &amp; Data'!H$8,IF('1-Simulation'!J86=3,'1-Specification &amp; Data'!H$9)))*0.8)</f>
        <v>6.9815345384515304</v>
      </c>
      <c r="K86" s="20">
        <f t="shared" si="13"/>
        <v>1.9577032176740052</v>
      </c>
      <c r="L86" s="20">
        <f t="shared" si="16"/>
        <v>2.0607402291305319</v>
      </c>
      <c r="M86" s="20">
        <f t="shared" si="17"/>
        <v>0</v>
      </c>
      <c r="N86" s="20">
        <f t="shared" si="18"/>
        <v>0.4392597708694681</v>
      </c>
      <c r="O86" s="20">
        <f t="shared" si="19"/>
        <v>0.54229678232599476</v>
      </c>
      <c r="P86" s="20">
        <f t="shared" si="20"/>
        <v>9.547478562077373</v>
      </c>
      <c r="Q86" s="20">
        <f t="shared" si="21"/>
        <v>0</v>
      </c>
      <c r="R86" s="20">
        <f t="shared" si="22"/>
        <v>0</v>
      </c>
      <c r="S86" s="20">
        <f t="shared" si="23"/>
        <v>0.59047040131252893</v>
      </c>
      <c r="T86" s="20">
        <f t="shared" si="24"/>
        <v>49.205866776044076</v>
      </c>
    </row>
    <row r="87" spans="1:20" x14ac:dyDescent="0.25">
      <c r="A87" s="19">
        <f t="shared" si="25"/>
        <v>85</v>
      </c>
      <c r="B87" s="19">
        <v>5500</v>
      </c>
      <c r="C87" s="19">
        <v>14</v>
      </c>
      <c r="D87" s="20">
        <v>2.5</v>
      </c>
      <c r="E87" s="20">
        <f>'1-Simulation'!F87*60/(2*PI()*'1-Specification &amp; Data'!B$14)</f>
        <v>304.02066734548231</v>
      </c>
      <c r="F87" s="20">
        <f>E87*(IF('1-Simulation'!J87=1,'1-Specification &amp; Data'!H$7,IF('1-Simulation'!J87=2,'1-Specification &amp; Data'!H$8,IF('1-Simulation'!J87=3,'1-Specification &amp; Data'!H$9))))</f>
        <v>2522.9767069319892</v>
      </c>
      <c r="G87" s="20">
        <f>2*PI()*E87*'1-Simulation'!U87/(1000*60)</f>
        <v>3.0885223888460938</v>
      </c>
      <c r="H87" s="20">
        <f t="shared" si="14"/>
        <v>3.6335557515836396</v>
      </c>
      <c r="I87" s="20">
        <f t="shared" si="15"/>
        <v>75.699078157992489</v>
      </c>
      <c r="J87" s="20">
        <f>'1-Simulation'!U87/(IF('1-Simulation'!J87=1,'1-Specification &amp; Data'!H$7,IF('1-Simulation'!J87=2,'1-Specification &amp; Data'!H$8,IF('1-Simulation'!J87=3,'1-Specification &amp; Data'!H$9)))*0.8)</f>
        <v>14.612311035738449</v>
      </c>
      <c r="K87" s="20">
        <f t="shared" si="13"/>
        <v>4.2597371061941853</v>
      </c>
      <c r="L87" s="20">
        <f t="shared" si="16"/>
        <v>4.4839337959938792</v>
      </c>
      <c r="M87" s="20">
        <f t="shared" si="17"/>
        <v>0</v>
      </c>
      <c r="N87" s="20">
        <f t="shared" si="18"/>
        <v>0</v>
      </c>
      <c r="O87" s="20">
        <f t="shared" si="19"/>
        <v>0</v>
      </c>
      <c r="P87" s="20">
        <f t="shared" si="20"/>
        <v>0</v>
      </c>
      <c r="Q87" s="20">
        <f t="shared" si="21"/>
        <v>1.7597371061941853</v>
      </c>
      <c r="R87" s="20">
        <f t="shared" si="22"/>
        <v>36.661189712378864</v>
      </c>
      <c r="S87" s="20">
        <f t="shared" si="23"/>
        <v>0.58998158544969725</v>
      </c>
      <c r="T87" s="20">
        <f t="shared" si="24"/>
        <v>49.16513212080811</v>
      </c>
    </row>
    <row r="88" spans="1:20" x14ac:dyDescent="0.25">
      <c r="A88" s="19">
        <f t="shared" si="25"/>
        <v>86</v>
      </c>
      <c r="B88" s="19">
        <v>5500</v>
      </c>
      <c r="C88" s="19">
        <v>14</v>
      </c>
      <c r="D88" s="20">
        <v>2.5</v>
      </c>
      <c r="E88" s="20">
        <f>'1-Simulation'!F88*60/(2*PI()*'1-Specification &amp; Data'!B$14)</f>
        <v>318.49784198098149</v>
      </c>
      <c r="F88" s="20">
        <f>E88*(IF('1-Simulation'!J88=1,'1-Specification &amp; Data'!H$7,IF('1-Simulation'!J88=2,'1-Specification &amp; Data'!H$8,IF('1-Simulation'!J88=3,'1-Specification &amp; Data'!H$9))))</f>
        <v>2643.118454881132</v>
      </c>
      <c r="G88" s="20">
        <f>2*PI()*E88*'1-Simulation'!U88/(1000*60)</f>
        <v>3.8254433103607957</v>
      </c>
      <c r="H88" s="20">
        <f t="shared" si="14"/>
        <v>4.5005215416009365</v>
      </c>
      <c r="I88" s="20">
        <f t="shared" si="15"/>
        <v>93.760865450019523</v>
      </c>
      <c r="J88" s="20">
        <f>'1-Simulation'!U88/(IF('1-Simulation'!J88=1,'1-Specification &amp; Data'!H$7,IF('1-Simulation'!J88=2,'1-Specification &amp; Data'!H$8,IF('1-Simulation'!J88=3,'1-Specification &amp; Data'!H$9)))*0.8)</f>
        <v>17.27613298707961</v>
      </c>
      <c r="K88" s="20">
        <f t="shared" si="13"/>
        <v>5.2761096619002776</v>
      </c>
      <c r="L88" s="20">
        <f t="shared" si="16"/>
        <v>5.5537996441055553</v>
      </c>
      <c r="M88" s="20">
        <f t="shared" si="17"/>
        <v>0</v>
      </c>
      <c r="N88" s="20">
        <f t="shared" si="18"/>
        <v>0</v>
      </c>
      <c r="O88" s="20">
        <f t="shared" si="19"/>
        <v>0</v>
      </c>
      <c r="P88" s="20">
        <f t="shared" si="20"/>
        <v>0</v>
      </c>
      <c r="Q88" s="20">
        <f t="shared" si="21"/>
        <v>2.7761096619002776</v>
      </c>
      <c r="R88" s="20">
        <f t="shared" si="22"/>
        <v>57.835617956255788</v>
      </c>
      <c r="S88" s="20">
        <f t="shared" si="23"/>
        <v>0.58921044387694721</v>
      </c>
      <c r="T88" s="20">
        <f t="shared" si="24"/>
        <v>49.100870323078937</v>
      </c>
    </row>
    <row r="89" spans="1:20" x14ac:dyDescent="0.25">
      <c r="A89" s="19">
        <f t="shared" si="25"/>
        <v>87</v>
      </c>
      <c r="B89" s="19">
        <v>5500</v>
      </c>
      <c r="C89" s="19">
        <v>14</v>
      </c>
      <c r="D89" s="20">
        <v>2.5</v>
      </c>
      <c r="E89" s="20">
        <f>'1-Simulation'!F89*60/(2*PI()*'1-Specification &amp; Data'!B$14)</f>
        <v>332.97501661648062</v>
      </c>
      <c r="F89" s="20">
        <f>E89*(IF('1-Simulation'!J89=1,'1-Specification &amp; Data'!H$7,IF('1-Simulation'!J89=2,'1-Specification &amp; Data'!H$8,IF('1-Simulation'!J89=3,'1-Specification &amp; Data'!H$9))))</f>
        <v>2763.260202830274</v>
      </c>
      <c r="G89" s="20">
        <f>2*PI()*E89*'1-Simulation'!U89/(1000*60)</f>
        <v>4.038450270812203</v>
      </c>
      <c r="H89" s="20">
        <f t="shared" si="14"/>
        <v>4.7511179656614155</v>
      </c>
      <c r="I89" s="20">
        <f t="shared" si="15"/>
        <v>98.981624284612835</v>
      </c>
      <c r="J89" s="20">
        <f>'1-Simulation'!U89/(IF('1-Simulation'!J89=1,'1-Specification &amp; Data'!H$7,IF('1-Simulation'!J89=2,'1-Specification &amp; Data'!H$8,IF('1-Simulation'!J89=3,'1-Specification &amp; Data'!H$9)))*0.8)</f>
        <v>17.445135705250593</v>
      </c>
      <c r="K89" s="20">
        <f t="shared" si="13"/>
        <v>5.5698921051130315</v>
      </c>
      <c r="L89" s="20">
        <f t="shared" si="16"/>
        <v>5.8630443211716123</v>
      </c>
      <c r="M89" s="20">
        <f t="shared" si="17"/>
        <v>0</v>
      </c>
      <c r="N89" s="20">
        <f t="shared" si="18"/>
        <v>0</v>
      </c>
      <c r="O89" s="20">
        <f t="shared" si="19"/>
        <v>0</v>
      </c>
      <c r="P89" s="20">
        <f t="shared" si="20"/>
        <v>0</v>
      </c>
      <c r="Q89" s="20">
        <f t="shared" si="21"/>
        <v>3.0698921051130315</v>
      </c>
      <c r="R89" s="20">
        <f t="shared" si="22"/>
        <v>63.956085523188158</v>
      </c>
      <c r="S89" s="20">
        <f t="shared" si="23"/>
        <v>0.58835769606997135</v>
      </c>
      <c r="T89" s="20">
        <f t="shared" si="24"/>
        <v>49.029808005830944</v>
      </c>
    </row>
    <row r="90" spans="1:20" x14ac:dyDescent="0.25">
      <c r="A90" s="19">
        <f t="shared" si="25"/>
        <v>88</v>
      </c>
      <c r="B90" s="19">
        <v>5500</v>
      </c>
      <c r="C90" s="19">
        <v>14</v>
      </c>
      <c r="D90" s="20">
        <v>2.5</v>
      </c>
      <c r="E90" s="20">
        <f>'1-Simulation'!F90*60/(2*PI()*'1-Specification &amp; Data'!B$14)</f>
        <v>332.97501661648062</v>
      </c>
      <c r="F90" s="20">
        <f>E90*(IF('1-Simulation'!J90=1,'1-Specification &amp; Data'!H$7,IF('1-Simulation'!J90=2,'1-Specification &amp; Data'!H$8,IF('1-Simulation'!J90=3,'1-Specification &amp; Data'!H$9))))</f>
        <v>2763.260202830274</v>
      </c>
      <c r="G90" s="20">
        <f>2*PI()*E90*'1-Simulation'!U90/(1000*60)</f>
        <v>9.4059050677818696</v>
      </c>
      <c r="H90" s="20">
        <f t="shared" si="14"/>
        <v>11.06577066797867</v>
      </c>
      <c r="I90" s="20">
        <f t="shared" si="15"/>
        <v>230.5368889162223</v>
      </c>
      <c r="J90" s="20">
        <f>'1-Simulation'!U90/(IF('1-Simulation'!J90=1,'1-Specification &amp; Data'!H$7,IF('1-Simulation'!J90=2,'1-Specification &amp; Data'!H$8,IF('1-Simulation'!J90=3,'1-Specification &amp; Data'!H$9)))*0.8)</f>
        <v>40.631251924555251</v>
      </c>
      <c r="K90" s="20">
        <f t="shared" si="13"/>
        <v>12.972767488837832</v>
      </c>
      <c r="L90" s="20">
        <f t="shared" si="16"/>
        <v>13.655544725092454</v>
      </c>
      <c r="M90" s="20">
        <f t="shared" si="17"/>
        <v>0</v>
      </c>
      <c r="N90" s="20">
        <f t="shared" si="18"/>
        <v>0</v>
      </c>
      <c r="O90" s="20">
        <f t="shared" si="19"/>
        <v>0</v>
      </c>
      <c r="P90" s="20">
        <f t="shared" si="20"/>
        <v>0</v>
      </c>
      <c r="Q90" s="20">
        <f t="shared" si="21"/>
        <v>10.472767488837832</v>
      </c>
      <c r="R90" s="20">
        <f t="shared" si="22"/>
        <v>218.18265601745483</v>
      </c>
      <c r="S90" s="20">
        <f t="shared" si="23"/>
        <v>0.58544859398973859</v>
      </c>
      <c r="T90" s="20">
        <f t="shared" si="24"/>
        <v>48.787382832478215</v>
      </c>
    </row>
    <row r="91" spans="1:20" x14ac:dyDescent="0.25">
      <c r="A91" s="19">
        <f t="shared" si="25"/>
        <v>89</v>
      </c>
      <c r="B91" s="19">
        <v>5500</v>
      </c>
      <c r="C91" s="19">
        <v>14</v>
      </c>
      <c r="D91" s="20">
        <v>2.5</v>
      </c>
      <c r="E91" s="20">
        <f>'1-Simulation'!F91*60/(2*PI()*'1-Specification &amp; Data'!B$14)</f>
        <v>332.97501661648062</v>
      </c>
      <c r="F91" s="20">
        <f>E91*(IF('1-Simulation'!J91=1,'1-Specification &amp; Data'!H$7,IF('1-Simulation'!J91=2,'1-Specification &amp; Data'!H$8,IF('1-Simulation'!J91=3,'1-Specification &amp; Data'!H$9))))</f>
        <v>2763.260202830274</v>
      </c>
      <c r="G91" s="20">
        <f>2*PI()*E91*'1-Simulation'!U91/(1000*60)</f>
        <v>9.4059050677818696</v>
      </c>
      <c r="H91" s="20">
        <f t="shared" si="14"/>
        <v>11.06577066797867</v>
      </c>
      <c r="I91" s="20">
        <f t="shared" si="15"/>
        <v>230.5368889162223</v>
      </c>
      <c r="J91" s="20">
        <f>'1-Simulation'!U91/(IF('1-Simulation'!J91=1,'1-Specification &amp; Data'!H$7,IF('1-Simulation'!J91=2,'1-Specification &amp; Data'!H$8,IF('1-Simulation'!J91=3,'1-Specification &amp; Data'!H$9)))*0.8)</f>
        <v>40.631251924555251</v>
      </c>
      <c r="K91" s="20">
        <f t="shared" si="13"/>
        <v>12.972767488837832</v>
      </c>
      <c r="L91" s="20">
        <f t="shared" si="16"/>
        <v>13.655544725092454</v>
      </c>
      <c r="M91" s="20">
        <f t="shared" si="17"/>
        <v>0</v>
      </c>
      <c r="N91" s="20">
        <f t="shared" si="18"/>
        <v>0</v>
      </c>
      <c r="O91" s="20">
        <f t="shared" si="19"/>
        <v>0</v>
      </c>
      <c r="P91" s="20">
        <f t="shared" si="20"/>
        <v>0</v>
      </c>
      <c r="Q91" s="20">
        <f t="shared" si="21"/>
        <v>10.472767488837832</v>
      </c>
      <c r="R91" s="20">
        <f t="shared" si="22"/>
        <v>218.18265601745483</v>
      </c>
      <c r="S91" s="20">
        <f t="shared" si="23"/>
        <v>0.58253949190950582</v>
      </c>
      <c r="T91" s="20">
        <f t="shared" si="24"/>
        <v>48.544957659125487</v>
      </c>
    </row>
    <row r="92" spans="1:20" x14ac:dyDescent="0.25">
      <c r="A92" s="19">
        <f t="shared" si="25"/>
        <v>90</v>
      </c>
      <c r="B92" s="19">
        <v>5500</v>
      </c>
      <c r="C92" s="19">
        <v>14</v>
      </c>
      <c r="D92" s="20">
        <v>2.5</v>
      </c>
      <c r="E92" s="20">
        <f>'1-Simulation'!F92*60/(2*PI()*'1-Specification &amp; Data'!B$14)</f>
        <v>332.97501661648062</v>
      </c>
      <c r="F92" s="20">
        <f>E92*(IF('1-Simulation'!J92=1,'1-Specification &amp; Data'!H$7,IF('1-Simulation'!J92=2,'1-Specification &amp; Data'!H$8,IF('1-Simulation'!J92=3,'1-Specification &amp; Data'!H$9))))</f>
        <v>2763.260202830274</v>
      </c>
      <c r="G92" s="20">
        <f>2*PI()*E92*'1-Simulation'!U92/(1000*60)</f>
        <v>9.4059050677818696</v>
      </c>
      <c r="H92" s="20">
        <f t="shared" si="14"/>
        <v>11.06577066797867</v>
      </c>
      <c r="I92" s="20">
        <f t="shared" si="15"/>
        <v>230.5368889162223</v>
      </c>
      <c r="J92" s="20">
        <f>'1-Simulation'!U92/(IF('1-Simulation'!J92=1,'1-Specification &amp; Data'!H$7,IF('1-Simulation'!J92=2,'1-Specification &amp; Data'!H$8,IF('1-Simulation'!J92=3,'1-Specification &amp; Data'!H$9)))*0.8)</f>
        <v>40.631251924555251</v>
      </c>
      <c r="K92" s="20">
        <f t="shared" si="13"/>
        <v>12.972767488837832</v>
      </c>
      <c r="L92" s="20">
        <f t="shared" si="16"/>
        <v>13.655544725092454</v>
      </c>
      <c r="M92" s="20">
        <f t="shared" si="17"/>
        <v>0</v>
      </c>
      <c r="N92" s="20">
        <f t="shared" si="18"/>
        <v>0</v>
      </c>
      <c r="O92" s="20">
        <f t="shared" si="19"/>
        <v>0</v>
      </c>
      <c r="P92" s="20">
        <f t="shared" si="20"/>
        <v>0</v>
      </c>
      <c r="Q92" s="20">
        <f t="shared" si="21"/>
        <v>10.472767488837832</v>
      </c>
      <c r="R92" s="20">
        <f t="shared" si="22"/>
        <v>218.18265601745483</v>
      </c>
      <c r="S92" s="20">
        <f t="shared" si="23"/>
        <v>0.57963038982927306</v>
      </c>
      <c r="T92" s="20">
        <f t="shared" si="24"/>
        <v>48.302532485772758</v>
      </c>
    </row>
    <row r="93" spans="1:20" x14ac:dyDescent="0.25">
      <c r="A93" s="19">
        <f t="shared" si="25"/>
        <v>91</v>
      </c>
      <c r="B93" s="19">
        <v>5500</v>
      </c>
      <c r="C93" s="19">
        <v>14</v>
      </c>
      <c r="D93" s="20">
        <v>2.5</v>
      </c>
      <c r="E93" s="20">
        <f>'1-Simulation'!F93*60/(2*PI()*'1-Specification &amp; Data'!B$14)</f>
        <v>332.97501661648062</v>
      </c>
      <c r="F93" s="20">
        <f>E93*(IF('1-Simulation'!J93=1,'1-Specification &amp; Data'!H$7,IF('1-Simulation'!J93=2,'1-Specification &amp; Data'!H$8,IF('1-Simulation'!J93=3,'1-Specification &amp; Data'!H$9))))</f>
        <v>2763.260202830274</v>
      </c>
      <c r="G93" s="20">
        <f>2*PI()*E93*'1-Simulation'!U93/(1000*60)</f>
        <v>9.4059050677818696</v>
      </c>
      <c r="H93" s="20">
        <f t="shared" si="14"/>
        <v>11.06577066797867</v>
      </c>
      <c r="I93" s="20">
        <f t="shared" si="15"/>
        <v>230.5368889162223</v>
      </c>
      <c r="J93" s="20">
        <f>'1-Simulation'!U93/(IF('1-Simulation'!J93=1,'1-Specification &amp; Data'!H$7,IF('1-Simulation'!J93=2,'1-Specification &amp; Data'!H$8,IF('1-Simulation'!J93=3,'1-Specification &amp; Data'!H$9)))*0.8)</f>
        <v>40.631251924555251</v>
      </c>
      <c r="K93" s="20">
        <f t="shared" si="13"/>
        <v>12.972767488837832</v>
      </c>
      <c r="L93" s="20">
        <f t="shared" si="16"/>
        <v>13.655544725092454</v>
      </c>
      <c r="M93" s="20">
        <f t="shared" si="17"/>
        <v>0</v>
      </c>
      <c r="N93" s="20">
        <f t="shared" si="18"/>
        <v>0</v>
      </c>
      <c r="O93" s="20">
        <f t="shared" si="19"/>
        <v>0</v>
      </c>
      <c r="P93" s="20">
        <f t="shared" si="20"/>
        <v>0</v>
      </c>
      <c r="Q93" s="20">
        <f t="shared" si="21"/>
        <v>10.472767488837832</v>
      </c>
      <c r="R93" s="20">
        <f t="shared" si="22"/>
        <v>218.18265601745483</v>
      </c>
      <c r="S93" s="20">
        <f t="shared" si="23"/>
        <v>0.5767212877490403</v>
      </c>
      <c r="T93" s="20">
        <f t="shared" si="24"/>
        <v>48.06010731242003</v>
      </c>
    </row>
    <row r="94" spans="1:20" x14ac:dyDescent="0.25">
      <c r="A94" s="19">
        <f t="shared" si="25"/>
        <v>92</v>
      </c>
      <c r="B94" s="19">
        <v>5500</v>
      </c>
      <c r="C94" s="19">
        <v>14</v>
      </c>
      <c r="D94" s="20">
        <v>2.5</v>
      </c>
      <c r="E94" s="20">
        <f>'1-Simulation'!F94*60/(2*PI()*'1-Specification &amp; Data'!B$14)</f>
        <v>332.97501661648062</v>
      </c>
      <c r="F94" s="20">
        <f>E94*(IF('1-Simulation'!J94=1,'1-Specification &amp; Data'!H$7,IF('1-Simulation'!J94=2,'1-Specification &amp; Data'!H$8,IF('1-Simulation'!J94=3,'1-Specification &amp; Data'!H$9))))</f>
        <v>2763.260202830274</v>
      </c>
      <c r="G94" s="20">
        <f>2*PI()*E94*'1-Simulation'!U94/(1000*60)</f>
        <v>9.4059050677818696</v>
      </c>
      <c r="H94" s="20">
        <f t="shared" si="14"/>
        <v>11.06577066797867</v>
      </c>
      <c r="I94" s="20">
        <f t="shared" si="15"/>
        <v>230.5368889162223</v>
      </c>
      <c r="J94" s="20">
        <f>'1-Simulation'!U94/(IF('1-Simulation'!J94=1,'1-Specification &amp; Data'!H$7,IF('1-Simulation'!J94=2,'1-Specification &amp; Data'!H$8,IF('1-Simulation'!J94=3,'1-Specification &amp; Data'!H$9)))*0.8)</f>
        <v>40.631251924555251</v>
      </c>
      <c r="K94" s="20">
        <f t="shared" si="13"/>
        <v>12.972767488837832</v>
      </c>
      <c r="L94" s="20">
        <f t="shared" si="16"/>
        <v>13.655544725092454</v>
      </c>
      <c r="M94" s="20">
        <f t="shared" si="17"/>
        <v>0</v>
      </c>
      <c r="N94" s="20">
        <f t="shared" si="18"/>
        <v>0</v>
      </c>
      <c r="O94" s="20">
        <f t="shared" si="19"/>
        <v>0</v>
      </c>
      <c r="P94" s="20">
        <f t="shared" si="20"/>
        <v>0</v>
      </c>
      <c r="Q94" s="20">
        <f t="shared" si="21"/>
        <v>10.472767488837832</v>
      </c>
      <c r="R94" s="20">
        <f t="shared" si="22"/>
        <v>218.18265601745483</v>
      </c>
      <c r="S94" s="20">
        <f t="shared" si="23"/>
        <v>0.57381218566880754</v>
      </c>
      <c r="T94" s="20">
        <f t="shared" si="24"/>
        <v>47.817682139067294</v>
      </c>
    </row>
    <row r="95" spans="1:20" x14ac:dyDescent="0.25">
      <c r="A95" s="19">
        <f t="shared" si="25"/>
        <v>93</v>
      </c>
      <c r="B95" s="19">
        <v>5500</v>
      </c>
      <c r="C95" s="19">
        <v>14</v>
      </c>
      <c r="D95" s="20">
        <v>2.5</v>
      </c>
      <c r="E95" s="20">
        <f>'1-Simulation'!F95*60/(2*PI()*'1-Specification &amp; Data'!B$14)</f>
        <v>318.49784198098149</v>
      </c>
      <c r="F95" s="20">
        <f>E95*(IF('1-Simulation'!J95=1,'1-Specification &amp; Data'!H$7,IF('1-Simulation'!J95=2,'1-Specification &amp; Data'!H$8,IF('1-Simulation'!J95=3,'1-Specification &amp; Data'!H$9))))</f>
        <v>2643.118454881132</v>
      </c>
      <c r="G95" s="20">
        <f>2*PI()*E95*'1-Simulation'!U95/(1000*60)</f>
        <v>-1.7154513708420231</v>
      </c>
      <c r="H95" s="20">
        <f t="shared" si="14"/>
        <v>0</v>
      </c>
      <c r="I95" s="20">
        <f t="shared" si="15"/>
        <v>0</v>
      </c>
      <c r="J95" s="20">
        <f>'1-Simulation'!U95/(IF('1-Simulation'!J95=1,'1-Specification &amp; Data'!H$7,IF('1-Simulation'!J95=2,'1-Specification &amp; Data'!H$8,IF('1-Simulation'!J95=3,'1-Specification &amp; Data'!H$9)))*0.8)</f>
        <v>-7.7471716638089889</v>
      </c>
      <c r="K95" s="20">
        <f t="shared" si="13"/>
        <v>0</v>
      </c>
      <c r="L95" s="20">
        <f t="shared" si="16"/>
        <v>0</v>
      </c>
      <c r="M95" s="20">
        <f t="shared" si="17"/>
        <v>0.65161077231160081</v>
      </c>
      <c r="N95" s="20">
        <f t="shared" si="18"/>
        <v>2.5</v>
      </c>
      <c r="O95" s="20">
        <f t="shared" si="19"/>
        <v>3.1516107723116007</v>
      </c>
      <c r="P95" s="20">
        <f t="shared" si="20"/>
        <v>55.486105146330999</v>
      </c>
      <c r="Q95" s="20">
        <f t="shared" si="21"/>
        <v>0</v>
      </c>
      <c r="R95" s="20">
        <f t="shared" si="22"/>
        <v>0</v>
      </c>
      <c r="S95" s="20">
        <f t="shared" si="23"/>
        <v>0.57468763310556081</v>
      </c>
      <c r="T95" s="20">
        <f t="shared" si="24"/>
        <v>47.890636092130073</v>
      </c>
    </row>
    <row r="96" spans="1:20" x14ac:dyDescent="0.25">
      <c r="A96" s="19">
        <f t="shared" si="25"/>
        <v>94</v>
      </c>
      <c r="B96" s="19">
        <v>5500</v>
      </c>
      <c r="C96" s="19">
        <v>14</v>
      </c>
      <c r="D96" s="20">
        <v>2.5</v>
      </c>
      <c r="E96" s="20">
        <f>'1-Simulation'!F96*60/(2*PI()*'1-Specification &amp; Data'!B$14)</f>
        <v>304.02066734548231</v>
      </c>
      <c r="F96" s="20">
        <f>E96*(IF('1-Simulation'!J96=1,'1-Specification &amp; Data'!H$7,IF('1-Simulation'!J96=2,'1-Specification &amp; Data'!H$8,IF('1-Simulation'!J96=3,'1-Specification &amp; Data'!H$9))))</f>
        <v>2522.9767069319892</v>
      </c>
      <c r="G96" s="20">
        <f>2*PI()*E96*'1-Simulation'!U96/(1000*60)</f>
        <v>-1.6716098600054334</v>
      </c>
      <c r="H96" s="20">
        <f t="shared" si="14"/>
        <v>0</v>
      </c>
      <c r="I96" s="20">
        <f t="shared" si="15"/>
        <v>0</v>
      </c>
      <c r="J96" s="20">
        <f>'1-Simulation'!U96/(IF('1-Simulation'!J96=1,'1-Specification &amp; Data'!H$7,IF('1-Simulation'!J96=2,'1-Specification &amp; Data'!H$8,IF('1-Simulation'!J96=3,'1-Specification &amp; Data'!H$9)))*0.8)</f>
        <v>-7.9086631500613631</v>
      </c>
      <c r="K96" s="20">
        <f t="shared" si="13"/>
        <v>0</v>
      </c>
      <c r="L96" s="20">
        <f t="shared" si="16"/>
        <v>0</v>
      </c>
      <c r="M96" s="20">
        <f t="shared" si="17"/>
        <v>0.63495766210334381</v>
      </c>
      <c r="N96" s="20">
        <f t="shared" si="18"/>
        <v>2.5</v>
      </c>
      <c r="O96" s="20">
        <f t="shared" si="19"/>
        <v>3.1349576621033437</v>
      </c>
      <c r="P96" s="20">
        <f t="shared" si="20"/>
        <v>55.192916586326483</v>
      </c>
      <c r="Q96" s="20">
        <f t="shared" si="21"/>
        <v>0</v>
      </c>
      <c r="R96" s="20">
        <f t="shared" si="22"/>
        <v>0</v>
      </c>
      <c r="S96" s="20">
        <f t="shared" si="23"/>
        <v>0.5755584546783673</v>
      </c>
      <c r="T96" s="20">
        <f t="shared" si="24"/>
        <v>47.963204556530613</v>
      </c>
    </row>
    <row r="97" spans="1:20" x14ac:dyDescent="0.25">
      <c r="A97" s="19">
        <f t="shared" si="25"/>
        <v>95</v>
      </c>
      <c r="B97" s="19">
        <v>5500</v>
      </c>
      <c r="C97" s="19">
        <v>14</v>
      </c>
      <c r="D97" s="20">
        <v>2.5</v>
      </c>
      <c r="E97" s="20">
        <f>'1-Simulation'!F97*60/(2*PI()*'1-Specification &amp; Data'!B$14)</f>
        <v>289.54349270998313</v>
      </c>
      <c r="F97" s="20">
        <f>E97*(IF('1-Simulation'!J97=1,'1-Specification &amp; Data'!H$7,IF('1-Simulation'!J97=2,'1-Specification &amp; Data'!H$8,IF('1-Simulation'!J97=3,'1-Specification &amp; Data'!H$9))))</f>
        <v>3641.6298711695595</v>
      </c>
      <c r="G97" s="20">
        <f>2*PI()*E97*'1-Simulation'!U97/(1000*60)</f>
        <v>-1.6399665814105593</v>
      </c>
      <c r="H97" s="20">
        <f t="shared" si="14"/>
        <v>0</v>
      </c>
      <c r="I97" s="20">
        <f t="shared" si="15"/>
        <v>0</v>
      </c>
      <c r="J97" s="20">
        <f>'1-Simulation'!U97/(IF('1-Simulation'!J97=1,'1-Specification &amp; Data'!H$7,IF('1-Simulation'!J97=2,'1-Specification &amp; Data'!H$8,IF('1-Simulation'!J97=3,'1-Specification &amp; Data'!H$9)))*0.8)</f>
        <v>-5.3755213428619495</v>
      </c>
      <c r="K97" s="20">
        <f t="shared" si="13"/>
        <v>0</v>
      </c>
      <c r="L97" s="20">
        <f t="shared" si="16"/>
        <v>0</v>
      </c>
      <c r="M97" s="20">
        <f t="shared" si="17"/>
        <v>0.62293802601563819</v>
      </c>
      <c r="N97" s="20">
        <f t="shared" si="18"/>
        <v>2.5</v>
      </c>
      <c r="O97" s="20">
        <f t="shared" si="19"/>
        <v>3.1229380260156381</v>
      </c>
      <c r="P97" s="20">
        <f t="shared" si="20"/>
        <v>54.981303274923206</v>
      </c>
      <c r="Q97" s="20">
        <f t="shared" si="21"/>
        <v>0</v>
      </c>
      <c r="R97" s="20">
        <f t="shared" si="22"/>
        <v>0</v>
      </c>
      <c r="S97" s="20">
        <f t="shared" si="23"/>
        <v>0.57642593746337167</v>
      </c>
      <c r="T97" s="20">
        <f t="shared" si="24"/>
        <v>48.035494788614308</v>
      </c>
    </row>
    <row r="98" spans="1:20" x14ac:dyDescent="0.25">
      <c r="A98" s="19">
        <f t="shared" si="25"/>
        <v>96</v>
      </c>
      <c r="B98" s="19">
        <v>5500</v>
      </c>
      <c r="C98" s="19">
        <v>14</v>
      </c>
      <c r="D98" s="20">
        <v>2.5</v>
      </c>
      <c r="E98" s="20">
        <f>'1-Simulation'!F98*60/(2*PI()*'1-Specification &amp; Data'!B$14)</f>
        <v>286.64805778288331</v>
      </c>
      <c r="F98" s="20">
        <f>E98*(IF('1-Simulation'!J98=1,'1-Specification &amp; Data'!H$7,IF('1-Simulation'!J98=2,'1-Specification &amp; Data'!H$8,IF('1-Simulation'!J98=3,'1-Specification &amp; Data'!H$9))))</f>
        <v>3605.2135724578643</v>
      </c>
      <c r="G98" s="20">
        <f>2*PI()*E98*'1-Simulation'!U98/(1000*60)</f>
        <v>0.37863071507363455</v>
      </c>
      <c r="H98" s="20">
        <f t="shared" si="14"/>
        <v>0.44544790008662888</v>
      </c>
      <c r="I98" s="20">
        <f t="shared" si="15"/>
        <v>9.2801645851381007</v>
      </c>
      <c r="J98" s="20">
        <f>'1-Simulation'!U98/(IF('1-Simulation'!J98=1,'1-Specification &amp; Data'!H$7,IF('1-Simulation'!J98=2,'1-Specification &amp; Data'!H$8,IF('1-Simulation'!J98=3,'1-Specification &amp; Data'!H$9)))*0.8)</f>
        <v>1.2536209443475121</v>
      </c>
      <c r="K98" s="20">
        <f t="shared" si="13"/>
        <v>0.52221324746380882</v>
      </c>
      <c r="L98" s="20">
        <f t="shared" si="16"/>
        <v>0.54969815522506194</v>
      </c>
      <c r="M98" s="20">
        <f t="shared" si="17"/>
        <v>0</v>
      </c>
      <c r="N98" s="20">
        <f t="shared" si="18"/>
        <v>1.9503018447749381</v>
      </c>
      <c r="O98" s="20">
        <f t="shared" si="19"/>
        <v>1.9777867525361912</v>
      </c>
      <c r="P98" s="20">
        <f t="shared" si="20"/>
        <v>34.820189305214633</v>
      </c>
      <c r="Q98" s="20">
        <f t="shared" si="21"/>
        <v>0</v>
      </c>
      <c r="R98" s="20">
        <f t="shared" si="22"/>
        <v>0</v>
      </c>
      <c r="S98" s="20">
        <f t="shared" si="23"/>
        <v>0.57697532267240947</v>
      </c>
      <c r="T98" s="20">
        <f t="shared" si="24"/>
        <v>48.081276889367459</v>
      </c>
    </row>
    <row r="99" spans="1:20" x14ac:dyDescent="0.25">
      <c r="A99" s="19">
        <f t="shared" si="25"/>
        <v>97</v>
      </c>
      <c r="B99" s="19">
        <v>5500</v>
      </c>
      <c r="C99" s="19">
        <v>14</v>
      </c>
      <c r="D99" s="20">
        <v>2.5</v>
      </c>
      <c r="E99" s="20">
        <f>'1-Simulation'!F99*60/(2*PI()*'1-Specification &amp; Data'!B$14)</f>
        <v>275.066318074484</v>
      </c>
      <c r="F99" s="20">
        <f>E99*(IF('1-Simulation'!J99=1,'1-Specification &amp; Data'!H$7,IF('1-Simulation'!J99=2,'1-Specification &amp; Data'!H$8,IF('1-Simulation'!J99=3,'1-Specification &amp; Data'!H$9))))</f>
        <v>3459.5483776110818</v>
      </c>
      <c r="G99" s="20">
        <f>2*PI()*E99*'1-Simulation'!U99/(1000*60)</f>
        <v>-1.1042237631212384</v>
      </c>
      <c r="H99" s="20">
        <f t="shared" si="14"/>
        <v>0</v>
      </c>
      <c r="I99" s="20">
        <f t="shared" si="15"/>
        <v>0</v>
      </c>
      <c r="J99" s="20">
        <f>'1-Simulation'!U99/(IF('1-Simulation'!J99=1,'1-Specification &amp; Data'!H$7,IF('1-Simulation'!J99=2,'1-Specification &amp; Data'!H$8,IF('1-Simulation'!J99=3,'1-Specification &amp; Data'!H$9)))*0.8)</f>
        <v>-3.8099482431931166</v>
      </c>
      <c r="K99" s="20">
        <f t="shared" si="13"/>
        <v>0</v>
      </c>
      <c r="L99" s="20">
        <f t="shared" si="16"/>
        <v>0</v>
      </c>
      <c r="M99" s="20">
        <f t="shared" si="17"/>
        <v>0.41943718797407614</v>
      </c>
      <c r="N99" s="20">
        <f t="shared" si="18"/>
        <v>2.5</v>
      </c>
      <c r="O99" s="20">
        <f t="shared" si="19"/>
        <v>2.9194371879740761</v>
      </c>
      <c r="P99" s="20">
        <f t="shared" si="20"/>
        <v>51.398542041797114</v>
      </c>
      <c r="Q99" s="20">
        <f t="shared" si="21"/>
        <v>0</v>
      </c>
      <c r="R99" s="20">
        <f t="shared" si="22"/>
        <v>0</v>
      </c>
      <c r="S99" s="20">
        <f t="shared" si="23"/>
        <v>0.57778627744684674</v>
      </c>
      <c r="T99" s="20">
        <f t="shared" si="24"/>
        <v>48.148856453903896</v>
      </c>
    </row>
    <row r="100" spans="1:20" x14ac:dyDescent="0.25">
      <c r="A100" s="19">
        <f t="shared" si="25"/>
        <v>98</v>
      </c>
      <c r="B100" s="19">
        <v>5500</v>
      </c>
      <c r="C100" s="19">
        <v>14</v>
      </c>
      <c r="D100" s="20">
        <v>2.5</v>
      </c>
      <c r="E100" s="20">
        <f>'1-Simulation'!F100*60/(2*PI()*'1-Specification &amp; Data'!B$14)</f>
        <v>260.58914343898482</v>
      </c>
      <c r="F100" s="20">
        <f>E100*(IF('1-Simulation'!J100=1,'1-Specification &amp; Data'!H$7,IF('1-Simulation'!J100=2,'1-Specification &amp; Data'!H$8,IF('1-Simulation'!J100=3,'1-Specification &amp; Data'!H$9))))</f>
        <v>3277.4668840526037</v>
      </c>
      <c r="G100" s="20">
        <f>2*PI()*E100*'1-Simulation'!U100/(1000*60)</f>
        <v>-1.5276805527456561</v>
      </c>
      <c r="H100" s="20">
        <f t="shared" si="14"/>
        <v>0</v>
      </c>
      <c r="I100" s="20">
        <f t="shared" si="15"/>
        <v>0</v>
      </c>
      <c r="J100" s="20">
        <f>'1-Simulation'!U100/(IF('1-Simulation'!J100=1,'1-Specification &amp; Data'!H$7,IF('1-Simulation'!J100=2,'1-Specification &amp; Data'!H$8,IF('1-Simulation'!J100=3,'1-Specification &amp; Data'!H$9)))*0.8)</f>
        <v>-5.5638528176565938</v>
      </c>
      <c r="K100" s="20">
        <f t="shared" si="13"/>
        <v>0</v>
      </c>
      <c r="L100" s="20">
        <f t="shared" si="16"/>
        <v>0</v>
      </c>
      <c r="M100" s="20">
        <f t="shared" si="17"/>
        <v>0.58028640259933195</v>
      </c>
      <c r="N100" s="20">
        <f t="shared" si="18"/>
        <v>2.5</v>
      </c>
      <c r="O100" s="20">
        <f t="shared" si="19"/>
        <v>3.0802864025993317</v>
      </c>
      <c r="P100" s="20">
        <f t="shared" si="20"/>
        <v>54.23039441196007</v>
      </c>
      <c r="Q100" s="20">
        <f t="shared" si="21"/>
        <v>0</v>
      </c>
      <c r="R100" s="20">
        <f t="shared" si="22"/>
        <v>0</v>
      </c>
      <c r="S100" s="20">
        <f t="shared" si="23"/>
        <v>0.57864191255867992</v>
      </c>
      <c r="T100" s="20">
        <f t="shared" si="24"/>
        <v>48.220159379889999</v>
      </c>
    </row>
    <row r="101" spans="1:20" x14ac:dyDescent="0.25">
      <c r="A101" s="19">
        <f t="shared" si="25"/>
        <v>99</v>
      </c>
      <c r="B101" s="19">
        <v>5500</v>
      </c>
      <c r="C101" s="19">
        <v>14</v>
      </c>
      <c r="D101" s="20">
        <v>2.5</v>
      </c>
      <c r="E101" s="20">
        <f>'1-Simulation'!F101*60/(2*PI()*'1-Specification &amp; Data'!B$14)</f>
        <v>238.8733814857361</v>
      </c>
      <c r="F101" s="20">
        <f>E101*(IF('1-Simulation'!J101=1,'1-Specification &amp; Data'!H$7,IF('1-Simulation'!J101=2,'1-Specification &amp; Data'!H$8,IF('1-Simulation'!J101=3,'1-Specification &amp; Data'!H$9))))</f>
        <v>3004.3446437148868</v>
      </c>
      <c r="G101" s="20">
        <f>2*PI()*E101*'1-Simulation'!U101/(1000*60)</f>
        <v>-2.4785646454945578</v>
      </c>
      <c r="H101" s="20">
        <f t="shared" si="14"/>
        <v>0</v>
      </c>
      <c r="I101" s="20">
        <f t="shared" si="15"/>
        <v>0</v>
      </c>
      <c r="J101" s="20">
        <f>'1-Simulation'!U101/(IF('1-Simulation'!J101=1,'1-Specification &amp; Data'!H$7,IF('1-Simulation'!J101=2,'1-Specification &amp; Data'!H$8,IF('1-Simulation'!J101=3,'1-Specification &amp; Data'!H$9)))*0.8)</f>
        <v>-9.847633890685195</v>
      </c>
      <c r="K101" s="20">
        <f t="shared" si="13"/>
        <v>0</v>
      </c>
      <c r="L101" s="20">
        <f t="shared" si="16"/>
        <v>0</v>
      </c>
      <c r="M101" s="20">
        <f t="shared" si="17"/>
        <v>0.94147782346181663</v>
      </c>
      <c r="N101" s="20">
        <f t="shared" si="18"/>
        <v>2.5</v>
      </c>
      <c r="O101" s="20">
        <f t="shared" si="19"/>
        <v>3.4414778234618169</v>
      </c>
      <c r="P101" s="20">
        <f t="shared" si="20"/>
        <v>60.589398300384104</v>
      </c>
      <c r="Q101" s="20">
        <f t="shared" si="21"/>
        <v>0</v>
      </c>
      <c r="R101" s="20">
        <f t="shared" si="22"/>
        <v>0</v>
      </c>
      <c r="S101" s="20">
        <f t="shared" si="23"/>
        <v>0.57959787862075263</v>
      </c>
      <c r="T101" s="20">
        <f t="shared" si="24"/>
        <v>48.29982321839605</v>
      </c>
    </row>
    <row r="102" spans="1:20" x14ac:dyDescent="0.25">
      <c r="A102" s="19">
        <f t="shared" si="25"/>
        <v>100</v>
      </c>
      <c r="B102" s="19">
        <v>5500</v>
      </c>
      <c r="C102" s="19">
        <v>14</v>
      </c>
      <c r="D102" s="20">
        <v>2.5</v>
      </c>
      <c r="E102" s="20">
        <f>'1-Simulation'!F102*60/(2*PI()*'1-Specification &amp; Data'!B$14)</f>
        <v>217.15761953248733</v>
      </c>
      <c r="F102" s="20">
        <f>E102*(IF('1-Simulation'!J102=1,'1-Specification &amp; Data'!H$7,IF('1-Simulation'!J102=2,'1-Specification &amp; Data'!H$8,IF('1-Simulation'!J102=3,'1-Specification &amp; Data'!H$9))))</f>
        <v>2731.2224033771695</v>
      </c>
      <c r="G102" s="20">
        <f>2*PI()*E102*'1-Simulation'!U102/(1000*60)</f>
        <v>-2.2800314557030172</v>
      </c>
      <c r="H102" s="20">
        <f t="shared" si="14"/>
        <v>0</v>
      </c>
      <c r="I102" s="20">
        <f t="shared" si="15"/>
        <v>0</v>
      </c>
      <c r="J102" s="20">
        <f>'1-Simulation'!U102/(IF('1-Simulation'!J102=1,'1-Specification &amp; Data'!H$7,IF('1-Simulation'!J102=2,'1-Specification &amp; Data'!H$8,IF('1-Simulation'!J102=3,'1-Specification &amp; Data'!H$9)))*0.8)</f>
        <v>-9.9647215510016025</v>
      </c>
      <c r="K102" s="20">
        <f t="shared" si="13"/>
        <v>0</v>
      </c>
      <c r="L102" s="20">
        <f t="shared" si="16"/>
        <v>0</v>
      </c>
      <c r="M102" s="20">
        <f t="shared" si="17"/>
        <v>0.86606538838587965</v>
      </c>
      <c r="N102" s="20">
        <f t="shared" si="18"/>
        <v>2.5</v>
      </c>
      <c r="O102" s="20">
        <f t="shared" si="19"/>
        <v>3.3660653883858798</v>
      </c>
      <c r="P102" s="20">
        <f t="shared" si="20"/>
        <v>59.261714584258449</v>
      </c>
      <c r="Q102" s="20">
        <f t="shared" si="21"/>
        <v>0</v>
      </c>
      <c r="R102" s="20">
        <f t="shared" si="22"/>
        <v>0</v>
      </c>
      <c r="S102" s="20">
        <f t="shared" si="23"/>
        <v>0.58053289678419318</v>
      </c>
      <c r="T102" s="20">
        <f t="shared" si="24"/>
        <v>48.377741398682765</v>
      </c>
    </row>
    <row r="103" spans="1:20" x14ac:dyDescent="0.25">
      <c r="A103" s="19">
        <f t="shared" si="25"/>
        <v>101</v>
      </c>
      <c r="B103" s="19">
        <v>5500</v>
      </c>
      <c r="C103" s="19">
        <v>14</v>
      </c>
      <c r="D103" s="20">
        <v>2.5</v>
      </c>
      <c r="E103" s="20">
        <f>'1-Simulation'!F103*60/(2*PI()*'1-Specification &amp; Data'!B$14)</f>
        <v>209.91903221473777</v>
      </c>
      <c r="F103" s="20">
        <f>E103*(IF('1-Simulation'!J103=1,'1-Specification &amp; Data'!H$7,IF('1-Simulation'!J103=2,'1-Specification &amp; Data'!H$8,IF('1-Simulation'!J103=3,'1-Specification &amp; Data'!H$9))))</f>
        <v>2640.1816565979307</v>
      </c>
      <c r="G103" s="20">
        <f>2*PI()*E103*'1-Simulation'!U103/(1000*60)</f>
        <v>-0.37384149805188677</v>
      </c>
      <c r="H103" s="20">
        <f t="shared" si="14"/>
        <v>0</v>
      </c>
      <c r="I103" s="20">
        <f t="shared" si="15"/>
        <v>0</v>
      </c>
      <c r="J103" s="20">
        <f>'1-Simulation'!U103/(IF('1-Simulation'!J103=1,'1-Specification &amp; Data'!H$7,IF('1-Simulation'!J103=2,'1-Specification &amp; Data'!H$8,IF('1-Simulation'!J103=3,'1-Specification &amp; Data'!H$9)))*0.8)</f>
        <v>-1.6901883114504734</v>
      </c>
      <c r="K103" s="20">
        <f t="shared" si="13"/>
        <v>0</v>
      </c>
      <c r="L103" s="20">
        <f t="shared" si="16"/>
        <v>0</v>
      </c>
      <c r="M103" s="20">
        <f t="shared" si="17"/>
        <v>0.14200294535201305</v>
      </c>
      <c r="N103" s="20">
        <f t="shared" si="18"/>
        <v>2.5</v>
      </c>
      <c r="O103" s="20">
        <f t="shared" si="19"/>
        <v>2.6420029453520129</v>
      </c>
      <c r="P103" s="20">
        <f t="shared" si="20"/>
        <v>46.514136361831213</v>
      </c>
      <c r="Q103" s="20">
        <f t="shared" si="21"/>
        <v>0</v>
      </c>
      <c r="R103" s="20">
        <f t="shared" si="22"/>
        <v>0</v>
      </c>
      <c r="S103" s="20">
        <f t="shared" si="23"/>
        <v>0.58126678649123542</v>
      </c>
      <c r="T103" s="20">
        <f t="shared" si="24"/>
        <v>48.438898874269618</v>
      </c>
    </row>
    <row r="104" spans="1:20" x14ac:dyDescent="0.25">
      <c r="A104" s="19">
        <f t="shared" si="25"/>
        <v>102</v>
      </c>
      <c r="B104" s="19">
        <v>5500</v>
      </c>
      <c r="C104" s="19">
        <v>14</v>
      </c>
      <c r="D104" s="20">
        <v>2.5</v>
      </c>
      <c r="E104" s="20">
        <f>'1-Simulation'!F104*60/(2*PI()*'1-Specification &amp; Data'!B$14)</f>
        <v>209.91903221473777</v>
      </c>
      <c r="F104" s="20">
        <f>E104*(IF('1-Simulation'!J104=1,'1-Specification &amp; Data'!H$7,IF('1-Simulation'!J104=2,'1-Specification &amp; Data'!H$8,IF('1-Simulation'!J104=3,'1-Specification &amp; Data'!H$9))))</f>
        <v>2640.1816565979307</v>
      </c>
      <c r="G104" s="20">
        <f>2*PI()*E104*'1-Simulation'!U104/(1000*60)</f>
        <v>0.54529521195026298</v>
      </c>
      <c r="H104" s="20">
        <f t="shared" si="14"/>
        <v>0.64152377876501532</v>
      </c>
      <c r="I104" s="20">
        <f t="shared" si="15"/>
        <v>13.365078724271152</v>
      </c>
      <c r="J104" s="20">
        <f>'1-Simulation'!U104/(IF('1-Simulation'!J104=1,'1-Specification &amp; Data'!H$7,IF('1-Simulation'!J104=2,'1-Specification &amp; Data'!H$8,IF('1-Simulation'!J104=3,'1-Specification &amp; Data'!H$9)))*0.8)</f>
        <v>2.465353895517302</v>
      </c>
      <c r="K104" s="20">
        <f t="shared" si="13"/>
        <v>0.75207945927903319</v>
      </c>
      <c r="L104" s="20">
        <f t="shared" si="16"/>
        <v>0.7916625887147718</v>
      </c>
      <c r="M104" s="20">
        <f t="shared" si="17"/>
        <v>0</v>
      </c>
      <c r="N104" s="20">
        <f t="shared" si="18"/>
        <v>1.7083374112852283</v>
      </c>
      <c r="O104" s="20">
        <f t="shared" si="19"/>
        <v>1.7479205407209668</v>
      </c>
      <c r="P104" s="20">
        <f t="shared" si="20"/>
        <v>30.773248956355051</v>
      </c>
      <c r="Q104" s="20">
        <f t="shared" si="21"/>
        <v>0</v>
      </c>
      <c r="R104" s="20">
        <f t="shared" si="22"/>
        <v>0</v>
      </c>
      <c r="S104" s="20">
        <f t="shared" si="23"/>
        <v>0.58175231997476906</v>
      </c>
      <c r="T104" s="20">
        <f t="shared" si="24"/>
        <v>48.479359997897426</v>
      </c>
    </row>
    <row r="105" spans="1:20" x14ac:dyDescent="0.25">
      <c r="A105" s="19">
        <f t="shared" si="25"/>
        <v>103</v>
      </c>
      <c r="B105" s="19">
        <v>5500</v>
      </c>
      <c r="C105" s="19">
        <v>14</v>
      </c>
      <c r="D105" s="20">
        <v>2.5</v>
      </c>
      <c r="E105" s="20">
        <f>'1-Simulation'!F105*60/(2*PI()*'1-Specification &amp; Data'!B$14)</f>
        <v>209.91903221473777</v>
      </c>
      <c r="F105" s="20">
        <f>E105*(IF('1-Simulation'!J105=1,'1-Specification &amp; Data'!H$7,IF('1-Simulation'!J105=2,'1-Specification &amp; Data'!H$8,IF('1-Simulation'!J105=3,'1-Specification &amp; Data'!H$9))))</f>
        <v>2640.1816565979307</v>
      </c>
      <c r="G105" s="20">
        <f>2*PI()*E105*'1-Simulation'!U105/(1000*60)</f>
        <v>0.54529521195026298</v>
      </c>
      <c r="H105" s="20">
        <f t="shared" si="14"/>
        <v>0.64152377876501532</v>
      </c>
      <c r="I105" s="20">
        <f t="shared" si="15"/>
        <v>13.365078724271152</v>
      </c>
      <c r="J105" s="20">
        <f>'1-Simulation'!U105/(IF('1-Simulation'!J105=1,'1-Specification &amp; Data'!H$7,IF('1-Simulation'!J105=2,'1-Specification &amp; Data'!H$8,IF('1-Simulation'!J105=3,'1-Specification &amp; Data'!H$9)))*0.8)</f>
        <v>2.465353895517302</v>
      </c>
      <c r="K105" s="20">
        <f t="shared" si="13"/>
        <v>0.75207945927903319</v>
      </c>
      <c r="L105" s="20">
        <f t="shared" si="16"/>
        <v>0.7916625887147718</v>
      </c>
      <c r="M105" s="20">
        <f t="shared" si="17"/>
        <v>0</v>
      </c>
      <c r="N105" s="20">
        <f t="shared" si="18"/>
        <v>1.7083374112852283</v>
      </c>
      <c r="O105" s="20">
        <f t="shared" si="19"/>
        <v>1.7479205407209668</v>
      </c>
      <c r="P105" s="20">
        <f t="shared" si="20"/>
        <v>30.773248956355051</v>
      </c>
      <c r="Q105" s="20">
        <f t="shared" si="21"/>
        <v>0</v>
      </c>
      <c r="R105" s="20">
        <f t="shared" si="22"/>
        <v>0</v>
      </c>
      <c r="S105" s="20">
        <f t="shared" si="23"/>
        <v>0.5822378534583027</v>
      </c>
      <c r="T105" s="20">
        <f t="shared" si="24"/>
        <v>48.519821121525226</v>
      </c>
    </row>
    <row r="106" spans="1:20" x14ac:dyDescent="0.25">
      <c r="A106" s="19">
        <f t="shared" si="25"/>
        <v>104</v>
      </c>
      <c r="B106" s="19">
        <v>5500</v>
      </c>
      <c r="C106" s="19">
        <v>14</v>
      </c>
      <c r="D106" s="20">
        <v>2.5</v>
      </c>
      <c r="E106" s="20">
        <f>'1-Simulation'!F106*60/(2*PI()*'1-Specification &amp; Data'!B$14)</f>
        <v>209.91903221473777</v>
      </c>
      <c r="F106" s="20">
        <f>E106*(IF('1-Simulation'!J106=1,'1-Specification &amp; Data'!H$7,IF('1-Simulation'!J106=2,'1-Specification &amp; Data'!H$8,IF('1-Simulation'!J106=3,'1-Specification &amp; Data'!H$9))))</f>
        <v>2640.1816565979307</v>
      </c>
      <c r="G106" s="20">
        <f>2*PI()*E106*'1-Simulation'!U106/(1000*60)</f>
        <v>0.54529521195026298</v>
      </c>
      <c r="H106" s="20">
        <f t="shared" si="14"/>
        <v>0.64152377876501532</v>
      </c>
      <c r="I106" s="20">
        <f t="shared" si="15"/>
        <v>13.365078724271152</v>
      </c>
      <c r="J106" s="20">
        <f>'1-Simulation'!U106/(IF('1-Simulation'!J106=1,'1-Specification &amp; Data'!H$7,IF('1-Simulation'!J106=2,'1-Specification &amp; Data'!H$8,IF('1-Simulation'!J106=3,'1-Specification &amp; Data'!H$9)))*0.8)</f>
        <v>2.465353895517302</v>
      </c>
      <c r="K106" s="20">
        <f t="shared" si="13"/>
        <v>0.75207945927903319</v>
      </c>
      <c r="L106" s="20">
        <f t="shared" si="16"/>
        <v>0.7916625887147718</v>
      </c>
      <c r="M106" s="20">
        <f t="shared" si="17"/>
        <v>0</v>
      </c>
      <c r="N106" s="20">
        <f t="shared" si="18"/>
        <v>1.7083374112852283</v>
      </c>
      <c r="O106" s="20">
        <f t="shared" si="19"/>
        <v>1.7479205407209668</v>
      </c>
      <c r="P106" s="20">
        <f t="shared" si="20"/>
        <v>30.773248956355051</v>
      </c>
      <c r="Q106" s="20">
        <f t="shared" si="21"/>
        <v>0</v>
      </c>
      <c r="R106" s="20">
        <f t="shared" si="22"/>
        <v>0</v>
      </c>
      <c r="S106" s="20">
        <f t="shared" si="23"/>
        <v>0.58272338694183634</v>
      </c>
      <c r="T106" s="20">
        <f t="shared" si="24"/>
        <v>48.560282245153026</v>
      </c>
    </row>
    <row r="107" spans="1:20" x14ac:dyDescent="0.25">
      <c r="A107" s="19">
        <f t="shared" si="25"/>
        <v>105</v>
      </c>
      <c r="B107" s="19">
        <v>5500</v>
      </c>
      <c r="C107" s="19">
        <v>14</v>
      </c>
      <c r="D107" s="20">
        <v>2.5</v>
      </c>
      <c r="E107" s="20">
        <f>'1-Simulation'!F107*60/(2*PI()*'1-Specification &amp; Data'!B$14)</f>
        <v>209.91903221473777</v>
      </c>
      <c r="F107" s="20">
        <f>E107*(IF('1-Simulation'!J107=1,'1-Specification &amp; Data'!H$7,IF('1-Simulation'!J107=2,'1-Specification &amp; Data'!H$8,IF('1-Simulation'!J107=3,'1-Specification &amp; Data'!H$9))))</f>
        <v>2640.1816565979307</v>
      </c>
      <c r="G107" s="20">
        <f>2*PI()*E107*'1-Simulation'!U107/(1000*60)</f>
        <v>0.54529521195026298</v>
      </c>
      <c r="H107" s="20">
        <f t="shared" si="14"/>
        <v>0.64152377876501532</v>
      </c>
      <c r="I107" s="20">
        <f t="shared" si="15"/>
        <v>13.365078724271152</v>
      </c>
      <c r="J107" s="20">
        <f>'1-Simulation'!U107/(IF('1-Simulation'!J107=1,'1-Specification &amp; Data'!H$7,IF('1-Simulation'!J107=2,'1-Specification &amp; Data'!H$8,IF('1-Simulation'!J107=3,'1-Specification &amp; Data'!H$9)))*0.8)</f>
        <v>2.465353895517302</v>
      </c>
      <c r="K107" s="20">
        <f t="shared" si="13"/>
        <v>0.75207945927903319</v>
      </c>
      <c r="L107" s="20">
        <f t="shared" si="16"/>
        <v>0.7916625887147718</v>
      </c>
      <c r="M107" s="20">
        <f t="shared" si="17"/>
        <v>0</v>
      </c>
      <c r="N107" s="20">
        <f t="shared" si="18"/>
        <v>1.7083374112852283</v>
      </c>
      <c r="O107" s="20">
        <f t="shared" si="19"/>
        <v>1.7479205407209668</v>
      </c>
      <c r="P107" s="20">
        <f t="shared" si="20"/>
        <v>30.773248956355051</v>
      </c>
      <c r="Q107" s="20">
        <f t="shared" si="21"/>
        <v>0</v>
      </c>
      <c r="R107" s="20">
        <f t="shared" si="22"/>
        <v>0</v>
      </c>
      <c r="S107" s="20">
        <f t="shared" si="23"/>
        <v>0.58320892042536998</v>
      </c>
      <c r="T107" s="20">
        <f t="shared" si="24"/>
        <v>48.600743368780833</v>
      </c>
    </row>
    <row r="108" spans="1:20" x14ac:dyDescent="0.25">
      <c r="A108" s="19">
        <f t="shared" si="25"/>
        <v>106</v>
      </c>
      <c r="B108" s="19">
        <v>5500</v>
      </c>
      <c r="C108" s="19">
        <v>14</v>
      </c>
      <c r="D108" s="20">
        <v>2.5</v>
      </c>
      <c r="E108" s="20">
        <f>'1-Simulation'!F108*60/(2*PI()*'1-Specification &amp; Data'!B$14)</f>
        <v>209.91903221473777</v>
      </c>
      <c r="F108" s="20">
        <f>E108*(IF('1-Simulation'!J108=1,'1-Specification &amp; Data'!H$7,IF('1-Simulation'!J108=2,'1-Specification &amp; Data'!H$8,IF('1-Simulation'!J108=3,'1-Specification &amp; Data'!H$9))))</f>
        <v>2640.1816565979307</v>
      </c>
      <c r="G108" s="20">
        <f>2*PI()*E108*'1-Simulation'!U108/(1000*60)</f>
        <v>0.54529521195026298</v>
      </c>
      <c r="H108" s="20">
        <f t="shared" si="14"/>
        <v>0.64152377876501532</v>
      </c>
      <c r="I108" s="20">
        <f t="shared" si="15"/>
        <v>13.365078724271152</v>
      </c>
      <c r="J108" s="20">
        <f>'1-Simulation'!U108/(IF('1-Simulation'!J108=1,'1-Specification &amp; Data'!H$7,IF('1-Simulation'!J108=2,'1-Specification &amp; Data'!H$8,IF('1-Simulation'!J108=3,'1-Specification &amp; Data'!H$9)))*0.8)</f>
        <v>2.465353895517302</v>
      </c>
      <c r="K108" s="20">
        <f t="shared" si="13"/>
        <v>0.75207945927903319</v>
      </c>
      <c r="L108" s="20">
        <f t="shared" si="16"/>
        <v>0.7916625887147718</v>
      </c>
      <c r="M108" s="20">
        <f t="shared" si="17"/>
        <v>0</v>
      </c>
      <c r="N108" s="20">
        <f t="shared" si="18"/>
        <v>1.7083374112852283</v>
      </c>
      <c r="O108" s="20">
        <f t="shared" si="19"/>
        <v>1.7479205407209668</v>
      </c>
      <c r="P108" s="20">
        <f t="shared" si="20"/>
        <v>30.773248956355051</v>
      </c>
      <c r="Q108" s="20">
        <f t="shared" si="21"/>
        <v>0</v>
      </c>
      <c r="R108" s="20">
        <f t="shared" si="22"/>
        <v>0</v>
      </c>
      <c r="S108" s="20">
        <f t="shared" si="23"/>
        <v>0.58369445390890362</v>
      </c>
      <c r="T108" s="20">
        <f t="shared" si="24"/>
        <v>48.64120449240864</v>
      </c>
    </row>
    <row r="109" spans="1:20" x14ac:dyDescent="0.25">
      <c r="A109" s="19">
        <f t="shared" si="25"/>
        <v>107</v>
      </c>
      <c r="B109" s="19">
        <v>5500</v>
      </c>
      <c r="C109" s="19">
        <v>14</v>
      </c>
      <c r="D109" s="20">
        <v>2.5</v>
      </c>
      <c r="E109" s="20">
        <f>'1-Simulation'!F109*60/(2*PI()*'1-Specification &amp; Data'!B$14)</f>
        <v>209.91903221473777</v>
      </c>
      <c r="F109" s="20">
        <f>E109*(IF('1-Simulation'!J109=1,'1-Specification &amp; Data'!H$7,IF('1-Simulation'!J109=2,'1-Specification &amp; Data'!H$8,IF('1-Simulation'!J109=3,'1-Specification &amp; Data'!H$9))))</f>
        <v>2640.1816565979307</v>
      </c>
      <c r="G109" s="20">
        <f>2*PI()*E109*'1-Simulation'!U109/(1000*60)</f>
        <v>0.54529521195026298</v>
      </c>
      <c r="H109" s="20">
        <f t="shared" si="14"/>
        <v>0.64152377876501532</v>
      </c>
      <c r="I109" s="20">
        <f t="shared" si="15"/>
        <v>13.365078724271152</v>
      </c>
      <c r="J109" s="20">
        <f>'1-Simulation'!U109/(IF('1-Simulation'!J109=1,'1-Specification &amp; Data'!H$7,IF('1-Simulation'!J109=2,'1-Specification &amp; Data'!H$8,IF('1-Simulation'!J109=3,'1-Specification &amp; Data'!H$9)))*0.8)</f>
        <v>2.465353895517302</v>
      </c>
      <c r="K109" s="20">
        <f t="shared" si="13"/>
        <v>0.75207945927903319</v>
      </c>
      <c r="L109" s="20">
        <f t="shared" si="16"/>
        <v>0.7916625887147718</v>
      </c>
      <c r="M109" s="20">
        <f t="shared" si="17"/>
        <v>0</v>
      </c>
      <c r="N109" s="20">
        <f t="shared" si="18"/>
        <v>1.7083374112852283</v>
      </c>
      <c r="O109" s="20">
        <f t="shared" si="19"/>
        <v>1.7479205407209668</v>
      </c>
      <c r="P109" s="20">
        <f t="shared" si="20"/>
        <v>30.773248956355051</v>
      </c>
      <c r="Q109" s="20">
        <f t="shared" si="21"/>
        <v>0</v>
      </c>
      <c r="R109" s="20">
        <f t="shared" si="22"/>
        <v>0</v>
      </c>
      <c r="S109" s="20">
        <f t="shared" si="23"/>
        <v>0.58417998739243726</v>
      </c>
      <c r="T109" s="20">
        <f t="shared" si="24"/>
        <v>48.68166561603644</v>
      </c>
    </row>
    <row r="110" spans="1:20" x14ac:dyDescent="0.25">
      <c r="A110" s="19">
        <f t="shared" si="25"/>
        <v>108</v>
      </c>
      <c r="B110" s="19">
        <v>5500</v>
      </c>
      <c r="C110" s="19">
        <v>14</v>
      </c>
      <c r="D110" s="20">
        <v>2.5</v>
      </c>
      <c r="E110" s="20">
        <f>'1-Simulation'!F110*60/(2*PI()*'1-Specification &amp; Data'!B$14)</f>
        <v>209.91903221473777</v>
      </c>
      <c r="F110" s="20">
        <f>E110*(IF('1-Simulation'!J110=1,'1-Specification &amp; Data'!H$7,IF('1-Simulation'!J110=2,'1-Specification &amp; Data'!H$8,IF('1-Simulation'!J110=3,'1-Specification &amp; Data'!H$9))))</f>
        <v>2640.1816565979307</v>
      </c>
      <c r="G110" s="20">
        <f>2*PI()*E110*'1-Simulation'!U110/(1000*60)</f>
        <v>0.54529521195026298</v>
      </c>
      <c r="H110" s="20">
        <f t="shared" si="14"/>
        <v>0.64152377876501532</v>
      </c>
      <c r="I110" s="20">
        <f t="shared" si="15"/>
        <v>13.365078724271152</v>
      </c>
      <c r="J110" s="20">
        <f>'1-Simulation'!U110/(IF('1-Simulation'!J110=1,'1-Specification &amp; Data'!H$7,IF('1-Simulation'!J110=2,'1-Specification &amp; Data'!H$8,IF('1-Simulation'!J110=3,'1-Specification &amp; Data'!H$9)))*0.8)</f>
        <v>2.465353895517302</v>
      </c>
      <c r="K110" s="20">
        <f t="shared" si="13"/>
        <v>0.75207945927903319</v>
      </c>
      <c r="L110" s="20">
        <f t="shared" si="16"/>
        <v>0.7916625887147718</v>
      </c>
      <c r="M110" s="20">
        <f t="shared" si="17"/>
        <v>0</v>
      </c>
      <c r="N110" s="20">
        <f t="shared" si="18"/>
        <v>1.7083374112852283</v>
      </c>
      <c r="O110" s="20">
        <f t="shared" si="19"/>
        <v>1.7479205407209668</v>
      </c>
      <c r="P110" s="20">
        <f t="shared" si="20"/>
        <v>30.773248956355051</v>
      </c>
      <c r="Q110" s="20">
        <f t="shared" si="21"/>
        <v>0</v>
      </c>
      <c r="R110" s="20">
        <f t="shared" si="22"/>
        <v>0</v>
      </c>
      <c r="S110" s="20">
        <f t="shared" si="23"/>
        <v>0.5846655208759709</v>
      </c>
      <c r="T110" s="20">
        <f t="shared" si="24"/>
        <v>48.72212673966424</v>
      </c>
    </row>
    <row r="111" spans="1:20" x14ac:dyDescent="0.25">
      <c r="A111" s="19">
        <f t="shared" si="25"/>
        <v>109</v>
      </c>
      <c r="B111" s="19">
        <v>5500</v>
      </c>
      <c r="C111" s="19">
        <v>14</v>
      </c>
      <c r="D111" s="20">
        <v>2.5</v>
      </c>
      <c r="E111" s="20">
        <f>'1-Simulation'!F111*60/(2*PI()*'1-Specification &amp; Data'!B$14)</f>
        <v>209.91903221473777</v>
      </c>
      <c r="F111" s="20">
        <f>E111*(IF('1-Simulation'!J111=1,'1-Specification &amp; Data'!H$7,IF('1-Simulation'!J111=2,'1-Specification &amp; Data'!H$8,IF('1-Simulation'!J111=3,'1-Specification &amp; Data'!H$9))))</f>
        <v>2640.1816565979307</v>
      </c>
      <c r="G111" s="20">
        <f>2*PI()*E111*'1-Simulation'!U111/(1000*60)</f>
        <v>0.54529521195026298</v>
      </c>
      <c r="H111" s="20">
        <f t="shared" si="14"/>
        <v>0.64152377876501532</v>
      </c>
      <c r="I111" s="20">
        <f t="shared" si="15"/>
        <v>13.365078724271152</v>
      </c>
      <c r="J111" s="20">
        <f>'1-Simulation'!U111/(IF('1-Simulation'!J111=1,'1-Specification &amp; Data'!H$7,IF('1-Simulation'!J111=2,'1-Specification &amp; Data'!H$8,IF('1-Simulation'!J111=3,'1-Specification &amp; Data'!H$9)))*0.8)</f>
        <v>2.465353895517302</v>
      </c>
      <c r="K111" s="20">
        <f t="shared" si="13"/>
        <v>0.75207945927903319</v>
      </c>
      <c r="L111" s="20">
        <f t="shared" si="16"/>
        <v>0.7916625887147718</v>
      </c>
      <c r="M111" s="20">
        <f t="shared" si="17"/>
        <v>0</v>
      </c>
      <c r="N111" s="20">
        <f t="shared" si="18"/>
        <v>1.7083374112852283</v>
      </c>
      <c r="O111" s="20">
        <f t="shared" si="19"/>
        <v>1.7479205407209668</v>
      </c>
      <c r="P111" s="20">
        <f t="shared" si="20"/>
        <v>30.773248956355051</v>
      </c>
      <c r="Q111" s="20">
        <f t="shared" si="21"/>
        <v>0</v>
      </c>
      <c r="R111" s="20">
        <f t="shared" si="22"/>
        <v>0</v>
      </c>
      <c r="S111" s="20">
        <f t="shared" si="23"/>
        <v>0.58515105435950454</v>
      </c>
      <c r="T111" s="20">
        <f t="shared" si="24"/>
        <v>48.762587863292048</v>
      </c>
    </row>
    <row r="112" spans="1:20" x14ac:dyDescent="0.25">
      <c r="A112" s="19">
        <f t="shared" si="25"/>
        <v>110</v>
      </c>
      <c r="B112" s="19">
        <v>5500</v>
      </c>
      <c r="C112" s="19">
        <v>14</v>
      </c>
      <c r="D112" s="20">
        <v>2.5</v>
      </c>
      <c r="E112" s="20">
        <f>'1-Simulation'!F112*60/(2*PI()*'1-Specification &amp; Data'!B$14)</f>
        <v>209.91903221473777</v>
      </c>
      <c r="F112" s="20">
        <f>E112*(IF('1-Simulation'!J112=1,'1-Specification &amp; Data'!H$7,IF('1-Simulation'!J112=2,'1-Specification &amp; Data'!H$8,IF('1-Simulation'!J112=3,'1-Specification &amp; Data'!H$9))))</f>
        <v>2640.1816565979307</v>
      </c>
      <c r="G112" s="20">
        <f>2*PI()*E112*'1-Simulation'!U112/(1000*60)</f>
        <v>0.54529521195026298</v>
      </c>
      <c r="H112" s="20">
        <f t="shared" si="14"/>
        <v>0.64152377876501532</v>
      </c>
      <c r="I112" s="20">
        <f t="shared" si="15"/>
        <v>13.365078724271152</v>
      </c>
      <c r="J112" s="20">
        <f>'1-Simulation'!U112/(IF('1-Simulation'!J112=1,'1-Specification &amp; Data'!H$7,IF('1-Simulation'!J112=2,'1-Specification &amp; Data'!H$8,IF('1-Simulation'!J112=3,'1-Specification &amp; Data'!H$9)))*0.8)</f>
        <v>2.465353895517302</v>
      </c>
      <c r="K112" s="20">
        <f t="shared" si="13"/>
        <v>0.75207945927903319</v>
      </c>
      <c r="L112" s="20">
        <f t="shared" si="16"/>
        <v>0.7916625887147718</v>
      </c>
      <c r="M112" s="20">
        <f t="shared" si="17"/>
        <v>0</v>
      </c>
      <c r="N112" s="20">
        <f t="shared" si="18"/>
        <v>1.7083374112852283</v>
      </c>
      <c r="O112" s="20">
        <f t="shared" si="19"/>
        <v>1.7479205407209668</v>
      </c>
      <c r="P112" s="20">
        <f t="shared" si="20"/>
        <v>30.773248956355051</v>
      </c>
      <c r="Q112" s="20">
        <f t="shared" si="21"/>
        <v>0</v>
      </c>
      <c r="R112" s="20">
        <f t="shared" si="22"/>
        <v>0</v>
      </c>
      <c r="S112" s="20">
        <f t="shared" si="23"/>
        <v>0.58563658784303818</v>
      </c>
      <c r="T112" s="20">
        <f t="shared" si="24"/>
        <v>48.803048986919848</v>
      </c>
    </row>
    <row r="113" spans="1:20" x14ac:dyDescent="0.25">
      <c r="A113" s="19">
        <f t="shared" si="25"/>
        <v>111</v>
      </c>
      <c r="B113" s="19">
        <v>5500</v>
      </c>
      <c r="C113" s="19">
        <v>14</v>
      </c>
      <c r="D113" s="20">
        <v>2.5</v>
      </c>
      <c r="E113" s="20">
        <f>'1-Simulation'!F113*60/(2*PI()*'1-Specification &amp; Data'!B$14)</f>
        <v>224.39620685023692</v>
      </c>
      <c r="F113" s="20">
        <f>E113*(IF('1-Simulation'!J113=1,'1-Specification &amp; Data'!H$7,IF('1-Simulation'!J113=2,'1-Specification &amp; Data'!H$8,IF('1-Simulation'!J113=3,'1-Specification &amp; Data'!H$9))))</f>
        <v>2822.2631501564088</v>
      </c>
      <c r="G113" s="20">
        <f>2*PI()*E113*'1-Simulation'!U113/(1000*60)</f>
        <v>2.5655297535394053</v>
      </c>
      <c r="H113" s="20">
        <f t="shared" si="14"/>
        <v>3.0182702982816534</v>
      </c>
      <c r="I113" s="20">
        <f t="shared" si="15"/>
        <v>62.880631214201117</v>
      </c>
      <c r="J113" s="20">
        <f>'1-Simulation'!U113/(IF('1-Simulation'!J113=1,'1-Specification &amp; Data'!H$7,IF('1-Simulation'!J113=2,'1-Specification &amp; Data'!H$8,IF('1-Simulation'!J113=3,'1-Specification &amp; Data'!H$9)))*0.8)</f>
        <v>10.850779681082349</v>
      </c>
      <c r="K113" s="20">
        <f t="shared" si="13"/>
        <v>3.5384177002129582</v>
      </c>
      <c r="L113" s="20">
        <f t="shared" si="16"/>
        <v>3.7246502107504824</v>
      </c>
      <c r="M113" s="20">
        <f t="shared" si="17"/>
        <v>0</v>
      </c>
      <c r="N113" s="20">
        <f t="shared" si="18"/>
        <v>0</v>
      </c>
      <c r="O113" s="20">
        <f t="shared" si="19"/>
        <v>0</v>
      </c>
      <c r="P113" s="20">
        <f t="shared" si="20"/>
        <v>0</v>
      </c>
      <c r="Q113" s="20">
        <f t="shared" si="21"/>
        <v>1.0384177002129582</v>
      </c>
      <c r="R113" s="20">
        <f t="shared" si="22"/>
        <v>21.633702087769962</v>
      </c>
      <c r="S113" s="20">
        <f t="shared" si="23"/>
        <v>0.58534813848186795</v>
      </c>
      <c r="T113" s="20">
        <f t="shared" si="24"/>
        <v>48.779011540155665</v>
      </c>
    </row>
    <row r="114" spans="1:20" x14ac:dyDescent="0.25">
      <c r="A114" s="19">
        <f t="shared" si="25"/>
        <v>112</v>
      </c>
      <c r="B114" s="19">
        <v>5500</v>
      </c>
      <c r="C114" s="19">
        <v>14</v>
      </c>
      <c r="D114" s="20">
        <v>2.5</v>
      </c>
      <c r="E114" s="20">
        <f>'1-Simulation'!F114*60/(2*PI()*'1-Specification &amp; Data'!B$14)</f>
        <v>246.11196880348567</v>
      </c>
      <c r="F114" s="20">
        <f>E114*(IF('1-Simulation'!J114=1,'1-Specification &amp; Data'!H$7,IF('1-Simulation'!J114=2,'1-Specification &amp; Data'!H$8,IF('1-Simulation'!J114=3,'1-Specification &amp; Data'!H$9))))</f>
        <v>3095.3853904941257</v>
      </c>
      <c r="G114" s="20">
        <f>2*PI()*E114*'1-Simulation'!U114/(1000*60)</f>
        <v>3.9227422720360972</v>
      </c>
      <c r="H114" s="20">
        <f t="shared" si="14"/>
        <v>4.6149909082777612</v>
      </c>
      <c r="I114" s="20">
        <f t="shared" si="15"/>
        <v>96.14564392245336</v>
      </c>
      <c r="J114" s="20">
        <f>'1-Simulation'!U114/(IF('1-Simulation'!J114=1,'1-Specification &amp; Data'!H$7,IF('1-Simulation'!J114=2,'1-Specification &amp; Data'!H$8,IF('1-Simulation'!J114=3,'1-Specification &amp; Data'!H$9)))*0.8)</f>
        <v>15.12712661694804</v>
      </c>
      <c r="K114" s="20">
        <f t="shared" si="13"/>
        <v>5.4103058713690046</v>
      </c>
      <c r="L114" s="20">
        <f t="shared" si="16"/>
        <v>5.6950588119673737</v>
      </c>
      <c r="M114" s="20">
        <f t="shared" si="17"/>
        <v>0</v>
      </c>
      <c r="N114" s="20">
        <f t="shared" si="18"/>
        <v>0</v>
      </c>
      <c r="O114" s="20">
        <f t="shared" si="19"/>
        <v>0</v>
      </c>
      <c r="P114" s="20">
        <f t="shared" si="20"/>
        <v>0</v>
      </c>
      <c r="Q114" s="20">
        <f t="shared" si="21"/>
        <v>2.9103058713690046</v>
      </c>
      <c r="R114" s="20">
        <f t="shared" si="22"/>
        <v>60.631372320187602</v>
      </c>
      <c r="S114" s="20">
        <f t="shared" si="23"/>
        <v>0.58453972018426548</v>
      </c>
      <c r="T114" s="20">
        <f t="shared" si="24"/>
        <v>48.711643348688789</v>
      </c>
    </row>
    <row r="115" spans="1:20" x14ac:dyDescent="0.25">
      <c r="A115" s="19">
        <f t="shared" si="25"/>
        <v>113</v>
      </c>
      <c r="B115" s="19">
        <v>5500</v>
      </c>
      <c r="C115" s="19">
        <v>14</v>
      </c>
      <c r="D115" s="20">
        <v>2.5</v>
      </c>
      <c r="E115" s="20">
        <f>'1-Simulation'!F115*60/(2*PI()*'1-Specification &amp; Data'!B$14)</f>
        <v>253.35055612123523</v>
      </c>
      <c r="F115" s="20">
        <f>E115*(IF('1-Simulation'!J115=1,'1-Specification &amp; Data'!H$7,IF('1-Simulation'!J115=2,'1-Specification &amp; Data'!H$8,IF('1-Simulation'!J115=3,'1-Specification &amp; Data'!H$9))))</f>
        <v>3186.4261372733645</v>
      </c>
      <c r="G115" s="20">
        <f>2*PI()*E115*'1-Simulation'!U115/(1000*60)</f>
        <v>1.8309221186519464</v>
      </c>
      <c r="H115" s="20">
        <f t="shared" si="14"/>
        <v>2.1540260219434666</v>
      </c>
      <c r="I115" s="20">
        <f t="shared" si="15"/>
        <v>44.875542123822221</v>
      </c>
      <c r="J115" s="20">
        <f>'1-Simulation'!U115/(IF('1-Simulation'!J115=1,'1-Specification &amp; Data'!H$7,IF('1-Simulation'!J115=2,'1-Specification &amp; Data'!H$8,IF('1-Simulation'!J115=3,'1-Specification &amp; Data'!H$9)))*0.8)</f>
        <v>6.8587884916993982</v>
      </c>
      <c r="K115" s="20">
        <f t="shared" si="13"/>
        <v>2.5252356646465026</v>
      </c>
      <c r="L115" s="20">
        <f t="shared" si="16"/>
        <v>2.6581428048910554</v>
      </c>
      <c r="M115" s="20">
        <f t="shared" si="17"/>
        <v>0</v>
      </c>
      <c r="N115" s="20">
        <f t="shared" si="18"/>
        <v>0</v>
      </c>
      <c r="O115" s="20">
        <f t="shared" si="19"/>
        <v>0</v>
      </c>
      <c r="P115" s="20">
        <f t="shared" si="20"/>
        <v>0</v>
      </c>
      <c r="Q115" s="20">
        <f t="shared" si="21"/>
        <v>2.523566464650262E-2</v>
      </c>
      <c r="R115" s="20">
        <f t="shared" si="22"/>
        <v>0.52574301346880459</v>
      </c>
      <c r="S115" s="20">
        <f t="shared" si="23"/>
        <v>0.58453271027741927</v>
      </c>
      <c r="T115" s="20">
        <f t="shared" si="24"/>
        <v>48.71105918978494</v>
      </c>
    </row>
    <row r="116" spans="1:20" x14ac:dyDescent="0.25">
      <c r="A116" s="19">
        <f t="shared" si="25"/>
        <v>114</v>
      </c>
      <c r="B116" s="19">
        <v>5500</v>
      </c>
      <c r="C116" s="19">
        <v>14</v>
      </c>
      <c r="D116" s="20">
        <v>2.5</v>
      </c>
      <c r="E116" s="20">
        <f>'1-Simulation'!F116*60/(2*PI()*'1-Specification &amp; Data'!B$14)</f>
        <v>253.35055612123523</v>
      </c>
      <c r="F116" s="20">
        <f>E116*(IF('1-Simulation'!J116=1,'1-Specification &amp; Data'!H$7,IF('1-Simulation'!J116=2,'1-Specification &amp; Data'!H$8,IF('1-Simulation'!J116=3,'1-Specification &amp; Data'!H$9))))</f>
        <v>3186.4261372733645</v>
      </c>
      <c r="G116" s="20">
        <f>2*PI()*E116*'1-Simulation'!U116/(1000*60)</f>
        <v>0.72161919278727393</v>
      </c>
      <c r="H116" s="20">
        <f t="shared" si="14"/>
        <v>0.84896375622032227</v>
      </c>
      <c r="I116" s="20">
        <f t="shared" si="15"/>
        <v>17.686744921256714</v>
      </c>
      <c r="J116" s="20">
        <f>'1-Simulation'!U116/(IF('1-Simulation'!J116=1,'1-Specification &amp; Data'!H$7,IF('1-Simulation'!J116=2,'1-Specification &amp; Data'!H$8,IF('1-Simulation'!J116=3,'1-Specification &amp; Data'!H$9)))*0.8)</f>
        <v>2.703246284731589</v>
      </c>
      <c r="K116" s="20">
        <f t="shared" si="13"/>
        <v>0.99526817845289839</v>
      </c>
      <c r="L116" s="20">
        <f t="shared" si="16"/>
        <v>1.0476507141609457</v>
      </c>
      <c r="M116" s="20">
        <f t="shared" si="17"/>
        <v>0</v>
      </c>
      <c r="N116" s="20">
        <f t="shared" si="18"/>
        <v>1.4523492858390543</v>
      </c>
      <c r="O116" s="20">
        <f t="shared" si="19"/>
        <v>1.5047318215471015</v>
      </c>
      <c r="P116" s="20">
        <f t="shared" si="20"/>
        <v>26.4917574216039</v>
      </c>
      <c r="Q116" s="20">
        <f t="shared" si="21"/>
        <v>0</v>
      </c>
      <c r="R116" s="20">
        <f t="shared" si="22"/>
        <v>0</v>
      </c>
      <c r="S116" s="20">
        <f t="shared" si="23"/>
        <v>0.58495069133896016</v>
      </c>
      <c r="T116" s="20">
        <f t="shared" si="24"/>
        <v>48.745890944913349</v>
      </c>
    </row>
    <row r="117" spans="1:20" x14ac:dyDescent="0.25">
      <c r="A117" s="19">
        <f t="shared" si="25"/>
        <v>115</v>
      </c>
      <c r="B117" s="19">
        <v>5500</v>
      </c>
      <c r="C117" s="19">
        <v>14</v>
      </c>
      <c r="D117" s="20">
        <v>2.5</v>
      </c>
      <c r="E117" s="20">
        <f>'1-Simulation'!F117*60/(2*PI()*'1-Specification &amp; Data'!B$14)</f>
        <v>253.35055612123523</v>
      </c>
      <c r="F117" s="20">
        <f>E117*(IF('1-Simulation'!J117=1,'1-Specification &amp; Data'!H$7,IF('1-Simulation'!J117=2,'1-Specification &amp; Data'!H$8,IF('1-Simulation'!J117=3,'1-Specification &amp; Data'!H$9))))</f>
        <v>3186.4261372733645</v>
      </c>
      <c r="G117" s="20">
        <f>2*PI()*E117*'1-Simulation'!U117/(1000*60)</f>
        <v>0.72161919278727393</v>
      </c>
      <c r="H117" s="20">
        <f t="shared" si="14"/>
        <v>0.84896375622032227</v>
      </c>
      <c r="I117" s="20">
        <f t="shared" si="15"/>
        <v>17.686744921256714</v>
      </c>
      <c r="J117" s="20">
        <f>'1-Simulation'!U117/(IF('1-Simulation'!J117=1,'1-Specification &amp; Data'!H$7,IF('1-Simulation'!J117=2,'1-Specification &amp; Data'!H$8,IF('1-Simulation'!J117=3,'1-Specification &amp; Data'!H$9)))*0.8)</f>
        <v>2.703246284731589</v>
      </c>
      <c r="K117" s="20">
        <f t="shared" si="13"/>
        <v>0.99526817845289839</v>
      </c>
      <c r="L117" s="20">
        <f t="shared" si="16"/>
        <v>1.0476507141609457</v>
      </c>
      <c r="M117" s="20">
        <f t="shared" si="17"/>
        <v>0</v>
      </c>
      <c r="N117" s="20">
        <f t="shared" si="18"/>
        <v>1.4523492858390543</v>
      </c>
      <c r="O117" s="20">
        <f t="shared" si="19"/>
        <v>1.5047318215471015</v>
      </c>
      <c r="P117" s="20">
        <f t="shared" si="20"/>
        <v>26.4917574216039</v>
      </c>
      <c r="Q117" s="20">
        <f t="shared" si="21"/>
        <v>0</v>
      </c>
      <c r="R117" s="20">
        <f t="shared" si="22"/>
        <v>0</v>
      </c>
      <c r="S117" s="20">
        <f t="shared" si="23"/>
        <v>0.58536867240050106</v>
      </c>
      <c r="T117" s="20">
        <f t="shared" si="24"/>
        <v>48.780722700041757</v>
      </c>
    </row>
    <row r="118" spans="1:20" x14ac:dyDescent="0.25">
      <c r="A118" s="19">
        <f t="shared" si="25"/>
        <v>116</v>
      </c>
      <c r="B118" s="19">
        <v>5500</v>
      </c>
      <c r="C118" s="19">
        <v>14</v>
      </c>
      <c r="D118" s="20">
        <v>2.5</v>
      </c>
      <c r="E118" s="20">
        <f>'1-Simulation'!F118*60/(2*PI()*'1-Specification &amp; Data'!B$14)</f>
        <v>253.35055612123523</v>
      </c>
      <c r="F118" s="20">
        <f>E118*(IF('1-Simulation'!J118=1,'1-Specification &amp; Data'!H$7,IF('1-Simulation'!J118=2,'1-Specification &amp; Data'!H$8,IF('1-Simulation'!J118=3,'1-Specification &amp; Data'!H$9))))</f>
        <v>3186.4261372733645</v>
      </c>
      <c r="G118" s="20">
        <f>2*PI()*E118*'1-Simulation'!U118/(1000*60)</f>
        <v>0.72161919278727393</v>
      </c>
      <c r="H118" s="20">
        <f t="shared" si="14"/>
        <v>0.84896375622032227</v>
      </c>
      <c r="I118" s="20">
        <f t="shared" si="15"/>
        <v>17.686744921256714</v>
      </c>
      <c r="J118" s="20">
        <f>'1-Simulation'!U118/(IF('1-Simulation'!J118=1,'1-Specification &amp; Data'!H$7,IF('1-Simulation'!J118=2,'1-Specification &amp; Data'!H$8,IF('1-Simulation'!J118=3,'1-Specification &amp; Data'!H$9)))*0.8)</f>
        <v>2.703246284731589</v>
      </c>
      <c r="K118" s="20">
        <f t="shared" si="13"/>
        <v>0.99526817845289839</v>
      </c>
      <c r="L118" s="20">
        <f t="shared" si="16"/>
        <v>1.0476507141609457</v>
      </c>
      <c r="M118" s="20">
        <f t="shared" si="17"/>
        <v>0</v>
      </c>
      <c r="N118" s="20">
        <f t="shared" si="18"/>
        <v>1.4523492858390543</v>
      </c>
      <c r="O118" s="20">
        <f t="shared" si="19"/>
        <v>1.5047318215471015</v>
      </c>
      <c r="P118" s="20">
        <f t="shared" si="20"/>
        <v>26.4917574216039</v>
      </c>
      <c r="Q118" s="20">
        <f t="shared" si="21"/>
        <v>0</v>
      </c>
      <c r="R118" s="20">
        <f t="shared" si="22"/>
        <v>0</v>
      </c>
      <c r="S118" s="20">
        <f t="shared" si="23"/>
        <v>0.58578665346204195</v>
      </c>
      <c r="T118" s="20">
        <f t="shared" si="24"/>
        <v>48.815554455170165</v>
      </c>
    </row>
    <row r="119" spans="1:20" x14ac:dyDescent="0.25">
      <c r="A119" s="19">
        <f t="shared" si="25"/>
        <v>117</v>
      </c>
      <c r="B119" s="19">
        <v>5500</v>
      </c>
      <c r="C119" s="19">
        <v>14</v>
      </c>
      <c r="D119" s="20">
        <v>2.5</v>
      </c>
      <c r="E119" s="20">
        <f>'1-Simulation'!F119*60/(2*PI()*'1-Specification &amp; Data'!B$14)</f>
        <v>253.35055612123523</v>
      </c>
      <c r="F119" s="20">
        <f>E119*(IF('1-Simulation'!J119=1,'1-Specification &amp; Data'!H$7,IF('1-Simulation'!J119=2,'1-Specification &amp; Data'!H$8,IF('1-Simulation'!J119=3,'1-Specification &amp; Data'!H$9))))</f>
        <v>3186.4261372733645</v>
      </c>
      <c r="G119" s="20">
        <f>2*PI()*E119*'1-Simulation'!U119/(1000*60)</f>
        <v>0.72161919278727393</v>
      </c>
      <c r="H119" s="20">
        <f t="shared" si="14"/>
        <v>0.84896375622032227</v>
      </c>
      <c r="I119" s="20">
        <f t="shared" si="15"/>
        <v>17.686744921256714</v>
      </c>
      <c r="J119" s="20">
        <f>'1-Simulation'!U119/(IF('1-Simulation'!J119=1,'1-Specification &amp; Data'!H$7,IF('1-Simulation'!J119=2,'1-Specification &amp; Data'!H$8,IF('1-Simulation'!J119=3,'1-Specification &amp; Data'!H$9)))*0.8)</f>
        <v>2.703246284731589</v>
      </c>
      <c r="K119" s="20">
        <f t="shared" si="13"/>
        <v>0.99526817845289839</v>
      </c>
      <c r="L119" s="20">
        <f t="shared" si="16"/>
        <v>1.0476507141609457</v>
      </c>
      <c r="M119" s="20">
        <f t="shared" si="17"/>
        <v>0</v>
      </c>
      <c r="N119" s="20">
        <f t="shared" si="18"/>
        <v>1.4523492858390543</v>
      </c>
      <c r="O119" s="20">
        <f t="shared" si="19"/>
        <v>1.5047318215471015</v>
      </c>
      <c r="P119" s="20">
        <f t="shared" si="20"/>
        <v>26.4917574216039</v>
      </c>
      <c r="Q119" s="20">
        <f t="shared" si="21"/>
        <v>0</v>
      </c>
      <c r="R119" s="20">
        <f t="shared" si="22"/>
        <v>0</v>
      </c>
      <c r="S119" s="20">
        <f t="shared" si="23"/>
        <v>0.58620463452358285</v>
      </c>
      <c r="T119" s="20">
        <f t="shared" si="24"/>
        <v>48.850386210298574</v>
      </c>
    </row>
    <row r="120" spans="1:20" x14ac:dyDescent="0.25">
      <c r="A120" s="19">
        <f t="shared" si="25"/>
        <v>118</v>
      </c>
      <c r="B120" s="19">
        <v>5500</v>
      </c>
      <c r="C120" s="19">
        <v>14</v>
      </c>
      <c r="D120" s="20">
        <v>2.5</v>
      </c>
      <c r="E120" s="20">
        <f>'1-Simulation'!F120*60/(2*PI()*'1-Specification &amp; Data'!B$14)</f>
        <v>231.63479416798654</v>
      </c>
      <c r="F120" s="20">
        <f>E120*(IF('1-Simulation'!J120=1,'1-Specification &amp; Data'!H$7,IF('1-Simulation'!J120=2,'1-Specification &amp; Data'!H$8,IF('1-Simulation'!J120=3,'1-Specification &amp; Data'!H$9))))</f>
        <v>2913.303896935648</v>
      </c>
      <c r="G120" s="20">
        <f>2*PI()*E120*'1-Simulation'!U120/(1000*60)</f>
        <v>-2.4132846695480059</v>
      </c>
      <c r="H120" s="20">
        <f t="shared" si="14"/>
        <v>0</v>
      </c>
      <c r="I120" s="20">
        <f t="shared" si="15"/>
        <v>0</v>
      </c>
      <c r="J120" s="20">
        <f>'1-Simulation'!U120/(IF('1-Simulation'!J120=1,'1-Specification &amp; Data'!H$7,IF('1-Simulation'!J120=2,'1-Specification &amp; Data'!H$8,IF('1-Simulation'!J120=3,'1-Specification &amp; Data'!H$9)))*0.8)</f>
        <v>-9.8879021336511546</v>
      </c>
      <c r="K120" s="20">
        <f t="shared" si="13"/>
        <v>0</v>
      </c>
      <c r="L120" s="20">
        <f t="shared" si="16"/>
        <v>0</v>
      </c>
      <c r="M120" s="20">
        <f t="shared" si="17"/>
        <v>0.91668135515847093</v>
      </c>
      <c r="N120" s="20">
        <f t="shared" si="18"/>
        <v>2.5</v>
      </c>
      <c r="O120" s="20">
        <f t="shared" si="19"/>
        <v>3.4166813551584712</v>
      </c>
      <c r="P120" s="20">
        <f t="shared" si="20"/>
        <v>60.152840759832237</v>
      </c>
      <c r="Q120" s="20">
        <f t="shared" si="21"/>
        <v>0</v>
      </c>
      <c r="R120" s="20">
        <f t="shared" si="22"/>
        <v>0</v>
      </c>
      <c r="S120" s="20">
        <f t="shared" si="23"/>
        <v>0.58715371267779348</v>
      </c>
      <c r="T120" s="20">
        <f t="shared" si="24"/>
        <v>48.929476056482791</v>
      </c>
    </row>
    <row r="121" spans="1:20" x14ac:dyDescent="0.25">
      <c r="A121" s="19">
        <f t="shared" si="25"/>
        <v>119</v>
      </c>
      <c r="B121" s="19">
        <v>5500</v>
      </c>
      <c r="C121" s="19">
        <v>14</v>
      </c>
      <c r="D121" s="20">
        <v>2.5</v>
      </c>
      <c r="E121" s="20">
        <f>'1-Simulation'!F121*60/(2*PI()*'1-Specification &amp; Data'!B$14)</f>
        <v>217.15761953248733</v>
      </c>
      <c r="F121" s="20">
        <f>E121*(IF('1-Simulation'!J121=1,'1-Specification &amp; Data'!H$7,IF('1-Simulation'!J121=2,'1-Specification &amp; Data'!H$8,IF('1-Simulation'!J121=3,'1-Specification &amp; Data'!H$9))))</f>
        <v>2731.2224033771695</v>
      </c>
      <c r="G121" s="20">
        <f>2*PI()*E121*'1-Simulation'!U121/(1000*60)</f>
        <v>-1.3292003763904412</v>
      </c>
      <c r="H121" s="20">
        <f t="shared" si="14"/>
        <v>0</v>
      </c>
      <c r="I121" s="20">
        <f t="shared" si="15"/>
        <v>0</v>
      </c>
      <c r="J121" s="20">
        <f>'1-Simulation'!U121/(IF('1-Simulation'!J121=1,'1-Specification &amp; Data'!H$7,IF('1-Simulation'!J121=2,'1-Specification &amp; Data'!H$8,IF('1-Simulation'!J121=3,'1-Specification &amp; Data'!H$9)))*0.8)</f>
        <v>-5.8091793440337947</v>
      </c>
      <c r="K121" s="20">
        <f t="shared" si="13"/>
        <v>0</v>
      </c>
      <c r="L121" s="20">
        <f t="shared" si="16"/>
        <v>0</v>
      </c>
      <c r="M121" s="20">
        <f t="shared" si="17"/>
        <v>0.50489410457115635</v>
      </c>
      <c r="N121" s="20">
        <f t="shared" si="18"/>
        <v>2.5</v>
      </c>
      <c r="O121" s="20">
        <f t="shared" si="19"/>
        <v>3.0048941045711564</v>
      </c>
      <c r="P121" s="20">
        <f t="shared" si="20"/>
        <v>52.903065221323175</v>
      </c>
      <c r="Q121" s="20">
        <f t="shared" si="21"/>
        <v>0</v>
      </c>
      <c r="R121" s="20">
        <f t="shared" si="22"/>
        <v>0</v>
      </c>
      <c r="S121" s="20">
        <f t="shared" si="23"/>
        <v>0.58798840548461884</v>
      </c>
      <c r="T121" s="20">
        <f t="shared" si="24"/>
        <v>48.999033790384907</v>
      </c>
    </row>
    <row r="122" spans="1:20" x14ac:dyDescent="0.25">
      <c r="A122" s="19">
        <f t="shared" si="25"/>
        <v>120</v>
      </c>
      <c r="B122" s="19">
        <v>5500</v>
      </c>
      <c r="C122" s="19">
        <v>14</v>
      </c>
      <c r="D122" s="20">
        <v>2.5</v>
      </c>
      <c r="E122" s="20">
        <f>'1-Simulation'!F122*60/(2*PI()*'1-Specification &amp; Data'!B$14)</f>
        <v>217.15761953248733</v>
      </c>
      <c r="F122" s="20">
        <f>E122*(IF('1-Simulation'!J122=1,'1-Specification &amp; Data'!H$7,IF('1-Simulation'!J122=2,'1-Specification &amp; Data'!H$8,IF('1-Simulation'!J122=3,'1-Specification &amp; Data'!H$9))))</f>
        <v>2731.2224033771695</v>
      </c>
      <c r="G122" s="20">
        <f>2*PI()*E122*'1-Simulation'!U122/(1000*60)</f>
        <v>0.57246178223470334</v>
      </c>
      <c r="H122" s="20">
        <f t="shared" si="14"/>
        <v>0.67348444968788634</v>
      </c>
      <c r="I122" s="20">
        <f t="shared" si="15"/>
        <v>14.030926035164299</v>
      </c>
      <c r="J122" s="20">
        <f>'1-Simulation'!U122/(IF('1-Simulation'!J122=1,'1-Specification &amp; Data'!H$7,IF('1-Simulation'!J122=2,'1-Specification &amp; Data'!H$8,IF('1-Simulation'!J122=3,'1-Specification &amp; Data'!H$9)))*0.8)</f>
        <v>2.5019050699017882</v>
      </c>
      <c r="K122" s="20">
        <f t="shared" si="13"/>
        <v>0.78954800666809655</v>
      </c>
      <c r="L122" s="20">
        <f t="shared" si="16"/>
        <v>0.83110316491378589</v>
      </c>
      <c r="M122" s="20">
        <f t="shared" si="17"/>
        <v>0</v>
      </c>
      <c r="N122" s="20">
        <f t="shared" si="18"/>
        <v>1.6688968350862141</v>
      </c>
      <c r="O122" s="20">
        <f t="shared" si="19"/>
        <v>1.7104519933319033</v>
      </c>
      <c r="P122" s="20">
        <f t="shared" si="20"/>
        <v>30.11359143189971</v>
      </c>
      <c r="Q122" s="20">
        <f t="shared" si="21"/>
        <v>0</v>
      </c>
      <c r="R122" s="20">
        <f t="shared" si="22"/>
        <v>0</v>
      </c>
      <c r="S122" s="20">
        <f t="shared" si="23"/>
        <v>0.58846353103832216</v>
      </c>
      <c r="T122" s="20">
        <f t="shared" si="24"/>
        <v>49.03862758652685</v>
      </c>
    </row>
    <row r="123" spans="1:20" x14ac:dyDescent="0.25">
      <c r="A123" s="19">
        <f t="shared" si="25"/>
        <v>121</v>
      </c>
      <c r="B123" s="19">
        <v>5500</v>
      </c>
      <c r="C123" s="19">
        <v>14</v>
      </c>
      <c r="D123" s="20">
        <v>2.5</v>
      </c>
      <c r="E123" s="20">
        <f>'1-Simulation'!F123*60/(2*PI()*'1-Specification &amp; Data'!B$14)</f>
        <v>217.15761953248733</v>
      </c>
      <c r="F123" s="20">
        <f>E123*(IF('1-Simulation'!J123=1,'1-Specification &amp; Data'!H$7,IF('1-Simulation'!J123=2,'1-Specification &amp; Data'!H$8,IF('1-Simulation'!J123=3,'1-Specification &amp; Data'!H$9))))</f>
        <v>2731.2224033771695</v>
      </c>
      <c r="G123" s="20">
        <f>2*PI()*E123*'1-Simulation'!U123/(1000*60)</f>
        <v>0.57246178223470334</v>
      </c>
      <c r="H123" s="20">
        <f t="shared" si="14"/>
        <v>0.67348444968788634</v>
      </c>
      <c r="I123" s="20">
        <f t="shared" si="15"/>
        <v>14.030926035164299</v>
      </c>
      <c r="J123" s="20">
        <f>'1-Simulation'!U123/(IF('1-Simulation'!J123=1,'1-Specification &amp; Data'!H$7,IF('1-Simulation'!J123=2,'1-Specification &amp; Data'!H$8,IF('1-Simulation'!J123=3,'1-Specification &amp; Data'!H$9)))*0.8)</f>
        <v>2.5019050699017882</v>
      </c>
      <c r="K123" s="20">
        <f t="shared" si="13"/>
        <v>0.78954800666809655</v>
      </c>
      <c r="L123" s="20">
        <f t="shared" si="16"/>
        <v>0.83110316491378589</v>
      </c>
      <c r="M123" s="20">
        <f t="shared" si="17"/>
        <v>0</v>
      </c>
      <c r="N123" s="20">
        <f t="shared" si="18"/>
        <v>1.6688968350862141</v>
      </c>
      <c r="O123" s="20">
        <f t="shared" si="19"/>
        <v>1.7104519933319033</v>
      </c>
      <c r="P123" s="20">
        <f t="shared" si="20"/>
        <v>30.11359143189971</v>
      </c>
      <c r="Q123" s="20">
        <f t="shared" si="21"/>
        <v>0</v>
      </c>
      <c r="R123" s="20">
        <f t="shared" si="22"/>
        <v>0</v>
      </c>
      <c r="S123" s="20">
        <f t="shared" si="23"/>
        <v>0.58893865659202549</v>
      </c>
      <c r="T123" s="20">
        <f t="shared" si="24"/>
        <v>49.078221382668794</v>
      </c>
    </row>
    <row r="124" spans="1:20" x14ac:dyDescent="0.25">
      <c r="A124" s="19">
        <f t="shared" si="25"/>
        <v>122</v>
      </c>
      <c r="B124" s="19">
        <v>5500</v>
      </c>
      <c r="C124" s="19">
        <v>14</v>
      </c>
      <c r="D124" s="20">
        <v>2.5</v>
      </c>
      <c r="E124" s="20">
        <f>'1-Simulation'!F124*60/(2*PI()*'1-Specification &amp; Data'!B$14)</f>
        <v>217.15761953248733</v>
      </c>
      <c r="F124" s="20">
        <f>E124*(IF('1-Simulation'!J124=1,'1-Specification &amp; Data'!H$7,IF('1-Simulation'!J124=2,'1-Specification &amp; Data'!H$8,IF('1-Simulation'!J124=3,'1-Specification &amp; Data'!H$9))))</f>
        <v>2731.2224033771695</v>
      </c>
      <c r="G124" s="20">
        <f>2*PI()*E124*'1-Simulation'!U124/(1000*60)</f>
        <v>0.57246178223470334</v>
      </c>
      <c r="H124" s="20">
        <f t="shared" si="14"/>
        <v>0.67348444968788634</v>
      </c>
      <c r="I124" s="20">
        <f t="shared" si="15"/>
        <v>14.030926035164299</v>
      </c>
      <c r="J124" s="20">
        <f>'1-Simulation'!U124/(IF('1-Simulation'!J124=1,'1-Specification &amp; Data'!H$7,IF('1-Simulation'!J124=2,'1-Specification &amp; Data'!H$8,IF('1-Simulation'!J124=3,'1-Specification &amp; Data'!H$9)))*0.8)</f>
        <v>2.5019050699017882</v>
      </c>
      <c r="K124" s="20">
        <f t="shared" si="13"/>
        <v>0.78954800666809655</v>
      </c>
      <c r="L124" s="20">
        <f t="shared" si="16"/>
        <v>0.83110316491378589</v>
      </c>
      <c r="M124" s="20">
        <f t="shared" si="17"/>
        <v>0</v>
      </c>
      <c r="N124" s="20">
        <f t="shared" si="18"/>
        <v>1.6688968350862141</v>
      </c>
      <c r="O124" s="20">
        <f t="shared" si="19"/>
        <v>1.7104519933319033</v>
      </c>
      <c r="P124" s="20">
        <f t="shared" si="20"/>
        <v>30.11359143189971</v>
      </c>
      <c r="Q124" s="20">
        <f t="shared" si="21"/>
        <v>0</v>
      </c>
      <c r="R124" s="20">
        <f t="shared" si="22"/>
        <v>0</v>
      </c>
      <c r="S124" s="20">
        <f t="shared" si="23"/>
        <v>0.58941378214572882</v>
      </c>
      <c r="T124" s="20">
        <f t="shared" si="24"/>
        <v>49.117815178810737</v>
      </c>
    </row>
    <row r="125" spans="1:20" x14ac:dyDescent="0.25">
      <c r="A125" s="19">
        <f t="shared" si="25"/>
        <v>123</v>
      </c>
      <c r="B125" s="19">
        <v>5500</v>
      </c>
      <c r="C125" s="19">
        <v>14</v>
      </c>
      <c r="D125" s="20">
        <v>2.5</v>
      </c>
      <c r="E125" s="20">
        <f>'1-Simulation'!F125*60/(2*PI()*'1-Specification &amp; Data'!B$14)</f>
        <v>217.15761953248733</v>
      </c>
      <c r="F125" s="20">
        <f>E125*(IF('1-Simulation'!J125=1,'1-Specification &amp; Data'!H$7,IF('1-Simulation'!J125=2,'1-Specification &amp; Data'!H$8,IF('1-Simulation'!J125=3,'1-Specification &amp; Data'!H$9))))</f>
        <v>2731.2224033771695</v>
      </c>
      <c r="G125" s="20">
        <f>2*PI()*E125*'1-Simulation'!U125/(1000*60)</f>
        <v>0.57246178223470334</v>
      </c>
      <c r="H125" s="20">
        <f t="shared" si="14"/>
        <v>0.67348444968788634</v>
      </c>
      <c r="I125" s="20">
        <f t="shared" si="15"/>
        <v>14.030926035164299</v>
      </c>
      <c r="J125" s="20">
        <f>'1-Simulation'!U125/(IF('1-Simulation'!J125=1,'1-Specification &amp; Data'!H$7,IF('1-Simulation'!J125=2,'1-Specification &amp; Data'!H$8,IF('1-Simulation'!J125=3,'1-Specification &amp; Data'!H$9)))*0.8)</f>
        <v>2.5019050699017882</v>
      </c>
      <c r="K125" s="20">
        <f t="shared" si="13"/>
        <v>0.78954800666809655</v>
      </c>
      <c r="L125" s="20">
        <f t="shared" si="16"/>
        <v>0.83110316491378589</v>
      </c>
      <c r="M125" s="20">
        <f t="shared" si="17"/>
        <v>0</v>
      </c>
      <c r="N125" s="20">
        <f t="shared" si="18"/>
        <v>1.6688968350862141</v>
      </c>
      <c r="O125" s="20">
        <f t="shared" si="19"/>
        <v>1.7104519933319033</v>
      </c>
      <c r="P125" s="20">
        <f t="shared" si="20"/>
        <v>30.11359143189971</v>
      </c>
      <c r="Q125" s="20">
        <f t="shared" si="21"/>
        <v>0</v>
      </c>
      <c r="R125" s="20">
        <f t="shared" si="22"/>
        <v>0</v>
      </c>
      <c r="S125" s="20">
        <f t="shared" si="23"/>
        <v>0.58988890769943214</v>
      </c>
      <c r="T125" s="20">
        <f t="shared" si="24"/>
        <v>49.157408974952681</v>
      </c>
    </row>
    <row r="126" spans="1:20" x14ac:dyDescent="0.25">
      <c r="A126" s="19">
        <f t="shared" si="25"/>
        <v>124</v>
      </c>
      <c r="B126" s="19">
        <v>5500</v>
      </c>
      <c r="C126" s="19">
        <v>14</v>
      </c>
      <c r="D126" s="20">
        <v>2.5</v>
      </c>
      <c r="E126" s="20">
        <f>'1-Simulation'!F126*60/(2*PI()*'1-Specification &amp; Data'!B$14)</f>
        <v>217.15761953248733</v>
      </c>
      <c r="F126" s="20">
        <f>E126*(IF('1-Simulation'!J126=1,'1-Specification &amp; Data'!H$7,IF('1-Simulation'!J126=2,'1-Specification &amp; Data'!H$8,IF('1-Simulation'!J126=3,'1-Specification &amp; Data'!H$9))))</f>
        <v>2731.2224033771695</v>
      </c>
      <c r="G126" s="20">
        <f>2*PI()*E126*'1-Simulation'!U126/(1000*60)</f>
        <v>0.57246178223470334</v>
      </c>
      <c r="H126" s="20">
        <f t="shared" si="14"/>
        <v>0.67348444968788634</v>
      </c>
      <c r="I126" s="20">
        <f t="shared" si="15"/>
        <v>14.030926035164299</v>
      </c>
      <c r="J126" s="20">
        <f>'1-Simulation'!U126/(IF('1-Simulation'!J126=1,'1-Specification &amp; Data'!H$7,IF('1-Simulation'!J126=2,'1-Specification &amp; Data'!H$8,IF('1-Simulation'!J126=3,'1-Specification &amp; Data'!H$9)))*0.8)</f>
        <v>2.5019050699017882</v>
      </c>
      <c r="K126" s="20">
        <f t="shared" si="13"/>
        <v>0.78954800666809655</v>
      </c>
      <c r="L126" s="20">
        <f t="shared" si="16"/>
        <v>0.83110316491378589</v>
      </c>
      <c r="M126" s="20">
        <f t="shared" si="17"/>
        <v>0</v>
      </c>
      <c r="N126" s="20">
        <f t="shared" si="18"/>
        <v>1.6688968350862141</v>
      </c>
      <c r="O126" s="20">
        <f t="shared" si="19"/>
        <v>1.7104519933319033</v>
      </c>
      <c r="P126" s="20">
        <f t="shared" si="20"/>
        <v>30.11359143189971</v>
      </c>
      <c r="Q126" s="20">
        <f t="shared" si="21"/>
        <v>0</v>
      </c>
      <c r="R126" s="20">
        <f t="shared" si="22"/>
        <v>0</v>
      </c>
      <c r="S126" s="20">
        <f t="shared" si="23"/>
        <v>0.59036403325313547</v>
      </c>
      <c r="T126" s="20">
        <f t="shared" si="24"/>
        <v>49.197002771094624</v>
      </c>
    </row>
    <row r="127" spans="1:20" x14ac:dyDescent="0.25">
      <c r="A127" s="19">
        <f t="shared" si="25"/>
        <v>125</v>
      </c>
      <c r="B127" s="19">
        <v>5500</v>
      </c>
      <c r="C127" s="19">
        <v>14</v>
      </c>
      <c r="D127" s="20">
        <v>2.5</v>
      </c>
      <c r="E127" s="20">
        <f>'1-Simulation'!F127*60/(2*PI()*'1-Specification &amp; Data'!B$14)</f>
        <v>217.15761953248733</v>
      </c>
      <c r="F127" s="20">
        <f>E127*(IF('1-Simulation'!J127=1,'1-Specification &amp; Data'!H$7,IF('1-Simulation'!J127=2,'1-Specification &amp; Data'!H$8,IF('1-Simulation'!J127=3,'1-Specification &amp; Data'!H$9))))</f>
        <v>2731.2224033771695</v>
      </c>
      <c r="G127" s="20">
        <f>2*PI()*E127*'1-Simulation'!U127/(1000*60)</f>
        <v>0.57246178223470334</v>
      </c>
      <c r="H127" s="20">
        <f t="shared" si="14"/>
        <v>0.67348444968788634</v>
      </c>
      <c r="I127" s="20">
        <f t="shared" si="15"/>
        <v>14.030926035164299</v>
      </c>
      <c r="J127" s="20">
        <f>'1-Simulation'!U127/(IF('1-Simulation'!J127=1,'1-Specification &amp; Data'!H$7,IF('1-Simulation'!J127=2,'1-Specification &amp; Data'!H$8,IF('1-Simulation'!J127=3,'1-Specification &amp; Data'!H$9)))*0.8)</f>
        <v>2.5019050699017882</v>
      </c>
      <c r="K127" s="20">
        <f t="shared" si="13"/>
        <v>0.78954800666809655</v>
      </c>
      <c r="L127" s="20">
        <f t="shared" si="16"/>
        <v>0.83110316491378589</v>
      </c>
      <c r="M127" s="20">
        <f t="shared" si="17"/>
        <v>0</v>
      </c>
      <c r="N127" s="20">
        <f t="shared" si="18"/>
        <v>1.6688968350862141</v>
      </c>
      <c r="O127" s="20">
        <f t="shared" si="19"/>
        <v>1.7104519933319033</v>
      </c>
      <c r="P127" s="20">
        <f t="shared" si="20"/>
        <v>30.11359143189971</v>
      </c>
      <c r="Q127" s="20">
        <f t="shared" si="21"/>
        <v>0</v>
      </c>
      <c r="R127" s="20">
        <f t="shared" si="22"/>
        <v>0</v>
      </c>
      <c r="S127" s="20">
        <f t="shared" si="23"/>
        <v>0.59083915880683879</v>
      </c>
      <c r="T127" s="20">
        <f t="shared" si="24"/>
        <v>49.236596567236568</v>
      </c>
    </row>
    <row r="128" spans="1:20" x14ac:dyDescent="0.25">
      <c r="A128" s="19">
        <f t="shared" si="25"/>
        <v>126</v>
      </c>
      <c r="B128" s="19">
        <v>5500</v>
      </c>
      <c r="C128" s="19">
        <v>14</v>
      </c>
      <c r="D128" s="20">
        <v>2.5</v>
      </c>
      <c r="E128" s="20">
        <f>'1-Simulation'!F128*60/(2*PI()*'1-Specification &amp; Data'!B$14)</f>
        <v>217.15761953248733</v>
      </c>
      <c r="F128" s="20">
        <f>E128*(IF('1-Simulation'!J128=1,'1-Specification &amp; Data'!H$7,IF('1-Simulation'!J128=2,'1-Specification &amp; Data'!H$8,IF('1-Simulation'!J128=3,'1-Specification &amp; Data'!H$9))))</f>
        <v>2731.2224033771695</v>
      </c>
      <c r="G128" s="20">
        <f>2*PI()*E128*'1-Simulation'!U128/(1000*60)</f>
        <v>0.57246178223470334</v>
      </c>
      <c r="H128" s="20">
        <f t="shared" si="14"/>
        <v>0.67348444968788634</v>
      </c>
      <c r="I128" s="20">
        <f t="shared" si="15"/>
        <v>14.030926035164299</v>
      </c>
      <c r="J128" s="20">
        <f>'1-Simulation'!U128/(IF('1-Simulation'!J128=1,'1-Specification &amp; Data'!H$7,IF('1-Simulation'!J128=2,'1-Specification &amp; Data'!H$8,IF('1-Simulation'!J128=3,'1-Specification &amp; Data'!H$9)))*0.8)</f>
        <v>2.5019050699017882</v>
      </c>
      <c r="K128" s="20">
        <f t="shared" si="13"/>
        <v>0.78954800666809655</v>
      </c>
      <c r="L128" s="20">
        <f t="shared" si="16"/>
        <v>0.83110316491378589</v>
      </c>
      <c r="M128" s="20">
        <f t="shared" si="17"/>
        <v>0</v>
      </c>
      <c r="N128" s="20">
        <f t="shared" si="18"/>
        <v>1.6688968350862141</v>
      </c>
      <c r="O128" s="20">
        <f t="shared" si="19"/>
        <v>1.7104519933319033</v>
      </c>
      <c r="P128" s="20">
        <f t="shared" si="20"/>
        <v>30.11359143189971</v>
      </c>
      <c r="Q128" s="20">
        <f t="shared" si="21"/>
        <v>0</v>
      </c>
      <c r="R128" s="20">
        <f t="shared" si="22"/>
        <v>0</v>
      </c>
      <c r="S128" s="20">
        <f t="shared" si="23"/>
        <v>0.59131428436054212</v>
      </c>
      <c r="T128" s="20">
        <f t="shared" si="24"/>
        <v>49.276190363378511</v>
      </c>
    </row>
    <row r="129" spans="1:20" x14ac:dyDescent="0.25">
      <c r="A129" s="19">
        <f t="shared" si="25"/>
        <v>127</v>
      </c>
      <c r="B129" s="19">
        <v>5500</v>
      </c>
      <c r="C129" s="19">
        <v>14</v>
      </c>
      <c r="D129" s="20">
        <v>2.5</v>
      </c>
      <c r="E129" s="20">
        <f>'1-Simulation'!F129*60/(2*PI()*'1-Specification &amp; Data'!B$14)</f>
        <v>231.63479416798654</v>
      </c>
      <c r="F129" s="20">
        <f>E129*(IF('1-Simulation'!J129=1,'1-Specification &amp; Data'!H$7,IF('1-Simulation'!J129=2,'1-Specification &amp; Data'!H$8,IF('1-Simulation'!J129=3,'1-Specification &amp; Data'!H$9))))</f>
        <v>2913.303896935648</v>
      </c>
      <c r="G129" s="20">
        <f>2*PI()*E129*'1-Simulation'!U129/(1000*60)</f>
        <v>5.9343357746251266</v>
      </c>
      <c r="H129" s="20">
        <f t="shared" si="14"/>
        <v>6.9815714995589726</v>
      </c>
      <c r="I129" s="20">
        <f t="shared" si="15"/>
        <v>145.44940624081192</v>
      </c>
      <c r="J129" s="20">
        <f>'1-Simulation'!U129/(IF('1-Simulation'!J129=1,'1-Specification &amp; Data'!H$7,IF('1-Simulation'!J129=2,'1-Specification &amp; Data'!H$8,IF('1-Simulation'!J129=3,'1-Specification &amp; Data'!H$9)))*0.8)</f>
        <v>24.31463312560977</v>
      </c>
      <c r="K129" s="20">
        <f t="shared" si="13"/>
        <v>8.1847262597408825</v>
      </c>
      <c r="L129" s="20">
        <f t="shared" si="16"/>
        <v>8.6155013260430344</v>
      </c>
      <c r="M129" s="20">
        <f t="shared" si="17"/>
        <v>0</v>
      </c>
      <c r="N129" s="20">
        <f t="shared" si="18"/>
        <v>0</v>
      </c>
      <c r="O129" s="20">
        <f t="shared" si="19"/>
        <v>0</v>
      </c>
      <c r="P129" s="20">
        <f t="shared" si="20"/>
        <v>0</v>
      </c>
      <c r="Q129" s="20">
        <f t="shared" si="21"/>
        <v>5.6847262597408825</v>
      </c>
      <c r="R129" s="20">
        <f t="shared" si="22"/>
        <v>118.43179707793506</v>
      </c>
      <c r="S129" s="20">
        <f t="shared" si="23"/>
        <v>0.58973519373283634</v>
      </c>
      <c r="T129" s="20">
        <f t="shared" si="24"/>
        <v>49.144599477736364</v>
      </c>
    </row>
    <row r="130" spans="1:20" x14ac:dyDescent="0.25">
      <c r="A130" s="19">
        <f t="shared" si="25"/>
        <v>128</v>
      </c>
      <c r="B130" s="19">
        <v>5500</v>
      </c>
      <c r="C130" s="19">
        <v>14</v>
      </c>
      <c r="D130" s="20">
        <v>2.5</v>
      </c>
      <c r="E130" s="20">
        <f>'1-Simulation'!F130*60/(2*PI()*'1-Specification &amp; Data'!B$14)</f>
        <v>253.35055612123523</v>
      </c>
      <c r="F130" s="20">
        <f>E130*(IF('1-Simulation'!J130=1,'1-Specification &amp; Data'!H$7,IF('1-Simulation'!J130=2,'1-Specification &amp; Data'!H$8,IF('1-Simulation'!J130=3,'1-Specification &amp; Data'!H$9))))</f>
        <v>3186.4261372733645</v>
      </c>
      <c r="G130" s="20">
        <f>2*PI()*E130*'1-Simulation'!U130/(1000*60)</f>
        <v>7.6332232018722843</v>
      </c>
      <c r="H130" s="20">
        <f t="shared" si="14"/>
        <v>8.9802625904379809</v>
      </c>
      <c r="I130" s="20">
        <f t="shared" si="15"/>
        <v>187.08880396745792</v>
      </c>
      <c r="J130" s="20">
        <f>'1-Simulation'!U130/(IF('1-Simulation'!J130=1,'1-Specification &amp; Data'!H$7,IF('1-Simulation'!J130=2,'1-Specification &amp; Data'!H$8,IF('1-Simulation'!J130=3,'1-Specification &amp; Data'!H$9)))*0.8)</f>
        <v>28.594697130056868</v>
      </c>
      <c r="K130" s="20">
        <f t="shared" ref="K130:K193" si="26">H130/0.853</f>
        <v>10.527857667570904</v>
      </c>
      <c r="L130" s="20">
        <f t="shared" si="16"/>
        <v>11.08195543954832</v>
      </c>
      <c r="M130" s="20">
        <f t="shared" si="17"/>
        <v>0</v>
      </c>
      <c r="N130" s="20">
        <f t="shared" si="18"/>
        <v>0</v>
      </c>
      <c r="O130" s="20">
        <f t="shared" si="19"/>
        <v>0</v>
      </c>
      <c r="P130" s="20">
        <f t="shared" si="20"/>
        <v>0</v>
      </c>
      <c r="Q130" s="20">
        <f t="shared" si="21"/>
        <v>8.0278576675709044</v>
      </c>
      <c r="R130" s="20">
        <f t="shared" si="22"/>
        <v>167.2470347410605</v>
      </c>
      <c r="S130" s="20">
        <f t="shared" si="23"/>
        <v>0.58750523326962223</v>
      </c>
      <c r="T130" s="20">
        <f t="shared" si="24"/>
        <v>48.958769439135189</v>
      </c>
    </row>
    <row r="131" spans="1:20" x14ac:dyDescent="0.25">
      <c r="A131" s="19">
        <f t="shared" si="25"/>
        <v>129</v>
      </c>
      <c r="B131" s="19">
        <v>5500</v>
      </c>
      <c r="C131" s="19">
        <v>14</v>
      </c>
      <c r="D131" s="20">
        <v>2.5</v>
      </c>
      <c r="E131" s="20">
        <f>'1-Simulation'!F131*60/(2*PI()*'1-Specification &amp; Data'!B$14)</f>
        <v>272.17088314738413</v>
      </c>
      <c r="F131" s="20">
        <f>E131*(IF('1-Simulation'!J131=1,'1-Specification &amp; Data'!H$7,IF('1-Simulation'!J131=2,'1-Specification &amp; Data'!H$8,IF('1-Simulation'!J131=3,'1-Specification &amp; Data'!H$9))))</f>
        <v>3423.1320788993858</v>
      </c>
      <c r="G131" s="20">
        <f>2*PI()*E131*'1-Simulation'!U131/(1000*60)</f>
        <v>7.7571145757162814</v>
      </c>
      <c r="H131" s="20">
        <f t="shared" ref="H131:H194" si="27">IF(G131&gt;0,G131/0.85,0)</f>
        <v>9.1260171479015071</v>
      </c>
      <c r="I131" s="20">
        <f t="shared" ref="I131:I194" si="28">(H131*1000)/48</f>
        <v>190.12535724794807</v>
      </c>
      <c r="J131" s="20">
        <f>'1-Simulation'!U131/(IF('1-Simulation'!J131=1,'1-Specification &amp; Data'!H$7,IF('1-Simulation'!J131=2,'1-Specification &amp; Data'!H$8,IF('1-Simulation'!J131=3,'1-Specification &amp; Data'!H$9)))*0.8)</f>
        <v>27.049419224842971</v>
      </c>
      <c r="K131" s="20">
        <f t="shared" si="26"/>
        <v>10.698730536813022</v>
      </c>
      <c r="L131" s="20">
        <f t="shared" ref="L131:L194" si="29">K131/0.95</f>
        <v>11.261821617697919</v>
      </c>
      <c r="M131" s="20">
        <f t="shared" ref="M131:M194" si="30">IF(G131&lt;0,-G131*0.6*0.8*0.85*0.95*0.98,0)</f>
        <v>0</v>
      </c>
      <c r="N131" s="20">
        <f t="shared" ref="N131:N194" si="31">IF(L131&lt;D131,D131-L131,0)</f>
        <v>0</v>
      </c>
      <c r="O131" s="20">
        <f t="shared" ref="O131:O194" si="32">M131+(IF(L131&lt;D131,D131-K131,0))</f>
        <v>0</v>
      </c>
      <c r="P131" s="20">
        <f t="shared" ref="P131:P194" si="33">(O131*1000)/56.8</f>
        <v>0</v>
      </c>
      <c r="Q131" s="20">
        <f t="shared" ref="Q131:Q194" si="34">IF(L131&gt;D131,K131-D131,0)</f>
        <v>8.1987305368130219</v>
      </c>
      <c r="R131" s="20">
        <f t="shared" ref="R131:R194" si="35">(Q131*1000)/48</f>
        <v>170.80688618360463</v>
      </c>
      <c r="S131" s="20">
        <f t="shared" ref="S131:S194" si="36">S130+IF(O131&gt;0,O131/3600,-Q131/3600)</f>
        <v>0.58522780812050745</v>
      </c>
      <c r="T131" s="20">
        <f t="shared" ref="T131:T194" si="37">(100*S131)/1.2</f>
        <v>48.768984010042288</v>
      </c>
    </row>
    <row r="132" spans="1:20" x14ac:dyDescent="0.25">
      <c r="A132" s="19">
        <f t="shared" ref="A132:A195" si="38">1+A131</f>
        <v>130</v>
      </c>
      <c r="B132" s="19">
        <v>5500</v>
      </c>
      <c r="C132" s="19">
        <v>14</v>
      </c>
      <c r="D132" s="20">
        <v>2.5</v>
      </c>
      <c r="E132" s="20">
        <f>'1-Simulation'!F132*60/(2*PI()*'1-Specification &amp; Data'!B$14)</f>
        <v>289.54349270998313</v>
      </c>
      <c r="F132" s="20">
        <f>E132*(IF('1-Simulation'!J132=1,'1-Specification &amp; Data'!H$7,IF('1-Simulation'!J132=2,'1-Specification &amp; Data'!H$8,IF('1-Simulation'!J132=3,'1-Specification &amp; Data'!H$9))))</f>
        <v>3641.6298711695595</v>
      </c>
      <c r="G132" s="20">
        <f>2*PI()*E132*'1-Simulation'!U132/(1000*60)</f>
        <v>8.0338941103557868</v>
      </c>
      <c r="H132" s="20">
        <f t="shared" si="27"/>
        <v>9.4516401298303379</v>
      </c>
      <c r="I132" s="20">
        <f t="shared" si="28"/>
        <v>196.90916937146537</v>
      </c>
      <c r="J132" s="20">
        <f>'1-Simulation'!U132/(IF('1-Simulation'!J132=1,'1-Specification &amp; Data'!H$7,IF('1-Simulation'!J132=2,'1-Specification &amp; Data'!H$8,IF('1-Simulation'!J132=3,'1-Specification &amp; Data'!H$9)))*0.8)</f>
        <v>26.33368859221827</v>
      </c>
      <c r="K132" s="20">
        <f t="shared" si="26"/>
        <v>11.080469085381404</v>
      </c>
      <c r="L132" s="20">
        <f t="shared" si="29"/>
        <v>11.663651668822531</v>
      </c>
      <c r="M132" s="20">
        <f t="shared" si="30"/>
        <v>0</v>
      </c>
      <c r="N132" s="20">
        <f t="shared" si="31"/>
        <v>0</v>
      </c>
      <c r="O132" s="20">
        <f t="shared" si="32"/>
        <v>0</v>
      </c>
      <c r="P132" s="20">
        <f t="shared" si="33"/>
        <v>0</v>
      </c>
      <c r="Q132" s="20">
        <f t="shared" si="34"/>
        <v>8.5804690853814041</v>
      </c>
      <c r="R132" s="20">
        <f t="shared" si="35"/>
        <v>178.75977261211258</v>
      </c>
      <c r="S132" s="20">
        <f t="shared" si="36"/>
        <v>0.58284434448567923</v>
      </c>
      <c r="T132" s="20">
        <f t="shared" si="37"/>
        <v>48.57036204047327</v>
      </c>
    </row>
    <row r="133" spans="1:20" x14ac:dyDescent="0.25">
      <c r="A133" s="19">
        <f t="shared" si="38"/>
        <v>131</v>
      </c>
      <c r="B133" s="19">
        <v>5500</v>
      </c>
      <c r="C133" s="19">
        <v>14</v>
      </c>
      <c r="D133" s="20">
        <v>2.5</v>
      </c>
      <c r="E133" s="20">
        <f>'1-Simulation'!F133*60/(2*PI()*'1-Specification &amp; Data'!B$14)</f>
        <v>286.64805778288331</v>
      </c>
      <c r="F133" s="20">
        <f>E133*(IF('1-Simulation'!J133=1,'1-Specification &amp; Data'!H$7,IF('1-Simulation'!J133=2,'1-Specification &amp; Data'!H$8,IF('1-Simulation'!J133=3,'1-Specification &amp; Data'!H$9))))</f>
        <v>3605.2135724578643</v>
      </c>
      <c r="G133" s="20">
        <f>2*PI()*E133*'1-Simulation'!U133/(1000*60)</f>
        <v>4.4333258912748921</v>
      </c>
      <c r="H133" s="20">
        <f t="shared" si="27"/>
        <v>5.215677519146932</v>
      </c>
      <c r="I133" s="20">
        <f t="shared" si="28"/>
        <v>108.6599483155611</v>
      </c>
      <c r="J133" s="20">
        <f>'1-Simulation'!U133/(IF('1-Simulation'!J133=1,'1-Specification &amp; Data'!H$7,IF('1-Simulation'!J133=2,'1-Specification &amp; Data'!H$8,IF('1-Simulation'!J133=3,'1-Specification &amp; Data'!H$9)))*0.8)</f>
        <v>14.67844516876943</v>
      </c>
      <c r="K133" s="20">
        <f t="shared" si="26"/>
        <v>6.114510573443062</v>
      </c>
      <c r="L133" s="20">
        <f t="shared" si="29"/>
        <v>6.4363269194137498</v>
      </c>
      <c r="M133" s="20">
        <f t="shared" si="30"/>
        <v>0</v>
      </c>
      <c r="N133" s="20">
        <f t="shared" si="31"/>
        <v>0</v>
      </c>
      <c r="O133" s="20">
        <f t="shared" si="32"/>
        <v>0</v>
      </c>
      <c r="P133" s="20">
        <f t="shared" si="33"/>
        <v>0</v>
      </c>
      <c r="Q133" s="20">
        <f t="shared" si="34"/>
        <v>3.614510573443062</v>
      </c>
      <c r="R133" s="20">
        <f t="shared" si="35"/>
        <v>75.302303613397129</v>
      </c>
      <c r="S133" s="20">
        <f t="shared" si="36"/>
        <v>0.58184031377083389</v>
      </c>
      <c r="T133" s="20">
        <f t="shared" si="37"/>
        <v>48.486692814236157</v>
      </c>
    </row>
    <row r="134" spans="1:20" x14ac:dyDescent="0.25">
      <c r="A134" s="19">
        <f t="shared" si="38"/>
        <v>132</v>
      </c>
      <c r="B134" s="19">
        <v>5500</v>
      </c>
      <c r="C134" s="19">
        <v>14</v>
      </c>
      <c r="D134" s="20">
        <v>2.5</v>
      </c>
      <c r="E134" s="20">
        <f>'1-Simulation'!F134*60/(2*PI()*'1-Specification &amp; Data'!B$14)</f>
        <v>260.58914343898482</v>
      </c>
      <c r="F134" s="20">
        <f>E134*(IF('1-Simulation'!J134=1,'1-Specification &amp; Data'!H$7,IF('1-Simulation'!J134=2,'1-Specification &amp; Data'!H$8,IF('1-Simulation'!J134=3,'1-Specification &amp; Data'!H$9))))</f>
        <v>3277.4668840526037</v>
      </c>
      <c r="G134" s="20">
        <f>2*PI()*E134*'1-Simulation'!U134/(1000*60)</f>
        <v>0.33281029879354457</v>
      </c>
      <c r="H134" s="20">
        <f t="shared" si="27"/>
        <v>0.39154152799240538</v>
      </c>
      <c r="I134" s="20">
        <f t="shared" si="28"/>
        <v>8.1571151665084454</v>
      </c>
      <c r="J134" s="20">
        <f>'1-Simulation'!U134/(IF('1-Simulation'!J134=1,'1-Specification &amp; Data'!H$7,IF('1-Simulation'!J134=2,'1-Specification &amp; Data'!H$8,IF('1-Simulation'!J134=3,'1-Specification &amp; Data'!H$9)))*0.8)</f>
        <v>1.2121038756169118</v>
      </c>
      <c r="K134" s="20">
        <f t="shared" si="26"/>
        <v>0.45901703164408603</v>
      </c>
      <c r="L134" s="20">
        <f t="shared" si="29"/>
        <v>0.4831758227832485</v>
      </c>
      <c r="M134" s="20">
        <f t="shared" si="30"/>
        <v>0</v>
      </c>
      <c r="N134" s="20">
        <f t="shared" si="31"/>
        <v>2.0168241772167517</v>
      </c>
      <c r="O134" s="20">
        <f t="shared" si="32"/>
        <v>2.0409829683559142</v>
      </c>
      <c r="P134" s="20">
        <f t="shared" si="33"/>
        <v>35.932798738660466</v>
      </c>
      <c r="Q134" s="20">
        <f t="shared" si="34"/>
        <v>0</v>
      </c>
      <c r="R134" s="20">
        <f t="shared" si="35"/>
        <v>0</v>
      </c>
      <c r="S134" s="20">
        <f t="shared" si="36"/>
        <v>0.58240725348426614</v>
      </c>
      <c r="T134" s="20">
        <f t="shared" si="37"/>
        <v>48.533937790355516</v>
      </c>
    </row>
    <row r="135" spans="1:20" x14ac:dyDescent="0.25">
      <c r="A135" s="19">
        <f t="shared" si="38"/>
        <v>133</v>
      </c>
      <c r="B135" s="19">
        <v>5500</v>
      </c>
      <c r="C135" s="19">
        <v>14</v>
      </c>
      <c r="D135" s="20">
        <v>2.5</v>
      </c>
      <c r="E135" s="20">
        <f>'1-Simulation'!F135*60/(2*PI()*'1-Specification &amp; Data'!B$14)</f>
        <v>231.63479416798654</v>
      </c>
      <c r="F135" s="20">
        <f>E135*(IF('1-Simulation'!J135=1,'1-Specification &amp; Data'!H$7,IF('1-Simulation'!J135=2,'1-Specification &amp; Data'!H$8,IF('1-Simulation'!J135=3,'1-Specification &amp; Data'!H$9))))</f>
        <v>2913.303896935648</v>
      </c>
      <c r="G135" s="20">
        <f>2*PI()*E135*'1-Simulation'!U135/(1000*60)</f>
        <v>-0.1509831329753451</v>
      </c>
      <c r="H135" s="20">
        <f t="shared" si="27"/>
        <v>0</v>
      </c>
      <c r="I135" s="20">
        <f t="shared" si="28"/>
        <v>0</v>
      </c>
      <c r="J135" s="20">
        <f>'1-Simulation'!U135/(IF('1-Simulation'!J135=1,'1-Specification &amp; Data'!H$7,IF('1-Simulation'!J135=2,'1-Specification &amp; Data'!H$8,IF('1-Simulation'!J135=3,'1-Specification &amp; Data'!H$9)))*0.8)</f>
        <v>-0.61862011619701029</v>
      </c>
      <c r="K135" s="20">
        <f t="shared" si="26"/>
        <v>0</v>
      </c>
      <c r="L135" s="20">
        <f t="shared" si="29"/>
        <v>0</v>
      </c>
      <c r="M135" s="20">
        <f t="shared" si="30"/>
        <v>5.7350641094418883E-2</v>
      </c>
      <c r="N135" s="20">
        <f t="shared" si="31"/>
        <v>2.5</v>
      </c>
      <c r="O135" s="20">
        <f t="shared" si="32"/>
        <v>2.5573506410944189</v>
      </c>
      <c r="P135" s="20">
        <f t="shared" si="33"/>
        <v>45.023778892507373</v>
      </c>
      <c r="Q135" s="20">
        <f t="shared" si="34"/>
        <v>0</v>
      </c>
      <c r="R135" s="20">
        <f t="shared" si="35"/>
        <v>0</v>
      </c>
      <c r="S135" s="20">
        <f t="shared" si="36"/>
        <v>0.58311762866234795</v>
      </c>
      <c r="T135" s="20">
        <f t="shared" si="37"/>
        <v>48.593135721862332</v>
      </c>
    </row>
    <row r="136" spans="1:20" x14ac:dyDescent="0.25">
      <c r="A136" s="19">
        <f t="shared" si="38"/>
        <v>134</v>
      </c>
      <c r="B136" s="19">
        <v>5500</v>
      </c>
      <c r="C136" s="19">
        <v>14</v>
      </c>
      <c r="D136" s="20">
        <v>2.5</v>
      </c>
      <c r="E136" s="20">
        <f>'1-Simulation'!F136*60/(2*PI()*'1-Specification &amp; Data'!B$14)</f>
        <v>231.63479416798654</v>
      </c>
      <c r="F136" s="20">
        <f>E136*(IF('1-Simulation'!J136=1,'1-Specification &amp; Data'!H$7,IF('1-Simulation'!J136=2,'1-Specification &amp; Data'!H$8,IF('1-Simulation'!J136=3,'1-Specification &amp; Data'!H$9))))</f>
        <v>2913.303896935648</v>
      </c>
      <c r="G136" s="20">
        <f>2*PI()*E136*'1-Simulation'!U136/(1000*60)</f>
        <v>3.9058961387582971</v>
      </c>
      <c r="H136" s="20">
        <f t="shared" si="27"/>
        <v>4.595171927950938</v>
      </c>
      <c r="I136" s="20">
        <f t="shared" si="28"/>
        <v>95.73274849897787</v>
      </c>
      <c r="J136" s="20">
        <f>'1-Simulation'!U136/(IF('1-Simulation'!J136=1,'1-Specification &amp; Data'!H$7,IF('1-Simulation'!J136=2,'1-Specification &amp; Data'!H$8,IF('1-Simulation'!J136=3,'1-Specification &amp; Data'!H$9)))*0.8)</f>
        <v>16.003548711674153</v>
      </c>
      <c r="K136" s="20">
        <f t="shared" si="26"/>
        <v>5.3870714278440071</v>
      </c>
      <c r="L136" s="20">
        <f t="shared" si="29"/>
        <v>5.6706015029936916</v>
      </c>
      <c r="M136" s="20">
        <f t="shared" si="30"/>
        <v>0</v>
      </c>
      <c r="N136" s="20">
        <f t="shared" si="31"/>
        <v>0</v>
      </c>
      <c r="O136" s="20">
        <f t="shared" si="32"/>
        <v>0</v>
      </c>
      <c r="P136" s="20">
        <f t="shared" si="33"/>
        <v>0</v>
      </c>
      <c r="Q136" s="20">
        <f t="shared" si="34"/>
        <v>2.8870714278440071</v>
      </c>
      <c r="R136" s="20">
        <f t="shared" si="35"/>
        <v>60.147321413416812</v>
      </c>
      <c r="S136" s="20">
        <f t="shared" si="36"/>
        <v>0.58231566437683568</v>
      </c>
      <c r="T136" s="20">
        <f t="shared" si="37"/>
        <v>48.526305364736309</v>
      </c>
    </row>
    <row r="137" spans="1:20" x14ac:dyDescent="0.25">
      <c r="A137" s="19">
        <f t="shared" si="38"/>
        <v>135</v>
      </c>
      <c r="B137" s="19">
        <v>5500</v>
      </c>
      <c r="C137" s="19">
        <v>14</v>
      </c>
      <c r="D137" s="20">
        <v>2.5</v>
      </c>
      <c r="E137" s="20">
        <f>'1-Simulation'!F137*60/(2*PI()*'1-Specification &amp; Data'!B$14)</f>
        <v>231.63479416798654</v>
      </c>
      <c r="F137" s="20">
        <f>E137*(IF('1-Simulation'!J137=1,'1-Specification &amp; Data'!H$7,IF('1-Simulation'!J137=2,'1-Specification &amp; Data'!H$8,IF('1-Simulation'!J137=3,'1-Specification &amp; Data'!H$9))))</f>
        <v>2913.303896935648</v>
      </c>
      <c r="G137" s="20">
        <f>2*PI()*E137*'1-Simulation'!U137/(1000*60)</f>
        <v>3.9058961387582971</v>
      </c>
      <c r="H137" s="20">
        <f t="shared" si="27"/>
        <v>4.595171927950938</v>
      </c>
      <c r="I137" s="20">
        <f t="shared" si="28"/>
        <v>95.73274849897787</v>
      </c>
      <c r="J137" s="20">
        <f>'1-Simulation'!U137/(IF('1-Simulation'!J137=1,'1-Specification &amp; Data'!H$7,IF('1-Simulation'!J137=2,'1-Specification &amp; Data'!H$8,IF('1-Simulation'!J137=3,'1-Specification &amp; Data'!H$9)))*0.8)</f>
        <v>16.003548711674153</v>
      </c>
      <c r="K137" s="20">
        <f t="shared" si="26"/>
        <v>5.3870714278440071</v>
      </c>
      <c r="L137" s="20">
        <f t="shared" si="29"/>
        <v>5.6706015029936916</v>
      </c>
      <c r="M137" s="20">
        <f t="shared" si="30"/>
        <v>0</v>
      </c>
      <c r="N137" s="20">
        <f t="shared" si="31"/>
        <v>0</v>
      </c>
      <c r="O137" s="20">
        <f t="shared" si="32"/>
        <v>0</v>
      </c>
      <c r="P137" s="20">
        <f t="shared" si="33"/>
        <v>0</v>
      </c>
      <c r="Q137" s="20">
        <f t="shared" si="34"/>
        <v>2.8870714278440071</v>
      </c>
      <c r="R137" s="20">
        <f t="shared" si="35"/>
        <v>60.147321413416812</v>
      </c>
      <c r="S137" s="20">
        <f t="shared" si="36"/>
        <v>0.58151370009132342</v>
      </c>
      <c r="T137" s="20">
        <f t="shared" si="37"/>
        <v>48.459475007610287</v>
      </c>
    </row>
    <row r="138" spans="1:20" x14ac:dyDescent="0.25">
      <c r="A138" s="19">
        <f t="shared" si="38"/>
        <v>136</v>
      </c>
      <c r="B138" s="19">
        <v>5500</v>
      </c>
      <c r="C138" s="19">
        <v>14</v>
      </c>
      <c r="D138" s="20">
        <v>2.5</v>
      </c>
      <c r="E138" s="20">
        <f>'1-Simulation'!F138*60/(2*PI()*'1-Specification &amp; Data'!B$14)</f>
        <v>231.63479416798654</v>
      </c>
      <c r="F138" s="20">
        <f>E138*(IF('1-Simulation'!J138=1,'1-Specification &amp; Data'!H$7,IF('1-Simulation'!J138=2,'1-Specification &amp; Data'!H$8,IF('1-Simulation'!J138=3,'1-Specification &amp; Data'!H$9))))</f>
        <v>2913.303896935648</v>
      </c>
      <c r="G138" s="20">
        <f>2*PI()*E138*'1-Simulation'!U138/(1000*60)</f>
        <v>3.9058961387582971</v>
      </c>
      <c r="H138" s="20">
        <f t="shared" si="27"/>
        <v>4.595171927950938</v>
      </c>
      <c r="I138" s="20">
        <f t="shared" si="28"/>
        <v>95.73274849897787</v>
      </c>
      <c r="J138" s="20">
        <f>'1-Simulation'!U138/(IF('1-Simulation'!J138=1,'1-Specification &amp; Data'!H$7,IF('1-Simulation'!J138=2,'1-Specification &amp; Data'!H$8,IF('1-Simulation'!J138=3,'1-Specification &amp; Data'!H$9)))*0.8)</f>
        <v>16.003548711674153</v>
      </c>
      <c r="K138" s="20">
        <f t="shared" si="26"/>
        <v>5.3870714278440071</v>
      </c>
      <c r="L138" s="20">
        <f t="shared" si="29"/>
        <v>5.6706015029936916</v>
      </c>
      <c r="M138" s="20">
        <f t="shared" si="30"/>
        <v>0</v>
      </c>
      <c r="N138" s="20">
        <f t="shared" si="31"/>
        <v>0</v>
      </c>
      <c r="O138" s="20">
        <f t="shared" si="32"/>
        <v>0</v>
      </c>
      <c r="P138" s="20">
        <f t="shared" si="33"/>
        <v>0</v>
      </c>
      <c r="Q138" s="20">
        <f t="shared" si="34"/>
        <v>2.8870714278440071</v>
      </c>
      <c r="R138" s="20">
        <f t="shared" si="35"/>
        <v>60.147321413416812</v>
      </c>
      <c r="S138" s="20">
        <f t="shared" si="36"/>
        <v>0.58071173580581115</v>
      </c>
      <c r="T138" s="20">
        <f t="shared" si="37"/>
        <v>48.392644650484264</v>
      </c>
    </row>
    <row r="139" spans="1:20" x14ac:dyDescent="0.25">
      <c r="A139" s="19">
        <f t="shared" si="38"/>
        <v>137</v>
      </c>
      <c r="B139" s="19">
        <v>5500</v>
      </c>
      <c r="C139" s="19">
        <v>14</v>
      </c>
      <c r="D139" s="20">
        <v>2.5</v>
      </c>
      <c r="E139" s="20">
        <f>'1-Simulation'!F139*60/(2*PI()*'1-Specification &amp; Data'!B$14)</f>
        <v>231.63479416798654</v>
      </c>
      <c r="F139" s="20">
        <f>E139*(IF('1-Simulation'!J139=1,'1-Specification &amp; Data'!H$7,IF('1-Simulation'!J139=2,'1-Specification &amp; Data'!H$8,IF('1-Simulation'!J139=3,'1-Specification &amp; Data'!H$9))))</f>
        <v>2913.303896935648</v>
      </c>
      <c r="G139" s="20">
        <f>2*PI()*E139*'1-Simulation'!U139/(1000*60)</f>
        <v>3.9058961387582971</v>
      </c>
      <c r="H139" s="20">
        <f t="shared" si="27"/>
        <v>4.595171927950938</v>
      </c>
      <c r="I139" s="20">
        <f t="shared" si="28"/>
        <v>95.73274849897787</v>
      </c>
      <c r="J139" s="20">
        <f>'1-Simulation'!U139/(IF('1-Simulation'!J139=1,'1-Specification &amp; Data'!H$7,IF('1-Simulation'!J139=2,'1-Specification &amp; Data'!H$8,IF('1-Simulation'!J139=3,'1-Specification &amp; Data'!H$9)))*0.8)</f>
        <v>16.003548711674153</v>
      </c>
      <c r="K139" s="20">
        <f t="shared" si="26"/>
        <v>5.3870714278440071</v>
      </c>
      <c r="L139" s="20">
        <f t="shared" si="29"/>
        <v>5.6706015029936916</v>
      </c>
      <c r="M139" s="20">
        <f t="shared" si="30"/>
        <v>0</v>
      </c>
      <c r="N139" s="20">
        <f t="shared" si="31"/>
        <v>0</v>
      </c>
      <c r="O139" s="20">
        <f t="shared" si="32"/>
        <v>0</v>
      </c>
      <c r="P139" s="20">
        <f t="shared" si="33"/>
        <v>0</v>
      </c>
      <c r="Q139" s="20">
        <f t="shared" si="34"/>
        <v>2.8870714278440071</v>
      </c>
      <c r="R139" s="20">
        <f t="shared" si="35"/>
        <v>60.147321413416812</v>
      </c>
      <c r="S139" s="20">
        <f t="shared" si="36"/>
        <v>0.57990977152029888</v>
      </c>
      <c r="T139" s="20">
        <f t="shared" si="37"/>
        <v>48.325814293358242</v>
      </c>
    </row>
    <row r="140" spans="1:20" x14ac:dyDescent="0.25">
      <c r="A140" s="19">
        <f t="shared" si="38"/>
        <v>138</v>
      </c>
      <c r="B140" s="19">
        <v>5500</v>
      </c>
      <c r="C140" s="19">
        <v>14</v>
      </c>
      <c r="D140" s="20">
        <v>2.5</v>
      </c>
      <c r="E140" s="20">
        <f>'1-Simulation'!F140*60/(2*PI()*'1-Specification &amp; Data'!B$14)</f>
        <v>231.63479416798654</v>
      </c>
      <c r="F140" s="20">
        <f>E140*(IF('1-Simulation'!J140=1,'1-Specification &amp; Data'!H$7,IF('1-Simulation'!J140=2,'1-Specification &amp; Data'!H$8,IF('1-Simulation'!J140=3,'1-Specification &amp; Data'!H$9))))</f>
        <v>2913.303896935648</v>
      </c>
      <c r="G140" s="20">
        <f>2*PI()*E140*'1-Simulation'!U140/(1000*60)</f>
        <v>3.9058961387582971</v>
      </c>
      <c r="H140" s="20">
        <f t="shared" si="27"/>
        <v>4.595171927950938</v>
      </c>
      <c r="I140" s="20">
        <f t="shared" si="28"/>
        <v>95.73274849897787</v>
      </c>
      <c r="J140" s="20">
        <f>'1-Simulation'!U140/(IF('1-Simulation'!J140=1,'1-Specification &amp; Data'!H$7,IF('1-Simulation'!J140=2,'1-Specification &amp; Data'!H$8,IF('1-Simulation'!J140=3,'1-Specification &amp; Data'!H$9)))*0.8)</f>
        <v>16.003548711674153</v>
      </c>
      <c r="K140" s="20">
        <f t="shared" si="26"/>
        <v>5.3870714278440071</v>
      </c>
      <c r="L140" s="20">
        <f t="shared" si="29"/>
        <v>5.6706015029936916</v>
      </c>
      <c r="M140" s="20">
        <f t="shared" si="30"/>
        <v>0</v>
      </c>
      <c r="N140" s="20">
        <f t="shared" si="31"/>
        <v>0</v>
      </c>
      <c r="O140" s="20">
        <f t="shared" si="32"/>
        <v>0</v>
      </c>
      <c r="P140" s="20">
        <f t="shared" si="33"/>
        <v>0</v>
      </c>
      <c r="Q140" s="20">
        <f t="shared" si="34"/>
        <v>2.8870714278440071</v>
      </c>
      <c r="R140" s="20">
        <f t="shared" si="35"/>
        <v>60.147321413416812</v>
      </c>
      <c r="S140" s="20">
        <f t="shared" si="36"/>
        <v>0.57910780723478661</v>
      </c>
      <c r="T140" s="20">
        <f t="shared" si="37"/>
        <v>48.258983936232219</v>
      </c>
    </row>
    <row r="141" spans="1:20" x14ac:dyDescent="0.25">
      <c r="A141" s="19">
        <f t="shared" si="38"/>
        <v>139</v>
      </c>
      <c r="B141" s="19">
        <v>5500</v>
      </c>
      <c r="C141" s="19">
        <v>14</v>
      </c>
      <c r="D141" s="20">
        <v>2.5</v>
      </c>
      <c r="E141" s="20">
        <f>'1-Simulation'!F141*60/(2*PI()*'1-Specification &amp; Data'!B$14)</f>
        <v>231.63479416798654</v>
      </c>
      <c r="F141" s="20">
        <f>E141*(IF('1-Simulation'!J141=1,'1-Specification &amp; Data'!H$7,IF('1-Simulation'!J141=2,'1-Specification &amp; Data'!H$8,IF('1-Simulation'!J141=3,'1-Specification &amp; Data'!H$9))))</f>
        <v>2913.303896935648</v>
      </c>
      <c r="G141" s="20">
        <f>2*PI()*E141*'1-Simulation'!U141/(1000*60)</f>
        <v>3.9058961387582971</v>
      </c>
      <c r="H141" s="20">
        <f t="shared" si="27"/>
        <v>4.595171927950938</v>
      </c>
      <c r="I141" s="20">
        <f t="shared" si="28"/>
        <v>95.73274849897787</v>
      </c>
      <c r="J141" s="20">
        <f>'1-Simulation'!U141/(IF('1-Simulation'!J141=1,'1-Specification &amp; Data'!H$7,IF('1-Simulation'!J141=2,'1-Specification &amp; Data'!H$8,IF('1-Simulation'!J141=3,'1-Specification &amp; Data'!H$9)))*0.8)</f>
        <v>16.003548711674153</v>
      </c>
      <c r="K141" s="20">
        <f t="shared" si="26"/>
        <v>5.3870714278440071</v>
      </c>
      <c r="L141" s="20">
        <f t="shared" si="29"/>
        <v>5.6706015029936916</v>
      </c>
      <c r="M141" s="20">
        <f t="shared" si="30"/>
        <v>0</v>
      </c>
      <c r="N141" s="20">
        <f t="shared" si="31"/>
        <v>0</v>
      </c>
      <c r="O141" s="20">
        <f t="shared" si="32"/>
        <v>0</v>
      </c>
      <c r="P141" s="20">
        <f t="shared" si="33"/>
        <v>0</v>
      </c>
      <c r="Q141" s="20">
        <f t="shared" si="34"/>
        <v>2.8870714278440071</v>
      </c>
      <c r="R141" s="20">
        <f t="shared" si="35"/>
        <v>60.147321413416812</v>
      </c>
      <c r="S141" s="20">
        <f t="shared" si="36"/>
        <v>0.57830584294927434</v>
      </c>
      <c r="T141" s="20">
        <f t="shared" si="37"/>
        <v>48.192153579106197</v>
      </c>
    </row>
    <row r="142" spans="1:20" x14ac:dyDescent="0.25">
      <c r="A142" s="19">
        <f t="shared" si="38"/>
        <v>140</v>
      </c>
      <c r="B142" s="19">
        <v>5500</v>
      </c>
      <c r="C142" s="19">
        <v>14</v>
      </c>
      <c r="D142" s="20">
        <v>2.5</v>
      </c>
      <c r="E142" s="20">
        <f>'1-Simulation'!F142*60/(2*PI()*'1-Specification &amp; Data'!B$14)</f>
        <v>246.11196880348567</v>
      </c>
      <c r="F142" s="20">
        <f>E142*(IF('1-Simulation'!J142=1,'1-Specification &amp; Data'!H$7,IF('1-Simulation'!J142=2,'1-Specification &amp; Data'!H$8,IF('1-Simulation'!J142=3,'1-Specification &amp; Data'!H$9))))</f>
        <v>3095.3853904941257</v>
      </c>
      <c r="G142" s="20">
        <f>2*PI()*E142*'1-Simulation'!U142/(1000*60)</f>
        <v>6.3264376546445389</v>
      </c>
      <c r="H142" s="20">
        <f t="shared" si="27"/>
        <v>7.4428678289935757</v>
      </c>
      <c r="I142" s="20">
        <f t="shared" si="28"/>
        <v>155.05974643736616</v>
      </c>
      <c r="J142" s="20">
        <f>'1-Simulation'!U142/(IF('1-Simulation'!J142=1,'1-Specification &amp; Data'!H$7,IF('1-Simulation'!J142=2,'1-Specification &amp; Data'!H$8,IF('1-Simulation'!J142=3,'1-Specification &amp; Data'!H$9)))*0.8)</f>
        <v>24.39640863440215</v>
      </c>
      <c r="K142" s="20">
        <f t="shared" si="26"/>
        <v>8.7255191430170882</v>
      </c>
      <c r="L142" s="20">
        <f t="shared" si="29"/>
        <v>9.1847569926495662</v>
      </c>
      <c r="M142" s="20">
        <f t="shared" si="30"/>
        <v>0</v>
      </c>
      <c r="N142" s="20">
        <f t="shared" si="31"/>
        <v>0</v>
      </c>
      <c r="O142" s="20">
        <f t="shared" si="32"/>
        <v>0</v>
      </c>
      <c r="P142" s="20">
        <f t="shared" si="33"/>
        <v>0</v>
      </c>
      <c r="Q142" s="20">
        <f t="shared" si="34"/>
        <v>6.2255191430170882</v>
      </c>
      <c r="R142" s="20">
        <f t="shared" si="35"/>
        <v>129.69831547952268</v>
      </c>
      <c r="S142" s="20">
        <f t="shared" si="36"/>
        <v>0.57657653207621407</v>
      </c>
      <c r="T142" s="20">
        <f t="shared" si="37"/>
        <v>48.048044339684509</v>
      </c>
    </row>
    <row r="143" spans="1:20" x14ac:dyDescent="0.25">
      <c r="A143" s="19">
        <f t="shared" si="38"/>
        <v>141</v>
      </c>
      <c r="B143" s="19">
        <v>5500</v>
      </c>
      <c r="C143" s="19">
        <v>14</v>
      </c>
      <c r="D143" s="20">
        <v>2.5</v>
      </c>
      <c r="E143" s="20">
        <f>'1-Simulation'!F143*60/(2*PI()*'1-Specification &amp; Data'!B$14)</f>
        <v>260.58914343898482</v>
      </c>
      <c r="F143" s="20">
        <f>E143*(IF('1-Simulation'!J143=1,'1-Specification &amp; Data'!H$7,IF('1-Simulation'!J143=2,'1-Specification &amp; Data'!H$8,IF('1-Simulation'!J143=3,'1-Specification &amp; Data'!H$9))))</f>
        <v>3277.4668840526037</v>
      </c>
      <c r="G143" s="20">
        <f>2*PI()*E143*'1-Simulation'!U143/(1000*60)</f>
        <v>6.7223951517740268</v>
      </c>
      <c r="H143" s="20">
        <f t="shared" si="27"/>
        <v>7.9087001785576785</v>
      </c>
      <c r="I143" s="20">
        <f t="shared" si="28"/>
        <v>164.76458705328497</v>
      </c>
      <c r="J143" s="20">
        <f>'1-Simulation'!U143/(IF('1-Simulation'!J143=1,'1-Specification &amp; Data'!H$7,IF('1-Simulation'!J143=2,'1-Specification &amp; Data'!H$8,IF('1-Simulation'!J143=3,'1-Specification &amp; Data'!H$9)))*0.8)</f>
        <v>24.483140234636526</v>
      </c>
      <c r="K143" s="20">
        <f t="shared" si="26"/>
        <v>9.2716297521192015</v>
      </c>
      <c r="L143" s="20">
        <f t="shared" si="29"/>
        <v>9.7596102653886341</v>
      </c>
      <c r="M143" s="20">
        <f t="shared" si="30"/>
        <v>0</v>
      </c>
      <c r="N143" s="20">
        <f t="shared" si="31"/>
        <v>0</v>
      </c>
      <c r="O143" s="20">
        <f t="shared" si="32"/>
        <v>0</v>
      </c>
      <c r="P143" s="20">
        <f t="shared" si="33"/>
        <v>0</v>
      </c>
      <c r="Q143" s="20">
        <f t="shared" si="34"/>
        <v>6.7716297521192015</v>
      </c>
      <c r="R143" s="20">
        <f t="shared" si="35"/>
        <v>141.0756198358167</v>
      </c>
      <c r="S143" s="20">
        <f t="shared" si="36"/>
        <v>0.5746955238117365</v>
      </c>
      <c r="T143" s="20">
        <f t="shared" si="37"/>
        <v>47.891293650978042</v>
      </c>
    </row>
    <row r="144" spans="1:20" x14ac:dyDescent="0.25">
      <c r="A144" s="19">
        <f t="shared" si="38"/>
        <v>142</v>
      </c>
      <c r="B144" s="19">
        <v>5500</v>
      </c>
      <c r="C144" s="19">
        <v>14</v>
      </c>
      <c r="D144" s="20">
        <v>2.5</v>
      </c>
      <c r="E144" s="20">
        <f>'1-Simulation'!F144*60/(2*PI()*'1-Specification &amp; Data'!B$14)</f>
        <v>246.11196880348567</v>
      </c>
      <c r="F144" s="20">
        <f>E144*(IF('1-Simulation'!J144=1,'1-Specification &amp; Data'!H$7,IF('1-Simulation'!J144=2,'1-Specification &amp; Data'!H$8,IF('1-Simulation'!J144=3,'1-Specification &amp; Data'!H$9))))</f>
        <v>3095.3853904941257</v>
      </c>
      <c r="G144" s="20">
        <f>2*PI()*E144*'1-Simulation'!U144/(1000*60)</f>
        <v>2.0160034284275361</v>
      </c>
      <c r="H144" s="20">
        <f t="shared" si="27"/>
        <v>2.3717687393265132</v>
      </c>
      <c r="I144" s="20">
        <f t="shared" si="28"/>
        <v>49.411848735969023</v>
      </c>
      <c r="J144" s="20">
        <f>'1-Simulation'!U144/(IF('1-Simulation'!J144=1,'1-Specification &amp; Data'!H$7,IF('1-Simulation'!J144=2,'1-Specification &amp; Data'!H$8,IF('1-Simulation'!J144=3,'1-Specification &amp; Data'!H$9)))*0.8)</f>
        <v>7.7742398065309501</v>
      </c>
      <c r="K144" s="20">
        <f t="shared" si="26"/>
        <v>2.7805026252362408</v>
      </c>
      <c r="L144" s="20">
        <f t="shared" si="29"/>
        <v>2.9268448686697273</v>
      </c>
      <c r="M144" s="20">
        <f t="shared" si="30"/>
        <v>0</v>
      </c>
      <c r="N144" s="20">
        <f t="shared" si="31"/>
        <v>0</v>
      </c>
      <c r="O144" s="20">
        <f t="shared" si="32"/>
        <v>0</v>
      </c>
      <c r="P144" s="20">
        <f t="shared" si="33"/>
        <v>0</v>
      </c>
      <c r="Q144" s="20">
        <f t="shared" si="34"/>
        <v>0.28050262523624081</v>
      </c>
      <c r="R144" s="20">
        <f t="shared" si="35"/>
        <v>5.843804692421684</v>
      </c>
      <c r="S144" s="20">
        <f t="shared" si="36"/>
        <v>0.57461760641583759</v>
      </c>
      <c r="T144" s="20">
        <f t="shared" si="37"/>
        <v>47.884800534653131</v>
      </c>
    </row>
    <row r="145" spans="1:20" x14ac:dyDescent="0.25">
      <c r="A145" s="19">
        <f t="shared" si="38"/>
        <v>143</v>
      </c>
      <c r="B145" s="19">
        <v>5500</v>
      </c>
      <c r="C145" s="19">
        <v>14</v>
      </c>
      <c r="D145" s="20">
        <v>2.5</v>
      </c>
      <c r="E145" s="20">
        <f>'1-Simulation'!F145*60/(2*PI()*'1-Specification &amp; Data'!B$14)</f>
        <v>224.39620685023692</v>
      </c>
      <c r="F145" s="20">
        <f>E145*(IF('1-Simulation'!J145=1,'1-Specification &amp; Data'!H$7,IF('1-Simulation'!J145=2,'1-Specification &amp; Data'!H$8,IF('1-Simulation'!J145=3,'1-Specification &amp; Data'!H$9))))</f>
        <v>2822.2631501564088</v>
      </c>
      <c r="G145" s="20">
        <f>2*PI()*E145*'1-Simulation'!U145/(1000*60)</f>
        <v>0.82703257260220475</v>
      </c>
      <c r="H145" s="20">
        <f t="shared" si="27"/>
        <v>0.9729794971790644</v>
      </c>
      <c r="I145" s="20">
        <f t="shared" si="28"/>
        <v>20.27040619123051</v>
      </c>
      <c r="J145" s="20">
        <f>'1-Simulation'!U145/(IF('1-Simulation'!J145=1,'1-Specification &amp; Data'!H$7,IF('1-Simulation'!J145=2,'1-Specification &amp; Data'!H$8,IF('1-Simulation'!J145=3,'1-Specification &amp; Data'!H$9)))*0.8)</f>
        <v>3.4978928706653298</v>
      </c>
      <c r="K145" s="20">
        <f t="shared" si="26"/>
        <v>1.1406559169742843</v>
      </c>
      <c r="L145" s="20">
        <f t="shared" si="29"/>
        <v>1.2006904389202993</v>
      </c>
      <c r="M145" s="20">
        <f t="shared" si="30"/>
        <v>0</v>
      </c>
      <c r="N145" s="20">
        <f t="shared" si="31"/>
        <v>1.2993095610797007</v>
      </c>
      <c r="O145" s="20">
        <f t="shared" si="32"/>
        <v>1.3593440830257157</v>
      </c>
      <c r="P145" s="20">
        <f t="shared" si="33"/>
        <v>23.932114137776686</v>
      </c>
      <c r="Q145" s="20">
        <f t="shared" si="34"/>
        <v>0</v>
      </c>
      <c r="R145" s="20">
        <f t="shared" si="35"/>
        <v>0</v>
      </c>
      <c r="S145" s="20">
        <f t="shared" si="36"/>
        <v>0.57499520199445586</v>
      </c>
      <c r="T145" s="20">
        <f t="shared" si="37"/>
        <v>47.916266832871322</v>
      </c>
    </row>
    <row r="146" spans="1:20" x14ac:dyDescent="0.25">
      <c r="A146" s="19">
        <f t="shared" si="38"/>
        <v>144</v>
      </c>
      <c r="B146" s="19">
        <v>5500</v>
      </c>
      <c r="C146" s="19">
        <v>14</v>
      </c>
      <c r="D146" s="20">
        <v>2.5</v>
      </c>
      <c r="E146" s="20">
        <f>'1-Simulation'!F146*60/(2*PI()*'1-Specification &amp; Data'!B$14)</f>
        <v>224.39620685023692</v>
      </c>
      <c r="F146" s="20">
        <f>E146*(IF('1-Simulation'!J146=1,'1-Specification &amp; Data'!H$7,IF('1-Simulation'!J146=2,'1-Specification &amp; Data'!H$8,IF('1-Simulation'!J146=3,'1-Specification &amp; Data'!H$9))))</f>
        <v>2822.2631501564088</v>
      </c>
      <c r="G146" s="20">
        <f>2*PI()*E146*'1-Simulation'!U146/(1000*60)</f>
        <v>3.7746089184711744</v>
      </c>
      <c r="H146" s="20">
        <f t="shared" si="27"/>
        <v>4.44071637467197</v>
      </c>
      <c r="I146" s="20">
        <f t="shared" si="28"/>
        <v>92.514924472332709</v>
      </c>
      <c r="J146" s="20">
        <f>'1-Simulation'!U146/(IF('1-Simulation'!J146=1,'1-Specification &amp; Data'!H$7,IF('1-Simulation'!J146=2,'1-Specification &amp; Data'!H$8,IF('1-Simulation'!J146=3,'1-Specification &amp; Data'!H$9)))*0.8)</f>
        <v>15.964519491568685</v>
      </c>
      <c r="K146" s="20">
        <f t="shared" si="26"/>
        <v>5.205998094574408</v>
      </c>
      <c r="L146" s="20">
        <f t="shared" si="29"/>
        <v>5.4799979942888504</v>
      </c>
      <c r="M146" s="20">
        <f t="shared" si="30"/>
        <v>0</v>
      </c>
      <c r="N146" s="20">
        <f t="shared" si="31"/>
        <v>0</v>
      </c>
      <c r="O146" s="20">
        <f t="shared" si="32"/>
        <v>0</v>
      </c>
      <c r="P146" s="20">
        <f t="shared" si="33"/>
        <v>0</v>
      </c>
      <c r="Q146" s="20">
        <f t="shared" si="34"/>
        <v>2.705998094574408</v>
      </c>
      <c r="R146" s="20">
        <f t="shared" si="35"/>
        <v>56.374960303633493</v>
      </c>
      <c r="S146" s="20">
        <f t="shared" si="36"/>
        <v>0.57424353585707411</v>
      </c>
      <c r="T146" s="20">
        <f t="shared" si="37"/>
        <v>47.853627988089507</v>
      </c>
    </row>
    <row r="147" spans="1:20" x14ac:dyDescent="0.25">
      <c r="A147" s="19">
        <f t="shared" si="38"/>
        <v>145</v>
      </c>
      <c r="B147" s="19">
        <v>5500</v>
      </c>
      <c r="C147" s="19">
        <v>14</v>
      </c>
      <c r="D147" s="20">
        <v>2.5</v>
      </c>
      <c r="E147" s="20">
        <f>'1-Simulation'!F147*60/(2*PI()*'1-Specification &amp; Data'!B$14)</f>
        <v>224.39620685023692</v>
      </c>
      <c r="F147" s="20">
        <f>E147*(IF('1-Simulation'!J147=1,'1-Specification &amp; Data'!H$7,IF('1-Simulation'!J147=2,'1-Specification &amp; Data'!H$8,IF('1-Simulation'!J147=3,'1-Specification &amp; Data'!H$9))))</f>
        <v>2822.2631501564088</v>
      </c>
      <c r="G147" s="20">
        <f>2*PI()*E147*'1-Simulation'!U147/(1000*60)</f>
        <v>3.7746089184711744</v>
      </c>
      <c r="H147" s="20">
        <f t="shared" si="27"/>
        <v>4.44071637467197</v>
      </c>
      <c r="I147" s="20">
        <f t="shared" si="28"/>
        <v>92.514924472332709</v>
      </c>
      <c r="J147" s="20">
        <f>'1-Simulation'!U147/(IF('1-Simulation'!J147=1,'1-Specification &amp; Data'!H$7,IF('1-Simulation'!J147=2,'1-Specification &amp; Data'!H$8,IF('1-Simulation'!J147=3,'1-Specification &amp; Data'!H$9)))*0.8)</f>
        <v>15.964519491568685</v>
      </c>
      <c r="K147" s="20">
        <f t="shared" si="26"/>
        <v>5.205998094574408</v>
      </c>
      <c r="L147" s="20">
        <f t="shared" si="29"/>
        <v>5.4799979942888504</v>
      </c>
      <c r="M147" s="20">
        <f t="shared" si="30"/>
        <v>0</v>
      </c>
      <c r="N147" s="20">
        <f t="shared" si="31"/>
        <v>0</v>
      </c>
      <c r="O147" s="20">
        <f t="shared" si="32"/>
        <v>0</v>
      </c>
      <c r="P147" s="20">
        <f t="shared" si="33"/>
        <v>0</v>
      </c>
      <c r="Q147" s="20">
        <f t="shared" si="34"/>
        <v>2.705998094574408</v>
      </c>
      <c r="R147" s="20">
        <f t="shared" si="35"/>
        <v>56.374960303633493</v>
      </c>
      <c r="S147" s="20">
        <f t="shared" si="36"/>
        <v>0.57349186971969235</v>
      </c>
      <c r="T147" s="20">
        <f t="shared" si="37"/>
        <v>47.790989143307698</v>
      </c>
    </row>
    <row r="148" spans="1:20" x14ac:dyDescent="0.25">
      <c r="A148" s="19">
        <f t="shared" si="38"/>
        <v>146</v>
      </c>
      <c r="B148" s="19">
        <v>5500</v>
      </c>
      <c r="C148" s="19">
        <v>14</v>
      </c>
      <c r="D148" s="20">
        <v>2.5</v>
      </c>
      <c r="E148" s="20">
        <f>'1-Simulation'!F148*60/(2*PI()*'1-Specification &amp; Data'!B$14)</f>
        <v>224.39620685023692</v>
      </c>
      <c r="F148" s="20">
        <f>E148*(IF('1-Simulation'!J148=1,'1-Specification &amp; Data'!H$7,IF('1-Simulation'!J148=2,'1-Specification &amp; Data'!H$8,IF('1-Simulation'!J148=3,'1-Specification &amp; Data'!H$9))))</f>
        <v>2822.2631501564088</v>
      </c>
      <c r="G148" s="20">
        <f>2*PI()*E148*'1-Simulation'!U148/(1000*60)</f>
        <v>3.7746089184711744</v>
      </c>
      <c r="H148" s="20">
        <f t="shared" si="27"/>
        <v>4.44071637467197</v>
      </c>
      <c r="I148" s="20">
        <f t="shared" si="28"/>
        <v>92.514924472332709</v>
      </c>
      <c r="J148" s="20">
        <f>'1-Simulation'!U148/(IF('1-Simulation'!J148=1,'1-Specification &amp; Data'!H$7,IF('1-Simulation'!J148=2,'1-Specification &amp; Data'!H$8,IF('1-Simulation'!J148=3,'1-Specification &amp; Data'!H$9)))*0.8)</f>
        <v>15.964519491568685</v>
      </c>
      <c r="K148" s="20">
        <f t="shared" si="26"/>
        <v>5.205998094574408</v>
      </c>
      <c r="L148" s="20">
        <f t="shared" si="29"/>
        <v>5.4799979942888504</v>
      </c>
      <c r="M148" s="20">
        <f t="shared" si="30"/>
        <v>0</v>
      </c>
      <c r="N148" s="20">
        <f t="shared" si="31"/>
        <v>0</v>
      </c>
      <c r="O148" s="20">
        <f t="shared" si="32"/>
        <v>0</v>
      </c>
      <c r="P148" s="20">
        <f t="shared" si="33"/>
        <v>0</v>
      </c>
      <c r="Q148" s="20">
        <f t="shared" si="34"/>
        <v>2.705998094574408</v>
      </c>
      <c r="R148" s="20">
        <f t="shared" si="35"/>
        <v>56.374960303633493</v>
      </c>
      <c r="S148" s="20">
        <f t="shared" si="36"/>
        <v>0.57274020358231059</v>
      </c>
      <c r="T148" s="20">
        <f t="shared" si="37"/>
        <v>47.728350298525882</v>
      </c>
    </row>
    <row r="149" spans="1:20" x14ac:dyDescent="0.25">
      <c r="A149" s="19">
        <f t="shared" si="38"/>
        <v>147</v>
      </c>
      <c r="B149" s="19">
        <v>5500</v>
      </c>
      <c r="C149" s="19">
        <v>14</v>
      </c>
      <c r="D149" s="20">
        <v>2.5</v>
      </c>
      <c r="E149" s="20">
        <f>'1-Simulation'!F149*60/(2*PI()*'1-Specification &amp; Data'!B$14)</f>
        <v>224.39620685023692</v>
      </c>
      <c r="F149" s="20">
        <f>E149*(IF('1-Simulation'!J149=1,'1-Specification &amp; Data'!H$7,IF('1-Simulation'!J149=2,'1-Specification &amp; Data'!H$8,IF('1-Simulation'!J149=3,'1-Specification &amp; Data'!H$9))))</f>
        <v>2822.2631501564088</v>
      </c>
      <c r="G149" s="20">
        <f>2*PI()*E149*'1-Simulation'!U149/(1000*60)</f>
        <v>3.7746089184711744</v>
      </c>
      <c r="H149" s="20">
        <f t="shared" si="27"/>
        <v>4.44071637467197</v>
      </c>
      <c r="I149" s="20">
        <f t="shared" si="28"/>
        <v>92.514924472332709</v>
      </c>
      <c r="J149" s="20">
        <f>'1-Simulation'!U149/(IF('1-Simulation'!J149=1,'1-Specification &amp; Data'!H$7,IF('1-Simulation'!J149=2,'1-Specification &amp; Data'!H$8,IF('1-Simulation'!J149=3,'1-Specification &amp; Data'!H$9)))*0.8)</f>
        <v>15.964519491568685</v>
      </c>
      <c r="K149" s="20">
        <f t="shared" si="26"/>
        <v>5.205998094574408</v>
      </c>
      <c r="L149" s="20">
        <f t="shared" si="29"/>
        <v>5.4799979942888504</v>
      </c>
      <c r="M149" s="20">
        <f t="shared" si="30"/>
        <v>0</v>
      </c>
      <c r="N149" s="20">
        <f t="shared" si="31"/>
        <v>0</v>
      </c>
      <c r="O149" s="20">
        <f t="shared" si="32"/>
        <v>0</v>
      </c>
      <c r="P149" s="20">
        <f t="shared" si="33"/>
        <v>0</v>
      </c>
      <c r="Q149" s="20">
        <f t="shared" si="34"/>
        <v>2.705998094574408</v>
      </c>
      <c r="R149" s="20">
        <f t="shared" si="35"/>
        <v>56.374960303633493</v>
      </c>
      <c r="S149" s="20">
        <f t="shared" si="36"/>
        <v>0.57198853744492884</v>
      </c>
      <c r="T149" s="20">
        <f t="shared" si="37"/>
        <v>47.665711453744073</v>
      </c>
    </row>
    <row r="150" spans="1:20" x14ac:dyDescent="0.25">
      <c r="A150" s="19">
        <f t="shared" si="38"/>
        <v>148</v>
      </c>
      <c r="B150" s="19">
        <v>5500</v>
      </c>
      <c r="C150" s="19">
        <v>14</v>
      </c>
      <c r="D150" s="20">
        <v>2.5</v>
      </c>
      <c r="E150" s="20">
        <f>'1-Simulation'!F150*60/(2*PI()*'1-Specification &amp; Data'!B$14)</f>
        <v>231.63479416798654</v>
      </c>
      <c r="F150" s="20">
        <f>E150*(IF('1-Simulation'!J150=1,'1-Specification &amp; Data'!H$7,IF('1-Simulation'!J150=2,'1-Specification &amp; Data'!H$8,IF('1-Simulation'!J150=3,'1-Specification &amp; Data'!H$9))))</f>
        <v>2913.303896935648</v>
      </c>
      <c r="G150" s="20">
        <f>2*PI()*E150*'1-Simulation'!U150/(1000*60)</f>
        <v>4.9201159566917037</v>
      </c>
      <c r="H150" s="20">
        <f t="shared" si="27"/>
        <v>5.7883717137549455</v>
      </c>
      <c r="I150" s="20">
        <f t="shared" si="28"/>
        <v>120.59107736989471</v>
      </c>
      <c r="J150" s="20">
        <f>'1-Simulation'!U150/(IF('1-Simulation'!J150=1,'1-Specification &amp; Data'!H$7,IF('1-Simulation'!J150=2,'1-Specification &amp; Data'!H$8,IF('1-Simulation'!J150=3,'1-Specification &amp; Data'!H$9)))*0.8)</f>
        <v>20.15909091864193</v>
      </c>
      <c r="K150" s="20">
        <f t="shared" si="26"/>
        <v>6.7858988437924337</v>
      </c>
      <c r="L150" s="20">
        <f t="shared" si="29"/>
        <v>7.1430514145183519</v>
      </c>
      <c r="M150" s="20">
        <f t="shared" si="30"/>
        <v>0</v>
      </c>
      <c r="N150" s="20">
        <f t="shared" si="31"/>
        <v>0</v>
      </c>
      <c r="O150" s="20">
        <f t="shared" si="32"/>
        <v>0</v>
      </c>
      <c r="P150" s="20">
        <f t="shared" si="33"/>
        <v>0</v>
      </c>
      <c r="Q150" s="20">
        <f t="shared" si="34"/>
        <v>4.2858988437924337</v>
      </c>
      <c r="R150" s="20">
        <f t="shared" si="35"/>
        <v>89.289559245675704</v>
      </c>
      <c r="S150" s="20">
        <f t="shared" si="36"/>
        <v>0.57079800998831987</v>
      </c>
      <c r="T150" s="20">
        <f t="shared" si="37"/>
        <v>47.566500832359992</v>
      </c>
    </row>
    <row r="151" spans="1:20" x14ac:dyDescent="0.25">
      <c r="A151" s="19">
        <f t="shared" si="38"/>
        <v>149</v>
      </c>
      <c r="B151" s="19">
        <v>5500</v>
      </c>
      <c r="C151" s="19">
        <v>14</v>
      </c>
      <c r="D151" s="20">
        <v>2.5</v>
      </c>
      <c r="E151" s="20">
        <f>'1-Simulation'!F151*60/(2*PI()*'1-Specification &amp; Data'!B$14)</f>
        <v>238.8733814857361</v>
      </c>
      <c r="F151" s="20">
        <f>E151*(IF('1-Simulation'!J151=1,'1-Specification &amp; Data'!H$7,IF('1-Simulation'!J151=2,'1-Specification &amp; Data'!H$8,IF('1-Simulation'!J151=3,'1-Specification &amp; Data'!H$9))))</f>
        <v>3004.3446437148868</v>
      </c>
      <c r="G151" s="20">
        <f>2*PI()*E151*'1-Simulation'!U151/(1000*60)</f>
        <v>5.0840047503151506</v>
      </c>
      <c r="H151" s="20">
        <f t="shared" si="27"/>
        <v>5.9811820591942952</v>
      </c>
      <c r="I151" s="20">
        <f t="shared" si="28"/>
        <v>124.60795956654782</v>
      </c>
      <c r="J151" s="20">
        <f>'1-Simulation'!U151/(IF('1-Simulation'!J151=1,'1-Specification &amp; Data'!H$7,IF('1-Simulation'!J151=2,'1-Specification &amp; Data'!H$8,IF('1-Simulation'!J151=3,'1-Specification &amp; Data'!H$9)))*0.8)</f>
        <v>20.199359161607923</v>
      </c>
      <c r="K151" s="20">
        <f t="shared" si="26"/>
        <v>7.0119367634165242</v>
      </c>
      <c r="L151" s="20">
        <f t="shared" si="29"/>
        <v>7.380986066754236</v>
      </c>
      <c r="M151" s="20">
        <f t="shared" si="30"/>
        <v>0</v>
      </c>
      <c r="N151" s="20">
        <f t="shared" si="31"/>
        <v>0</v>
      </c>
      <c r="O151" s="20">
        <f t="shared" si="32"/>
        <v>0</v>
      </c>
      <c r="P151" s="20">
        <f t="shared" si="33"/>
        <v>0</v>
      </c>
      <c r="Q151" s="20">
        <f t="shared" si="34"/>
        <v>4.5119367634165242</v>
      </c>
      <c r="R151" s="20">
        <f t="shared" si="35"/>
        <v>93.998682571177582</v>
      </c>
      <c r="S151" s="20">
        <f t="shared" si="36"/>
        <v>0.5695446942207042</v>
      </c>
      <c r="T151" s="20">
        <f t="shared" si="37"/>
        <v>47.462057851725348</v>
      </c>
    </row>
    <row r="152" spans="1:20" x14ac:dyDescent="0.25">
      <c r="A152" s="19">
        <f t="shared" si="38"/>
        <v>150</v>
      </c>
      <c r="B152" s="19">
        <v>5500</v>
      </c>
      <c r="C152" s="19">
        <v>14</v>
      </c>
      <c r="D152" s="20">
        <v>2.5</v>
      </c>
      <c r="E152" s="20">
        <f>'1-Simulation'!F152*60/(2*PI()*'1-Specification &amp; Data'!B$14)</f>
        <v>256.24599104833504</v>
      </c>
      <c r="F152" s="20">
        <f>E152*(IF('1-Simulation'!J152=1,'1-Specification &amp; Data'!H$7,IF('1-Simulation'!J152=2,'1-Specification &amp; Data'!H$8,IF('1-Simulation'!J152=3,'1-Specification &amp; Data'!H$9))))</f>
        <v>3222.8424359850601</v>
      </c>
      <c r="G152" s="20">
        <f>2*PI()*E152*'1-Simulation'!U152/(1000*60)</f>
        <v>7.0519818376142691</v>
      </c>
      <c r="H152" s="20">
        <f t="shared" si="27"/>
        <v>8.2964492207226694</v>
      </c>
      <c r="I152" s="20">
        <f t="shared" si="28"/>
        <v>172.84269209838894</v>
      </c>
      <c r="J152" s="20">
        <f>'1-Simulation'!U152/(IF('1-Simulation'!J152=1,'1-Specification &amp; Data'!H$7,IF('1-Simulation'!J152=2,'1-Specification &amp; Data'!H$8,IF('1-Simulation'!J152=3,'1-Specification &amp; Data'!H$9)))*0.8)</f>
        <v>26.118817247751913</v>
      </c>
      <c r="K152" s="20">
        <f t="shared" si="26"/>
        <v>9.7262007276936338</v>
      </c>
      <c r="L152" s="20">
        <f t="shared" si="29"/>
        <v>10.238106029151194</v>
      </c>
      <c r="M152" s="20">
        <f t="shared" si="30"/>
        <v>0</v>
      </c>
      <c r="N152" s="20">
        <f t="shared" si="31"/>
        <v>0</v>
      </c>
      <c r="O152" s="20">
        <f t="shared" si="32"/>
        <v>0</v>
      </c>
      <c r="P152" s="20">
        <f t="shared" si="33"/>
        <v>0</v>
      </c>
      <c r="Q152" s="20">
        <f t="shared" si="34"/>
        <v>7.2262007276936338</v>
      </c>
      <c r="R152" s="20">
        <f t="shared" si="35"/>
        <v>150.54584849361737</v>
      </c>
      <c r="S152" s="20">
        <f t="shared" si="36"/>
        <v>0.56753741624078935</v>
      </c>
      <c r="T152" s="20">
        <f t="shared" si="37"/>
        <v>47.294784686732449</v>
      </c>
    </row>
    <row r="153" spans="1:20" x14ac:dyDescent="0.25">
      <c r="A153" s="19">
        <f t="shared" si="38"/>
        <v>151</v>
      </c>
      <c r="B153" s="19">
        <v>5500</v>
      </c>
      <c r="C153" s="19">
        <v>14</v>
      </c>
      <c r="D153" s="20">
        <v>2.5</v>
      </c>
      <c r="E153" s="20">
        <f>'1-Simulation'!F153*60/(2*PI()*'1-Specification &amp; Data'!B$14)</f>
        <v>273.61860061093404</v>
      </c>
      <c r="F153" s="20">
        <f>E153*(IF('1-Simulation'!J153=1,'1-Specification &amp; Data'!H$7,IF('1-Simulation'!J153=2,'1-Specification &amp; Data'!H$8,IF('1-Simulation'!J153=3,'1-Specification &amp; Data'!H$9))))</f>
        <v>3441.3402282552333</v>
      </c>
      <c r="G153" s="20">
        <f>2*PI()*E153*'1-Simulation'!U153/(1000*60)</f>
        <v>7.5614597668250596</v>
      </c>
      <c r="H153" s="20">
        <f t="shared" si="27"/>
        <v>8.8958350197941876</v>
      </c>
      <c r="I153" s="20">
        <f t="shared" si="28"/>
        <v>185.32989624571223</v>
      </c>
      <c r="J153" s="20">
        <f>'1-Simulation'!U153/(IF('1-Simulation'!J153=1,'1-Specification &amp; Data'!H$7,IF('1-Simulation'!J153=2,'1-Specification &amp; Data'!H$8,IF('1-Simulation'!J153=3,'1-Specification &amp; Data'!H$9)))*0.8)</f>
        <v>26.227653015817477</v>
      </c>
      <c r="K153" s="20">
        <f t="shared" si="26"/>
        <v>10.428880445245237</v>
      </c>
      <c r="L153" s="20">
        <f t="shared" si="29"/>
        <v>10.977768889731829</v>
      </c>
      <c r="M153" s="20">
        <f t="shared" si="30"/>
        <v>0</v>
      </c>
      <c r="N153" s="20">
        <f t="shared" si="31"/>
        <v>0</v>
      </c>
      <c r="O153" s="20">
        <f t="shared" si="32"/>
        <v>0</v>
      </c>
      <c r="P153" s="20">
        <f t="shared" si="33"/>
        <v>0</v>
      </c>
      <c r="Q153" s="20">
        <f t="shared" si="34"/>
        <v>7.9288804452452375</v>
      </c>
      <c r="R153" s="20">
        <f t="shared" si="35"/>
        <v>165.18500927594246</v>
      </c>
      <c r="S153" s="20">
        <f t="shared" si="36"/>
        <v>0.56533494945044349</v>
      </c>
      <c r="T153" s="20">
        <f t="shared" si="37"/>
        <v>47.111245787536959</v>
      </c>
    </row>
    <row r="154" spans="1:20" x14ac:dyDescent="0.25">
      <c r="A154" s="19">
        <f t="shared" si="38"/>
        <v>152</v>
      </c>
      <c r="B154" s="19">
        <v>5500</v>
      </c>
      <c r="C154" s="19">
        <v>14</v>
      </c>
      <c r="D154" s="20">
        <v>2.5</v>
      </c>
      <c r="E154" s="20">
        <f>'1-Simulation'!F154*60/(2*PI()*'1-Specification &amp; Data'!B$14)</f>
        <v>289.54349270998313</v>
      </c>
      <c r="F154" s="20">
        <f>E154*(IF('1-Simulation'!J154=1,'1-Specification &amp; Data'!H$7,IF('1-Simulation'!J154=2,'1-Specification &amp; Data'!H$8,IF('1-Simulation'!J154=3,'1-Specification &amp; Data'!H$9))))</f>
        <v>3641.6298711695595</v>
      </c>
      <c r="G154" s="20">
        <f>2*PI()*E154*'1-Simulation'!U154/(1000*60)</f>
        <v>7.7803391558724515</v>
      </c>
      <c r="H154" s="20">
        <f t="shared" si="27"/>
        <v>9.1533401833793544</v>
      </c>
      <c r="I154" s="20">
        <f t="shared" si="28"/>
        <v>190.69458715373653</v>
      </c>
      <c r="J154" s="20">
        <f>'1-Simulation'!U154/(IF('1-Simulation'!J154=1,'1-Specification &amp; Data'!H$7,IF('1-Simulation'!J154=2,'1-Specification &amp; Data'!H$8,IF('1-Simulation'!J154=3,'1-Specification &amp; Data'!H$9)))*0.8)</f>
        <v>25.50258015082477</v>
      </c>
      <c r="K154" s="20">
        <f t="shared" si="26"/>
        <v>10.730762231394319</v>
      </c>
      <c r="L154" s="20">
        <f t="shared" si="29"/>
        <v>11.295539190941389</v>
      </c>
      <c r="M154" s="20">
        <f t="shared" si="30"/>
        <v>0</v>
      </c>
      <c r="N154" s="20">
        <f t="shared" si="31"/>
        <v>0</v>
      </c>
      <c r="O154" s="20">
        <f t="shared" si="32"/>
        <v>0</v>
      </c>
      <c r="P154" s="20">
        <f t="shared" si="33"/>
        <v>0</v>
      </c>
      <c r="Q154" s="20">
        <f t="shared" si="34"/>
        <v>8.2307622313943192</v>
      </c>
      <c r="R154" s="20">
        <f t="shared" si="35"/>
        <v>171.47421315404833</v>
      </c>
      <c r="S154" s="20">
        <f t="shared" si="36"/>
        <v>0.5630486266083895</v>
      </c>
      <c r="T154" s="20">
        <f t="shared" si="37"/>
        <v>46.92071888403246</v>
      </c>
    </row>
    <row r="155" spans="1:20" x14ac:dyDescent="0.25">
      <c r="A155" s="19">
        <f t="shared" si="38"/>
        <v>153</v>
      </c>
      <c r="B155" s="19">
        <v>5500</v>
      </c>
      <c r="C155" s="19">
        <v>14</v>
      </c>
      <c r="D155" s="20">
        <v>2.5</v>
      </c>
      <c r="E155" s="20">
        <f>'1-Simulation'!F155*60/(2*PI()*'1-Specification &amp; Data'!B$14)</f>
        <v>292.43892763708294</v>
      </c>
      <c r="F155" s="20">
        <f>E155*(IF('1-Simulation'!J155=1,'1-Specification &amp; Data'!H$7,IF('1-Simulation'!J155=2,'1-Specification &amp; Data'!H$8,IF('1-Simulation'!J155=3,'1-Specification &amp; Data'!H$9))))</f>
        <v>2426.8633085726751</v>
      </c>
      <c r="G155" s="20">
        <f>2*PI()*E155*'1-Simulation'!U155/(1000*60)</f>
        <v>5.5560409280384464</v>
      </c>
      <c r="H155" s="20">
        <f t="shared" si="27"/>
        <v>6.5365187388687609</v>
      </c>
      <c r="I155" s="20">
        <f t="shared" si="28"/>
        <v>136.17747372643251</v>
      </c>
      <c r="J155" s="20">
        <f>'1-Simulation'!U155/(IF('1-Simulation'!J155=1,'1-Specification &amp; Data'!H$7,IF('1-Simulation'!J155=2,'1-Specification &amp; Data'!H$8,IF('1-Simulation'!J155=3,'1-Specification &amp; Data'!H$9)))*0.8)</f>
        <v>27.327601474130976</v>
      </c>
      <c r="K155" s="20">
        <f t="shared" si="26"/>
        <v>7.6629762472083955</v>
      </c>
      <c r="L155" s="20">
        <f t="shared" si="29"/>
        <v>8.0662907865351539</v>
      </c>
      <c r="M155" s="20">
        <f t="shared" si="30"/>
        <v>0</v>
      </c>
      <c r="N155" s="20">
        <f t="shared" si="31"/>
        <v>0</v>
      </c>
      <c r="O155" s="20">
        <f t="shared" si="32"/>
        <v>0</v>
      </c>
      <c r="P155" s="20">
        <f t="shared" si="33"/>
        <v>0</v>
      </c>
      <c r="Q155" s="20">
        <f t="shared" si="34"/>
        <v>5.1629762472083955</v>
      </c>
      <c r="R155" s="20">
        <f t="shared" si="35"/>
        <v>107.56200515017491</v>
      </c>
      <c r="S155" s="20">
        <f t="shared" si="36"/>
        <v>0.56161446653972047</v>
      </c>
      <c r="T155" s="20">
        <f t="shared" si="37"/>
        <v>46.80120554497671</v>
      </c>
    </row>
    <row r="156" spans="1:20" x14ac:dyDescent="0.25">
      <c r="A156" s="19">
        <f t="shared" si="38"/>
        <v>154</v>
      </c>
      <c r="B156" s="19">
        <v>5500</v>
      </c>
      <c r="C156" s="19">
        <v>14</v>
      </c>
      <c r="D156" s="20">
        <v>2.5</v>
      </c>
      <c r="E156" s="20">
        <f>'1-Simulation'!F156*60/(2*PI()*'1-Specification &amp; Data'!B$14)</f>
        <v>304.02066734548231</v>
      </c>
      <c r="F156" s="20">
        <f>E156*(IF('1-Simulation'!J156=1,'1-Specification &amp; Data'!H$7,IF('1-Simulation'!J156=2,'1-Specification &amp; Data'!H$8,IF('1-Simulation'!J156=3,'1-Specification &amp; Data'!H$9))))</f>
        <v>2522.9767069319892</v>
      </c>
      <c r="G156" s="20">
        <f>2*PI()*E156*'1-Simulation'!U156/(1000*60)</f>
        <v>-3.6981450803474862</v>
      </c>
      <c r="H156" s="20">
        <f t="shared" si="27"/>
        <v>0</v>
      </c>
      <c r="I156" s="20">
        <f t="shared" si="28"/>
        <v>0</v>
      </c>
      <c r="J156" s="20">
        <f>'1-Simulation'!U156/(IF('1-Simulation'!J156=1,'1-Specification &amp; Data'!H$7,IF('1-Simulation'!J156=2,'1-Specification &amp; Data'!H$8,IF('1-Simulation'!J156=3,'1-Specification &amp; Data'!H$9)))*0.8)</f>
        <v>-17.496536973304178</v>
      </c>
      <c r="K156" s="20">
        <f t="shared" si="26"/>
        <v>0</v>
      </c>
      <c r="L156" s="20">
        <f t="shared" si="29"/>
        <v>0</v>
      </c>
      <c r="M156" s="20">
        <f t="shared" si="30"/>
        <v>1.4047330124798316</v>
      </c>
      <c r="N156" s="20">
        <f t="shared" si="31"/>
        <v>2.5</v>
      </c>
      <c r="O156" s="20">
        <f t="shared" si="32"/>
        <v>3.9047330124798316</v>
      </c>
      <c r="P156" s="20">
        <f t="shared" si="33"/>
        <v>68.745299515490004</v>
      </c>
      <c r="Q156" s="20">
        <f t="shared" si="34"/>
        <v>0</v>
      </c>
      <c r="R156" s="20">
        <f t="shared" si="35"/>
        <v>0</v>
      </c>
      <c r="S156" s="20">
        <f t="shared" si="36"/>
        <v>0.56269911459874267</v>
      </c>
      <c r="T156" s="20">
        <f t="shared" si="37"/>
        <v>46.891592883228554</v>
      </c>
    </row>
    <row r="157" spans="1:20" x14ac:dyDescent="0.25">
      <c r="A157" s="19">
        <f t="shared" si="38"/>
        <v>155</v>
      </c>
      <c r="B157" s="19">
        <v>5500</v>
      </c>
      <c r="C157" s="19">
        <v>14</v>
      </c>
      <c r="D157" s="20">
        <v>2.5</v>
      </c>
      <c r="E157" s="20">
        <f>'1-Simulation'!F157*60/(2*PI()*'1-Specification &amp; Data'!B$14)</f>
        <v>332.97501661648062</v>
      </c>
      <c r="F157" s="20">
        <f>E157*(IF('1-Simulation'!J157=1,'1-Specification &amp; Data'!H$7,IF('1-Simulation'!J157=2,'1-Specification &amp; Data'!H$8,IF('1-Simulation'!J157=3,'1-Specification &amp; Data'!H$9))))</f>
        <v>2763.260202830274</v>
      </c>
      <c r="G157" s="20">
        <f>2*PI()*E157*'1-Simulation'!U157/(1000*60)</f>
        <v>-0.49818971598752942</v>
      </c>
      <c r="H157" s="20">
        <f t="shared" si="27"/>
        <v>0</v>
      </c>
      <c r="I157" s="20">
        <f t="shared" si="28"/>
        <v>0</v>
      </c>
      <c r="J157" s="20">
        <f>'1-Simulation'!U157/(IF('1-Simulation'!J157=1,'1-Specification &amp; Data'!H$7,IF('1-Simulation'!J157=2,'1-Specification &amp; Data'!H$8,IF('1-Simulation'!J157=3,'1-Specification &amp; Data'!H$9)))*0.8)</f>
        <v>-2.1520599783477814</v>
      </c>
      <c r="K157" s="20">
        <f t="shared" si="26"/>
        <v>0</v>
      </c>
      <c r="L157" s="20">
        <f t="shared" si="29"/>
        <v>0</v>
      </c>
      <c r="M157" s="20">
        <f t="shared" si="30"/>
        <v>0.1892363672384311</v>
      </c>
      <c r="N157" s="20">
        <f t="shared" si="31"/>
        <v>2.5</v>
      </c>
      <c r="O157" s="20">
        <f t="shared" si="32"/>
        <v>2.689236367238431</v>
      </c>
      <c r="P157" s="20">
        <f t="shared" si="33"/>
        <v>47.345710690817448</v>
      </c>
      <c r="Q157" s="20">
        <f t="shared" si="34"/>
        <v>0</v>
      </c>
      <c r="R157" s="20">
        <f t="shared" si="35"/>
        <v>0</v>
      </c>
      <c r="S157" s="20">
        <f t="shared" si="36"/>
        <v>0.56344612470075339</v>
      </c>
      <c r="T157" s="20">
        <f t="shared" si="37"/>
        <v>46.953843725062782</v>
      </c>
    </row>
    <row r="158" spans="1:20" x14ac:dyDescent="0.25">
      <c r="A158" s="19">
        <f t="shared" si="38"/>
        <v>156</v>
      </c>
      <c r="B158" s="19">
        <v>5500</v>
      </c>
      <c r="C158" s="19">
        <v>14</v>
      </c>
      <c r="D158" s="20">
        <v>2.5</v>
      </c>
      <c r="E158" s="20">
        <f>'1-Simulation'!F158*60/(2*PI()*'1-Specification &amp; Data'!B$14)</f>
        <v>361.92936588747887</v>
      </c>
      <c r="F158" s="20">
        <f>E158*(IF('1-Simulation'!J158=1,'1-Specification &amp; Data'!H$7,IF('1-Simulation'!J158=2,'1-Specification &amp; Data'!H$8,IF('1-Simulation'!J158=3,'1-Specification &amp; Data'!H$9))))</f>
        <v>3003.543698728558</v>
      </c>
      <c r="G158" s="20">
        <f>2*PI()*E158*'1-Simulation'!U158/(1000*60)</f>
        <v>-0.45079015826626984</v>
      </c>
      <c r="H158" s="20">
        <f t="shared" si="27"/>
        <v>0</v>
      </c>
      <c r="I158" s="20">
        <f t="shared" si="28"/>
        <v>0</v>
      </c>
      <c r="J158" s="20">
        <f>'1-Simulation'!U158/(IF('1-Simulation'!J158=1,'1-Specification &amp; Data'!H$7,IF('1-Simulation'!J158=2,'1-Specification &amp; Data'!H$8,IF('1-Simulation'!J158=3,'1-Specification &amp; Data'!H$9)))*0.8)</f>
        <v>-1.7915208462496861</v>
      </c>
      <c r="K158" s="20">
        <f t="shared" si="26"/>
        <v>0</v>
      </c>
      <c r="L158" s="20">
        <f t="shared" si="29"/>
        <v>0</v>
      </c>
      <c r="M158" s="20">
        <f t="shared" si="30"/>
        <v>0.17123174003712602</v>
      </c>
      <c r="N158" s="20">
        <f t="shared" si="31"/>
        <v>2.5</v>
      </c>
      <c r="O158" s="20">
        <f t="shared" si="32"/>
        <v>2.6712317400371259</v>
      </c>
      <c r="P158" s="20">
        <f t="shared" si="33"/>
        <v>47.02872781755503</v>
      </c>
      <c r="Q158" s="20">
        <f t="shared" si="34"/>
        <v>0</v>
      </c>
      <c r="R158" s="20">
        <f t="shared" si="35"/>
        <v>0</v>
      </c>
      <c r="S158" s="20">
        <f t="shared" si="36"/>
        <v>0.56418813351743036</v>
      </c>
      <c r="T158" s="20">
        <f t="shared" si="37"/>
        <v>47.015677793119195</v>
      </c>
    </row>
    <row r="159" spans="1:20" x14ac:dyDescent="0.25">
      <c r="A159" s="19">
        <f t="shared" si="38"/>
        <v>157</v>
      </c>
      <c r="B159" s="19">
        <v>5500</v>
      </c>
      <c r="C159" s="19">
        <v>14</v>
      </c>
      <c r="D159" s="20">
        <v>2.5</v>
      </c>
      <c r="E159" s="20">
        <f>'1-Simulation'!F159*60/(2*PI()*'1-Specification &amp; Data'!B$14)</f>
        <v>390.88371515847729</v>
      </c>
      <c r="F159" s="20">
        <f>E159*(IF('1-Simulation'!J159=1,'1-Specification &amp; Data'!H$7,IF('1-Simulation'!J159=2,'1-Specification &amp; Data'!H$8,IF('1-Simulation'!J159=3,'1-Specification &amp; Data'!H$9))))</f>
        <v>3243.8271946268437</v>
      </c>
      <c r="G159" s="20">
        <f>2*PI()*E159*'1-Simulation'!U159/(1000*60)</f>
        <v>-0.38071049989754679</v>
      </c>
      <c r="H159" s="20">
        <f t="shared" si="27"/>
        <v>0</v>
      </c>
      <c r="I159" s="20">
        <f t="shared" si="28"/>
        <v>0</v>
      </c>
      <c r="J159" s="20">
        <f>'1-Simulation'!U159/(IF('1-Simulation'!J159=1,'1-Specification &amp; Data'!H$7,IF('1-Simulation'!J159=2,'1-Specification &amp; Data'!H$8,IF('1-Simulation'!J159=3,'1-Specification &amp; Data'!H$9)))*0.8)</f>
        <v>-1.4009367864766451</v>
      </c>
      <c r="K159" s="20">
        <f t="shared" si="26"/>
        <v>0</v>
      </c>
      <c r="L159" s="20">
        <f t="shared" si="29"/>
        <v>0</v>
      </c>
      <c r="M159" s="20">
        <f t="shared" si="30"/>
        <v>0.14461212196508336</v>
      </c>
      <c r="N159" s="20">
        <f t="shared" si="31"/>
        <v>2.5</v>
      </c>
      <c r="O159" s="20">
        <f t="shared" si="32"/>
        <v>2.6446121219650833</v>
      </c>
      <c r="P159" s="20">
        <f t="shared" si="33"/>
        <v>46.560072569807801</v>
      </c>
      <c r="Q159" s="20">
        <f t="shared" si="34"/>
        <v>0</v>
      </c>
      <c r="R159" s="20">
        <f t="shared" si="35"/>
        <v>0</v>
      </c>
      <c r="S159" s="20">
        <f t="shared" si="36"/>
        <v>0.56492274799575404</v>
      </c>
      <c r="T159" s="20">
        <f t="shared" si="37"/>
        <v>47.076895666312836</v>
      </c>
    </row>
    <row r="160" spans="1:20" x14ac:dyDescent="0.25">
      <c r="A160" s="19">
        <f t="shared" si="38"/>
        <v>158</v>
      </c>
      <c r="B160" s="19">
        <v>5500</v>
      </c>
      <c r="C160" s="19">
        <v>14</v>
      </c>
      <c r="D160" s="20">
        <v>2.5</v>
      </c>
      <c r="E160" s="20">
        <f>'1-Simulation'!F160*60/(2*PI()*'1-Specification &amp; Data'!B$14)</f>
        <v>419.83806442947554</v>
      </c>
      <c r="F160" s="20">
        <f>E160*(IF('1-Simulation'!J160=1,'1-Specification &amp; Data'!H$7,IF('1-Simulation'!J160=2,'1-Specification &amp; Data'!H$8,IF('1-Simulation'!J160=3,'1-Specification &amp; Data'!H$9))))</f>
        <v>3484.1106905251277</v>
      </c>
      <c r="G160" s="20">
        <f>2*PI()*E160*'1-Simulation'!U160/(1000*60)</f>
        <v>-0.28613633282964923</v>
      </c>
      <c r="H160" s="20">
        <f t="shared" si="27"/>
        <v>0</v>
      </c>
      <c r="I160" s="20">
        <f t="shared" si="28"/>
        <v>0</v>
      </c>
      <c r="J160" s="20">
        <f>'1-Simulation'!U160/(IF('1-Simulation'!J160=1,'1-Specification &amp; Data'!H$7,IF('1-Simulation'!J160=2,'1-Specification &amp; Data'!H$8,IF('1-Simulation'!J160=3,'1-Specification &amp; Data'!H$9)))*0.8)</f>
        <v>-0.98030779902896725</v>
      </c>
      <c r="K160" s="20">
        <f t="shared" si="26"/>
        <v>0</v>
      </c>
      <c r="L160" s="20">
        <f t="shared" si="29"/>
        <v>0</v>
      </c>
      <c r="M160" s="20">
        <f t="shared" si="30"/>
        <v>0.10868831375267658</v>
      </c>
      <c r="N160" s="20">
        <f t="shared" si="31"/>
        <v>2.5</v>
      </c>
      <c r="O160" s="20">
        <f t="shared" si="32"/>
        <v>2.6086883137526766</v>
      </c>
      <c r="P160" s="20">
        <f t="shared" si="33"/>
        <v>45.927611157617548</v>
      </c>
      <c r="Q160" s="20">
        <f t="shared" si="34"/>
        <v>0</v>
      </c>
      <c r="R160" s="20">
        <f t="shared" si="35"/>
        <v>0</v>
      </c>
      <c r="S160" s="20">
        <f t="shared" si="36"/>
        <v>0.56564738363846312</v>
      </c>
      <c r="T160" s="20">
        <f t="shared" si="37"/>
        <v>47.137281969871928</v>
      </c>
    </row>
    <row r="161" spans="1:20" x14ac:dyDescent="0.25">
      <c r="A161" s="19">
        <f t="shared" si="38"/>
        <v>159</v>
      </c>
      <c r="B161" s="19">
        <v>5500</v>
      </c>
      <c r="C161" s="19">
        <v>14</v>
      </c>
      <c r="D161" s="20">
        <v>2.5</v>
      </c>
      <c r="E161" s="20">
        <f>'1-Simulation'!F161*60/(2*PI()*'1-Specification &amp; Data'!B$14)</f>
        <v>427.07665174722513</v>
      </c>
      <c r="F161" s="20">
        <f>E161*(IF('1-Simulation'!J161=1,'1-Specification &amp; Data'!H$7,IF('1-Simulation'!J161=2,'1-Specification &amp; Data'!H$8,IF('1-Simulation'!J161=3,'1-Specification &amp; Data'!H$9))))</f>
        <v>3544.1815644996991</v>
      </c>
      <c r="G161" s="20">
        <f>2*PI()*E161*'1-Simulation'!U161/(1000*60)</f>
        <v>9.7439082328997237</v>
      </c>
      <c r="H161" s="20">
        <f t="shared" si="27"/>
        <v>11.463421450470264</v>
      </c>
      <c r="I161" s="20">
        <f>(H161*1000)/48</f>
        <v>238.82128021813051</v>
      </c>
      <c r="J161" s="20">
        <f>'1-Simulation'!U161/(IF('1-Simulation'!J161=1,'1-Specification &amp; Data'!H$7,IF('1-Simulation'!J161=2,'1-Specification &amp; Data'!H$8,IF('1-Simulation'!J161=3,'1-Specification &amp; Data'!H$9)))*0.8)</f>
        <v>32.816980424337771</v>
      </c>
      <c r="K161" s="20">
        <f t="shared" si="26"/>
        <v>13.438946600785773</v>
      </c>
      <c r="L161" s="20">
        <f t="shared" si="29"/>
        <v>14.146259579774497</v>
      </c>
      <c r="M161" s="20">
        <f t="shared" si="30"/>
        <v>0</v>
      </c>
      <c r="N161" s="20">
        <f t="shared" si="31"/>
        <v>0</v>
      </c>
      <c r="O161" s="20">
        <f t="shared" si="32"/>
        <v>0</v>
      </c>
      <c r="P161" s="20">
        <f t="shared" si="33"/>
        <v>0</v>
      </c>
      <c r="Q161" s="20">
        <f t="shared" si="34"/>
        <v>10.938946600785773</v>
      </c>
      <c r="R161" s="20">
        <f t="shared" si="35"/>
        <v>227.89472084970362</v>
      </c>
      <c r="S161" s="20">
        <f t="shared" si="36"/>
        <v>0.56260878736046704</v>
      </c>
      <c r="T161" s="20">
        <f t="shared" si="37"/>
        <v>46.884065613372258</v>
      </c>
    </row>
    <row r="162" spans="1:20" x14ac:dyDescent="0.25">
      <c r="A162" s="19">
        <f t="shared" si="38"/>
        <v>160</v>
      </c>
      <c r="B162" s="19">
        <v>5500</v>
      </c>
      <c r="C162" s="19">
        <v>14</v>
      </c>
      <c r="D162" s="20">
        <v>2.5</v>
      </c>
      <c r="E162" s="20">
        <f>'1-Simulation'!F162*60/(2*PI()*'1-Specification &amp; Data'!B$14)</f>
        <v>434.31523906497466</v>
      </c>
      <c r="F162" s="20">
        <f>E162*(IF('1-Simulation'!J162=1,'1-Specification &amp; Data'!H$7,IF('1-Simulation'!J162=2,'1-Specification &amp; Data'!H$8,IF('1-Simulation'!J162=3,'1-Specification &amp; Data'!H$9))))</f>
        <v>3604.2524384742696</v>
      </c>
      <c r="G162" s="20">
        <f>2*PI()*E162*'1-Simulation'!U162/(1000*60)</f>
        <v>9.9427958696110821</v>
      </c>
      <c r="H162" s="20">
        <f t="shared" si="27"/>
        <v>11.697406905424803</v>
      </c>
      <c r="I162" s="20">
        <f t="shared" si="28"/>
        <v>243.69597719635007</v>
      </c>
      <c r="J162" s="20">
        <f>'1-Simulation'!U162/(IF('1-Simulation'!J162=1,'1-Specification &amp; Data'!H$7,IF('1-Simulation'!J162=2,'1-Specification &amp; Data'!H$8,IF('1-Simulation'!J162=3,'1-Specification &amp; Data'!H$9)))*0.8)</f>
        <v>32.928709999128586</v>
      </c>
      <c r="K162" s="20">
        <f t="shared" si="26"/>
        <v>13.713255457707858</v>
      </c>
      <c r="L162" s="20">
        <f t="shared" si="29"/>
        <v>14.435005744955641</v>
      </c>
      <c r="M162" s="20">
        <f t="shared" si="30"/>
        <v>0</v>
      </c>
      <c r="N162" s="20">
        <f t="shared" si="31"/>
        <v>0</v>
      </c>
      <c r="O162" s="20">
        <f t="shared" si="32"/>
        <v>0</v>
      </c>
      <c r="P162" s="20">
        <f t="shared" si="33"/>
        <v>0</v>
      </c>
      <c r="Q162" s="20">
        <f t="shared" si="34"/>
        <v>11.213255457707858</v>
      </c>
      <c r="R162" s="20">
        <f t="shared" si="35"/>
        <v>233.60948870224703</v>
      </c>
      <c r="S162" s="20">
        <f t="shared" si="36"/>
        <v>0.55949399417777046</v>
      </c>
      <c r="T162" s="20">
        <f t="shared" si="37"/>
        <v>46.624499514814204</v>
      </c>
    </row>
    <row r="163" spans="1:20" x14ac:dyDescent="0.25">
      <c r="A163" s="19">
        <f t="shared" si="38"/>
        <v>161</v>
      </c>
      <c r="B163" s="19">
        <v>5500</v>
      </c>
      <c r="C163" s="19">
        <v>14</v>
      </c>
      <c r="D163" s="20">
        <v>2.5</v>
      </c>
      <c r="E163" s="20">
        <f>'1-Simulation'!F163*60/(2*PI()*'1-Specification &amp; Data'!B$14)</f>
        <v>427.07665174722513</v>
      </c>
      <c r="F163" s="20">
        <f>E163*(IF('1-Simulation'!J163=1,'1-Specification &amp; Data'!H$7,IF('1-Simulation'!J163=2,'1-Specification &amp; Data'!H$8,IF('1-Simulation'!J163=3,'1-Specification &amp; Data'!H$9))))</f>
        <v>3544.1815644996991</v>
      </c>
      <c r="G163" s="20">
        <f>2*PI()*E163*'1-Simulation'!U163/(1000*60)</f>
        <v>6.0289902080023952</v>
      </c>
      <c r="H163" s="20">
        <f t="shared" si="27"/>
        <v>7.0929296564734061</v>
      </c>
      <c r="I163" s="20">
        <f t="shared" si="28"/>
        <v>147.76936784319597</v>
      </c>
      <c r="J163" s="20">
        <f>'1-Simulation'!U163/(IF('1-Simulation'!J163=1,'1-Specification &amp; Data'!H$7,IF('1-Simulation'!J163=2,'1-Specification &amp; Data'!H$8,IF('1-Simulation'!J163=3,'1-Specification &amp; Data'!H$9)))*0.8)</f>
        <v>20.305328098893522</v>
      </c>
      <c r="K163" s="20">
        <f t="shared" si="26"/>
        <v>8.3152750955139574</v>
      </c>
      <c r="L163" s="20">
        <f t="shared" si="29"/>
        <v>8.7529211531725863</v>
      </c>
      <c r="M163" s="20">
        <f t="shared" si="30"/>
        <v>0</v>
      </c>
      <c r="N163" s="20">
        <f t="shared" si="31"/>
        <v>0</v>
      </c>
      <c r="O163" s="20">
        <f t="shared" si="32"/>
        <v>0</v>
      </c>
      <c r="P163" s="20">
        <f t="shared" si="33"/>
        <v>0</v>
      </c>
      <c r="Q163" s="20">
        <f t="shared" si="34"/>
        <v>5.8152750955139574</v>
      </c>
      <c r="R163" s="20">
        <f t="shared" si="35"/>
        <v>121.1515644898741</v>
      </c>
      <c r="S163" s="20">
        <f t="shared" si="36"/>
        <v>0.5578786399845721</v>
      </c>
      <c r="T163" s="20">
        <f t="shared" si="37"/>
        <v>46.489886665381015</v>
      </c>
    </row>
    <row r="164" spans="1:20" x14ac:dyDescent="0.25">
      <c r="A164" s="19">
        <f t="shared" si="38"/>
        <v>162</v>
      </c>
      <c r="B164" s="19">
        <v>5500</v>
      </c>
      <c r="C164" s="19">
        <v>14</v>
      </c>
      <c r="D164" s="20">
        <v>2.5</v>
      </c>
      <c r="E164" s="20">
        <f>'1-Simulation'!F164*60/(2*PI()*'1-Specification &amp; Data'!B$14)</f>
        <v>405.36088979397641</v>
      </c>
      <c r="F164" s="20">
        <f>E164*(IF('1-Simulation'!J164=1,'1-Specification &amp; Data'!H$7,IF('1-Simulation'!J164=2,'1-Specification &amp; Data'!H$8,IF('1-Simulation'!J164=3,'1-Specification &amp; Data'!H$9))))</f>
        <v>3363.9689425759857</v>
      </c>
      <c r="G164" s="20">
        <f>2*PI()*E164*'1-Simulation'!U164/(1000*60)</f>
        <v>2.1051200907225813</v>
      </c>
      <c r="H164" s="20">
        <f t="shared" si="27"/>
        <v>2.4766118714383309</v>
      </c>
      <c r="I164" s="20">
        <f t="shared" si="28"/>
        <v>51.596080654965228</v>
      </c>
      <c r="J164" s="20">
        <f>'1-Simulation'!U164/(IF('1-Simulation'!J164=1,'1-Specification &amp; Data'!H$7,IF('1-Simulation'!J164=2,'1-Specification &amp; Data'!H$8,IF('1-Simulation'!J164=3,'1-Specification &amp; Data'!H$9)))*0.8)</f>
        <v>7.4697538969547868</v>
      </c>
      <c r="K164" s="20">
        <f t="shared" si="26"/>
        <v>2.9034136828116424</v>
      </c>
      <c r="L164" s="20">
        <f t="shared" si="29"/>
        <v>3.0562249292754133</v>
      </c>
      <c r="M164" s="20">
        <f t="shared" si="30"/>
        <v>0</v>
      </c>
      <c r="N164" s="20">
        <f t="shared" si="31"/>
        <v>0</v>
      </c>
      <c r="O164" s="20">
        <f t="shared" si="32"/>
        <v>0</v>
      </c>
      <c r="P164" s="20">
        <f t="shared" si="33"/>
        <v>0</v>
      </c>
      <c r="Q164" s="20">
        <f t="shared" si="34"/>
        <v>0.40341368281164236</v>
      </c>
      <c r="R164" s="20">
        <f t="shared" si="35"/>
        <v>8.4044517252425504</v>
      </c>
      <c r="S164" s="20">
        <f t="shared" si="36"/>
        <v>0.55776658062823559</v>
      </c>
      <c r="T164" s="20">
        <f t="shared" si="37"/>
        <v>46.480548385686298</v>
      </c>
    </row>
    <row r="165" spans="1:20" x14ac:dyDescent="0.25">
      <c r="A165" s="19">
        <f t="shared" si="38"/>
        <v>163</v>
      </c>
      <c r="B165" s="19">
        <v>5500</v>
      </c>
      <c r="C165" s="19">
        <v>14</v>
      </c>
      <c r="D165" s="20">
        <v>2.5</v>
      </c>
      <c r="E165" s="20">
        <f>'1-Simulation'!F165*60/(2*PI()*'1-Specification &amp; Data'!B$14)</f>
        <v>376.40654052297805</v>
      </c>
      <c r="F165" s="20">
        <f>E165*(IF('1-Simulation'!J165=1,'1-Specification &amp; Data'!H$7,IF('1-Simulation'!J165=2,'1-Specification &amp; Data'!H$8,IF('1-Simulation'!J165=3,'1-Specification &amp; Data'!H$9))))</f>
        <v>3123.6854466777004</v>
      </c>
      <c r="G165" s="20">
        <f>2*PI()*E165*'1-Simulation'!U165/(1000*60)</f>
        <v>0.2115289794803791</v>
      </c>
      <c r="H165" s="20">
        <f t="shared" si="27"/>
        <v>0.24885762291809307</v>
      </c>
      <c r="I165" s="20">
        <f t="shared" si="28"/>
        <v>5.1845338107936056</v>
      </c>
      <c r="J165" s="20">
        <f>'1-Simulation'!U165/(IF('1-Simulation'!J165=1,'1-Specification &amp; Data'!H$7,IF('1-Simulation'!J165=2,'1-Specification &amp; Data'!H$8,IF('1-Simulation'!J165=3,'1-Specification &amp; Data'!H$9)))*0.8)</f>
        <v>0.80832121062220497</v>
      </c>
      <c r="K165" s="20">
        <f t="shared" si="26"/>
        <v>0.29174398935298135</v>
      </c>
      <c r="L165" s="20">
        <f t="shared" si="29"/>
        <v>0.30709893616103301</v>
      </c>
      <c r="M165" s="20">
        <f t="shared" si="30"/>
        <v>0</v>
      </c>
      <c r="N165" s="20">
        <f t="shared" si="31"/>
        <v>2.192901063838967</v>
      </c>
      <c r="O165" s="20">
        <f t="shared" si="32"/>
        <v>2.2082560106470188</v>
      </c>
      <c r="P165" s="20">
        <f t="shared" si="33"/>
        <v>38.877746666320753</v>
      </c>
      <c r="Q165" s="20">
        <f t="shared" si="34"/>
        <v>0</v>
      </c>
      <c r="R165" s="20">
        <f t="shared" si="35"/>
        <v>0</v>
      </c>
      <c r="S165" s="20">
        <f t="shared" si="36"/>
        <v>0.55837998507563757</v>
      </c>
      <c r="T165" s="20">
        <f t="shared" si="37"/>
        <v>46.531665422969802</v>
      </c>
    </row>
    <row r="166" spans="1:20" x14ac:dyDescent="0.25">
      <c r="A166" s="19">
        <f t="shared" si="38"/>
        <v>164</v>
      </c>
      <c r="B166" s="19">
        <v>5500</v>
      </c>
      <c r="C166" s="19">
        <v>14</v>
      </c>
      <c r="D166" s="20">
        <v>2.5</v>
      </c>
      <c r="E166" s="20">
        <f>'1-Simulation'!F166*60/(2*PI()*'1-Specification &amp; Data'!B$14)</f>
        <v>347.45219125197974</v>
      </c>
      <c r="F166" s="20">
        <f>E166*(IF('1-Simulation'!J166=1,'1-Specification &amp; Data'!H$7,IF('1-Simulation'!J166=2,'1-Specification &amp; Data'!H$8,IF('1-Simulation'!J166=3,'1-Specification &amp; Data'!H$9))))</f>
        <v>2883.401950779416</v>
      </c>
      <c r="G166" s="20">
        <f>2*PI()*E166*'1-Simulation'!U166/(1000*60)</f>
        <v>0.10453711693063311</v>
      </c>
      <c r="H166" s="20">
        <f t="shared" si="27"/>
        <v>0.12298484344780367</v>
      </c>
      <c r="I166" s="20">
        <f t="shared" si="28"/>
        <v>2.5621842384959099</v>
      </c>
      <c r="J166" s="20">
        <f>'1-Simulation'!U166/(IF('1-Simulation'!J166=1,'1-Specification &amp; Data'!H$7,IF('1-Simulation'!J166=2,'1-Specification &amp; Data'!H$8,IF('1-Simulation'!J166=3,'1-Specification &amp; Data'!H$9)))*0.8)</f>
        <v>0.4327596146867867</v>
      </c>
      <c r="K166" s="20">
        <f t="shared" si="26"/>
        <v>0.14417918340891403</v>
      </c>
      <c r="L166" s="20">
        <f t="shared" si="29"/>
        <v>0.15176756148306741</v>
      </c>
      <c r="M166" s="20">
        <f t="shared" si="30"/>
        <v>0</v>
      </c>
      <c r="N166" s="20">
        <f t="shared" si="31"/>
        <v>2.3482324385169324</v>
      </c>
      <c r="O166" s="20">
        <f t="shared" si="32"/>
        <v>2.3558208165910859</v>
      </c>
      <c r="P166" s="20">
        <f t="shared" si="33"/>
        <v>41.475718601955741</v>
      </c>
      <c r="Q166" s="20">
        <f t="shared" si="34"/>
        <v>0</v>
      </c>
      <c r="R166" s="20">
        <f t="shared" si="35"/>
        <v>0</v>
      </c>
      <c r="S166" s="20">
        <f t="shared" si="36"/>
        <v>0.55903437974691284</v>
      </c>
      <c r="T166" s="20">
        <f t="shared" si="37"/>
        <v>46.586198312242743</v>
      </c>
    </row>
    <row r="167" spans="1:20" x14ac:dyDescent="0.25">
      <c r="A167" s="19">
        <f t="shared" si="38"/>
        <v>165</v>
      </c>
      <c r="B167" s="19">
        <v>5500</v>
      </c>
      <c r="C167" s="19">
        <v>14</v>
      </c>
      <c r="D167" s="20">
        <v>2.5</v>
      </c>
      <c r="E167" s="20">
        <f>'1-Simulation'!F167*60/(2*PI()*'1-Specification &amp; Data'!B$14)</f>
        <v>318.49784198098149</v>
      </c>
      <c r="F167" s="20">
        <f>E167*(IF('1-Simulation'!J167=1,'1-Specification &amp; Data'!H$7,IF('1-Simulation'!J167=2,'1-Specification &amp; Data'!H$8,IF('1-Simulation'!J167=3,'1-Specification &amp; Data'!H$9))))</f>
        <v>2643.118454881132</v>
      </c>
      <c r="G167" s="20">
        <f>2*PI()*E167*'1-Simulation'!U167/(1000*60)</f>
        <v>1.9318151002398809E-2</v>
      </c>
      <c r="H167" s="20">
        <f t="shared" si="27"/>
        <v>2.2727236473410364E-2</v>
      </c>
      <c r="I167" s="20">
        <f t="shared" si="28"/>
        <v>0.47348409319604928</v>
      </c>
      <c r="J167" s="20">
        <f>'1-Simulation'!U167/(IF('1-Simulation'!J167=1,'1-Specification &amp; Data'!H$7,IF('1-Simulation'!J167=2,'1-Specification &amp; Data'!H$8,IF('1-Simulation'!J167=3,'1-Specification &amp; Data'!H$9)))*0.8)</f>
        <v>8.7242946426109802E-2</v>
      </c>
      <c r="K167" s="20">
        <f t="shared" si="26"/>
        <v>2.6643888011032079E-2</v>
      </c>
      <c r="L167" s="20">
        <f t="shared" si="29"/>
        <v>2.804619790634956E-2</v>
      </c>
      <c r="M167" s="20">
        <f t="shared" si="30"/>
        <v>0</v>
      </c>
      <c r="N167" s="20">
        <f t="shared" si="31"/>
        <v>2.4719538020936502</v>
      </c>
      <c r="O167" s="20">
        <f t="shared" si="32"/>
        <v>2.4733561119889678</v>
      </c>
      <c r="P167" s="20">
        <f t="shared" si="33"/>
        <v>43.545001971636758</v>
      </c>
      <c r="Q167" s="20">
        <f t="shared" si="34"/>
        <v>0</v>
      </c>
      <c r="R167" s="20">
        <f t="shared" si="35"/>
        <v>0</v>
      </c>
      <c r="S167" s="20">
        <f t="shared" si="36"/>
        <v>0.5597214231113542</v>
      </c>
      <c r="T167" s="20">
        <f t="shared" si="37"/>
        <v>46.643451925946188</v>
      </c>
    </row>
    <row r="168" spans="1:20" x14ac:dyDescent="0.25">
      <c r="A168" s="19">
        <f t="shared" si="38"/>
        <v>166</v>
      </c>
      <c r="B168" s="19">
        <v>5500</v>
      </c>
      <c r="C168" s="19">
        <v>14</v>
      </c>
      <c r="D168" s="20">
        <v>2.5</v>
      </c>
      <c r="E168" s="20">
        <f>'1-Simulation'!F168*60/(2*PI()*'1-Specification &amp; Data'!B$14)</f>
        <v>304.02066734548231</v>
      </c>
      <c r="F168" s="20">
        <f>E168*(IF('1-Simulation'!J168=1,'1-Specification &amp; Data'!H$7,IF('1-Simulation'!J168=2,'1-Specification &amp; Data'!H$8,IF('1-Simulation'!J168=3,'1-Specification &amp; Data'!H$9))))</f>
        <v>2522.9767069319892</v>
      </c>
      <c r="G168" s="20">
        <f>2*PI()*E168*'1-Simulation'!U168/(1000*60)</f>
        <v>2.6288244177837798</v>
      </c>
      <c r="H168" s="20">
        <f t="shared" si="27"/>
        <v>3.0927346091573882</v>
      </c>
      <c r="I168" s="20">
        <f t="shared" si="28"/>
        <v>64.431971024112258</v>
      </c>
      <c r="J168" s="20">
        <f>'1-Simulation'!U168/(IF('1-Simulation'!J168=1,'1-Specification &amp; Data'!H$7,IF('1-Simulation'!J168=2,'1-Specification &amp; Data'!H$8,IF('1-Simulation'!J168=3,'1-Specification &amp; Data'!H$9)))*0.8)</f>
        <v>12.437403785618086</v>
      </c>
      <c r="K168" s="20">
        <f t="shared" si="26"/>
        <v>3.62571466489729</v>
      </c>
      <c r="L168" s="20">
        <f t="shared" si="29"/>
        <v>3.8165417525234635</v>
      </c>
      <c r="M168" s="20">
        <f t="shared" si="30"/>
        <v>0</v>
      </c>
      <c r="N168" s="20">
        <f t="shared" si="31"/>
        <v>0</v>
      </c>
      <c r="O168" s="20">
        <f t="shared" si="32"/>
        <v>0</v>
      </c>
      <c r="P168" s="20">
        <f t="shared" si="33"/>
        <v>0</v>
      </c>
      <c r="Q168" s="20">
        <f t="shared" si="34"/>
        <v>1.12571466489729</v>
      </c>
      <c r="R168" s="20">
        <f t="shared" si="35"/>
        <v>23.452388852026875</v>
      </c>
      <c r="S168" s="20">
        <f t="shared" si="36"/>
        <v>0.55940872459332713</v>
      </c>
      <c r="T168" s="20">
        <f t="shared" si="37"/>
        <v>46.617393716110598</v>
      </c>
    </row>
    <row r="169" spans="1:20" x14ac:dyDescent="0.25">
      <c r="A169" s="19">
        <f t="shared" si="38"/>
        <v>167</v>
      </c>
      <c r="B169" s="19">
        <v>5500</v>
      </c>
      <c r="C169" s="19">
        <v>14</v>
      </c>
      <c r="D169" s="20">
        <v>2.5</v>
      </c>
      <c r="E169" s="20">
        <f>'1-Simulation'!F169*60/(2*PI()*'1-Specification &amp; Data'!B$14)</f>
        <v>289.54349270998313</v>
      </c>
      <c r="F169" s="20">
        <f>E169*(IF('1-Simulation'!J169=1,'1-Specification &amp; Data'!H$7,IF('1-Simulation'!J169=2,'1-Specification &amp; Data'!H$8,IF('1-Simulation'!J169=3,'1-Specification &amp; Data'!H$9))))</f>
        <v>3641.6298711695595</v>
      </c>
      <c r="G169" s="20">
        <f>2*PI()*E169*'1-Simulation'!U169/(1000*60)</f>
        <v>2.455685111722024</v>
      </c>
      <c r="H169" s="20">
        <f t="shared" si="27"/>
        <v>2.8890413079082635</v>
      </c>
      <c r="I169" s="20">
        <f t="shared" si="28"/>
        <v>60.18836058142216</v>
      </c>
      <c r="J169" s="20">
        <f>'1-Simulation'!U169/(IF('1-Simulation'!J169=1,'1-Specification &amp; Data'!H$7,IF('1-Simulation'!J169=2,'1-Specification &amp; Data'!H$8,IF('1-Simulation'!J169=3,'1-Specification &amp; Data'!H$9)))*0.8)</f>
        <v>8.0493028815599708</v>
      </c>
      <c r="K169" s="20">
        <f t="shared" si="26"/>
        <v>3.3869182976650216</v>
      </c>
      <c r="L169" s="20">
        <f t="shared" si="29"/>
        <v>3.565177155436865</v>
      </c>
      <c r="M169" s="20">
        <f t="shared" si="30"/>
        <v>0</v>
      </c>
      <c r="N169" s="20">
        <f t="shared" si="31"/>
        <v>0</v>
      </c>
      <c r="O169" s="20">
        <f t="shared" si="32"/>
        <v>0</v>
      </c>
      <c r="P169" s="20">
        <f t="shared" si="33"/>
        <v>0</v>
      </c>
      <c r="Q169" s="20">
        <f t="shared" si="34"/>
        <v>0.88691829766502162</v>
      </c>
      <c r="R169" s="20">
        <f t="shared" si="35"/>
        <v>18.47746453468795</v>
      </c>
      <c r="S169" s="20">
        <f t="shared" si="36"/>
        <v>0.55916235839953132</v>
      </c>
      <c r="T169" s="20">
        <f t="shared" si="37"/>
        <v>46.596863199960943</v>
      </c>
    </row>
    <row r="170" spans="1:20" x14ac:dyDescent="0.25">
      <c r="A170" s="19">
        <f t="shared" si="38"/>
        <v>168</v>
      </c>
      <c r="B170" s="19">
        <v>5500</v>
      </c>
      <c r="C170" s="19">
        <v>14</v>
      </c>
      <c r="D170" s="20">
        <v>2.5</v>
      </c>
      <c r="E170" s="20">
        <f>'1-Simulation'!F170*60/(2*PI()*'1-Specification &amp; Data'!B$14)</f>
        <v>286.64805778288331</v>
      </c>
      <c r="F170" s="20">
        <f>E170*(IF('1-Simulation'!J170=1,'1-Specification &amp; Data'!H$7,IF('1-Simulation'!J170=2,'1-Specification &amp; Data'!H$8,IF('1-Simulation'!J170=3,'1-Specification &amp; Data'!H$9))))</f>
        <v>3605.2135724578643</v>
      </c>
      <c r="G170" s="20">
        <f>2*PI()*E170*'1-Simulation'!U170/(1000*60)</f>
        <v>4.4333258912748921</v>
      </c>
      <c r="H170" s="20">
        <f t="shared" si="27"/>
        <v>5.215677519146932</v>
      </c>
      <c r="I170" s="20">
        <f t="shared" si="28"/>
        <v>108.6599483155611</v>
      </c>
      <c r="J170" s="20">
        <f>'1-Simulation'!U170/(IF('1-Simulation'!J170=1,'1-Specification &amp; Data'!H$7,IF('1-Simulation'!J170=2,'1-Specification &amp; Data'!H$8,IF('1-Simulation'!J170=3,'1-Specification &amp; Data'!H$9)))*0.8)</f>
        <v>14.67844516876943</v>
      </c>
      <c r="K170" s="20">
        <f t="shared" si="26"/>
        <v>6.114510573443062</v>
      </c>
      <c r="L170" s="20">
        <f t="shared" si="29"/>
        <v>6.4363269194137498</v>
      </c>
      <c r="M170" s="20">
        <f t="shared" si="30"/>
        <v>0</v>
      </c>
      <c r="N170" s="20">
        <f t="shared" si="31"/>
        <v>0</v>
      </c>
      <c r="O170" s="20">
        <f t="shared" si="32"/>
        <v>0</v>
      </c>
      <c r="P170" s="20">
        <f t="shared" si="33"/>
        <v>0</v>
      </c>
      <c r="Q170" s="20">
        <f t="shared" si="34"/>
        <v>3.614510573443062</v>
      </c>
      <c r="R170" s="20">
        <f t="shared" si="35"/>
        <v>75.302303613397129</v>
      </c>
      <c r="S170" s="20">
        <f t="shared" si="36"/>
        <v>0.55815832768468598</v>
      </c>
      <c r="T170" s="20">
        <f t="shared" si="37"/>
        <v>46.51319397372383</v>
      </c>
    </row>
    <row r="171" spans="1:20" x14ac:dyDescent="0.25">
      <c r="A171" s="19">
        <f t="shared" si="38"/>
        <v>169</v>
      </c>
      <c r="B171" s="19">
        <v>5500</v>
      </c>
      <c r="C171" s="19">
        <v>14</v>
      </c>
      <c r="D171" s="20">
        <v>2.5</v>
      </c>
      <c r="E171" s="20">
        <f>'1-Simulation'!F171*60/(2*PI()*'1-Specification &amp; Data'!B$14)</f>
        <v>253.35055612123523</v>
      </c>
      <c r="F171" s="20">
        <f>E171*(IF('1-Simulation'!J171=1,'1-Specification &amp; Data'!H$7,IF('1-Simulation'!J171=2,'1-Specification &amp; Data'!H$8,IF('1-Simulation'!J171=3,'1-Specification &amp; Data'!H$9))))</f>
        <v>3186.4261372733645</v>
      </c>
      <c r="G171" s="20">
        <f>2*PI()*E171*'1-Simulation'!U171/(1000*60)</f>
        <v>-0.79747903469919501</v>
      </c>
      <c r="H171" s="20">
        <f t="shared" si="27"/>
        <v>0</v>
      </c>
      <c r="I171" s="20">
        <f t="shared" si="28"/>
        <v>0</v>
      </c>
      <c r="J171" s="20">
        <f>'1-Simulation'!U171/(IF('1-Simulation'!J171=1,'1-Specification &amp; Data'!H$7,IF('1-Simulation'!J171=2,'1-Specification &amp; Data'!H$8,IF('1-Simulation'!J171=3,'1-Specification &amp; Data'!H$9)))*0.8)</f>
        <v>-2.9874236428983614</v>
      </c>
      <c r="K171" s="20">
        <f t="shared" si="26"/>
        <v>0</v>
      </c>
      <c r="L171" s="20">
        <f t="shared" si="29"/>
        <v>0</v>
      </c>
      <c r="M171" s="20">
        <f t="shared" si="30"/>
        <v>0.30292081637241974</v>
      </c>
      <c r="N171" s="20">
        <f t="shared" si="31"/>
        <v>2.5</v>
      </c>
      <c r="O171" s="20">
        <f t="shared" si="32"/>
        <v>2.8029208163724197</v>
      </c>
      <c r="P171" s="20">
        <f t="shared" si="33"/>
        <v>49.347197471345417</v>
      </c>
      <c r="Q171" s="20">
        <f t="shared" si="34"/>
        <v>0</v>
      </c>
      <c r="R171" s="20">
        <f t="shared" si="35"/>
        <v>0</v>
      </c>
      <c r="S171" s="20">
        <f t="shared" si="36"/>
        <v>0.55893691680034496</v>
      </c>
      <c r="T171" s="20">
        <f t="shared" si="37"/>
        <v>46.578076400028749</v>
      </c>
    </row>
    <row r="172" spans="1:20" x14ac:dyDescent="0.25">
      <c r="A172" s="19">
        <f t="shared" si="38"/>
        <v>170</v>
      </c>
      <c r="B172" s="19">
        <v>5500</v>
      </c>
      <c r="C172" s="19">
        <v>14</v>
      </c>
      <c r="D172" s="20">
        <v>2.5</v>
      </c>
      <c r="E172" s="20">
        <f>'1-Simulation'!F172*60/(2*PI()*'1-Specification &amp; Data'!B$14)</f>
        <v>253.35055612123523</v>
      </c>
      <c r="F172" s="20">
        <f>E172*(IF('1-Simulation'!J172=1,'1-Specification &amp; Data'!H$7,IF('1-Simulation'!J172=2,'1-Specification &amp; Data'!H$8,IF('1-Simulation'!J172=3,'1-Specification &amp; Data'!H$9))))</f>
        <v>3186.4261372733645</v>
      </c>
      <c r="G172" s="20">
        <f>2*PI()*E172*'1-Simulation'!U172/(1000*60)</f>
        <v>4.3053144242782846</v>
      </c>
      <c r="H172" s="20">
        <f t="shared" si="27"/>
        <v>5.0650757932685702</v>
      </c>
      <c r="I172" s="20">
        <f t="shared" si="28"/>
        <v>105.52241235976187</v>
      </c>
      <c r="J172" s="20">
        <f>'1-Simulation'!U172/(IF('1-Simulation'!J172=1,'1-Specification &amp; Data'!H$7,IF('1-Simulation'!J172=2,'1-Specification &amp; Data'!H$8,IF('1-Simulation'!J172=3,'1-Specification &amp; Data'!H$9)))*0.8)</f>
        <v>16.12807050915351</v>
      </c>
      <c r="K172" s="20">
        <f t="shared" si="26"/>
        <v>5.9379552089901173</v>
      </c>
      <c r="L172" s="20">
        <f t="shared" si="29"/>
        <v>6.2504791673580185</v>
      </c>
      <c r="M172" s="20">
        <f t="shared" si="30"/>
        <v>0</v>
      </c>
      <c r="N172" s="20">
        <f t="shared" si="31"/>
        <v>0</v>
      </c>
      <c r="O172" s="20">
        <f t="shared" si="32"/>
        <v>0</v>
      </c>
      <c r="P172" s="20">
        <f t="shared" si="33"/>
        <v>0</v>
      </c>
      <c r="Q172" s="20">
        <f t="shared" si="34"/>
        <v>3.4379552089901173</v>
      </c>
      <c r="R172" s="20">
        <f t="shared" si="35"/>
        <v>71.62406685396077</v>
      </c>
      <c r="S172" s="20">
        <f t="shared" si="36"/>
        <v>0.55798192924229217</v>
      </c>
      <c r="T172" s="20">
        <f t="shared" si="37"/>
        <v>46.498494103524351</v>
      </c>
    </row>
    <row r="173" spans="1:20" x14ac:dyDescent="0.25">
      <c r="A173" s="19">
        <f t="shared" si="38"/>
        <v>171</v>
      </c>
      <c r="B173" s="19">
        <v>5500</v>
      </c>
      <c r="C173" s="19">
        <v>14</v>
      </c>
      <c r="D173" s="20">
        <v>2.5</v>
      </c>
      <c r="E173" s="20">
        <f>'1-Simulation'!F173*60/(2*PI()*'1-Specification &amp; Data'!B$14)</f>
        <v>253.35055612123523</v>
      </c>
      <c r="F173" s="20">
        <f>E173*(IF('1-Simulation'!J173=1,'1-Specification &amp; Data'!H$7,IF('1-Simulation'!J173=2,'1-Specification &amp; Data'!H$8,IF('1-Simulation'!J173=3,'1-Specification &amp; Data'!H$9))))</f>
        <v>3186.4261372733645</v>
      </c>
      <c r="G173" s="20">
        <f>2*PI()*E173*'1-Simulation'!U173/(1000*60)</f>
        <v>4.3053144242782846</v>
      </c>
      <c r="H173" s="20">
        <f t="shared" si="27"/>
        <v>5.0650757932685702</v>
      </c>
      <c r="I173" s="20">
        <f t="shared" si="28"/>
        <v>105.52241235976187</v>
      </c>
      <c r="J173" s="20">
        <f>'1-Simulation'!U173/(IF('1-Simulation'!J173=1,'1-Specification &amp; Data'!H$7,IF('1-Simulation'!J173=2,'1-Specification &amp; Data'!H$8,IF('1-Simulation'!J173=3,'1-Specification &amp; Data'!H$9)))*0.8)</f>
        <v>16.12807050915351</v>
      </c>
      <c r="K173" s="20">
        <f t="shared" si="26"/>
        <v>5.9379552089901173</v>
      </c>
      <c r="L173" s="20">
        <f t="shared" si="29"/>
        <v>6.2504791673580185</v>
      </c>
      <c r="M173" s="20">
        <f t="shared" si="30"/>
        <v>0</v>
      </c>
      <c r="N173" s="20">
        <f t="shared" si="31"/>
        <v>0</v>
      </c>
      <c r="O173" s="20">
        <f t="shared" si="32"/>
        <v>0</v>
      </c>
      <c r="P173" s="20">
        <f t="shared" si="33"/>
        <v>0</v>
      </c>
      <c r="Q173" s="20">
        <f t="shared" si="34"/>
        <v>3.4379552089901173</v>
      </c>
      <c r="R173" s="20">
        <f t="shared" si="35"/>
        <v>71.62406685396077</v>
      </c>
      <c r="S173" s="20">
        <f t="shared" si="36"/>
        <v>0.55702694168423939</v>
      </c>
      <c r="T173" s="20">
        <f t="shared" si="37"/>
        <v>46.418911807019953</v>
      </c>
    </row>
    <row r="174" spans="1:20" x14ac:dyDescent="0.25">
      <c r="A174" s="19">
        <f t="shared" si="38"/>
        <v>172</v>
      </c>
      <c r="B174" s="19">
        <v>5500</v>
      </c>
      <c r="C174" s="19">
        <v>14</v>
      </c>
      <c r="D174" s="20">
        <v>2.5</v>
      </c>
      <c r="E174" s="20">
        <f>'1-Simulation'!F174*60/(2*PI()*'1-Specification &amp; Data'!B$14)</f>
        <v>253.35055612123523</v>
      </c>
      <c r="F174" s="20">
        <f>E174*(IF('1-Simulation'!J174=1,'1-Specification &amp; Data'!H$7,IF('1-Simulation'!J174=2,'1-Specification &amp; Data'!H$8,IF('1-Simulation'!J174=3,'1-Specification &amp; Data'!H$9))))</f>
        <v>3186.4261372733645</v>
      </c>
      <c r="G174" s="20">
        <f>2*PI()*E174*'1-Simulation'!U174/(1000*60)</f>
        <v>4.3053144242782846</v>
      </c>
      <c r="H174" s="20">
        <f t="shared" si="27"/>
        <v>5.0650757932685702</v>
      </c>
      <c r="I174" s="20">
        <f t="shared" si="28"/>
        <v>105.52241235976187</v>
      </c>
      <c r="J174" s="20">
        <f>'1-Simulation'!U174/(IF('1-Simulation'!J174=1,'1-Specification &amp; Data'!H$7,IF('1-Simulation'!J174=2,'1-Specification &amp; Data'!H$8,IF('1-Simulation'!J174=3,'1-Specification &amp; Data'!H$9)))*0.8)</f>
        <v>16.12807050915351</v>
      </c>
      <c r="K174" s="20">
        <f t="shared" si="26"/>
        <v>5.9379552089901173</v>
      </c>
      <c r="L174" s="20">
        <f t="shared" si="29"/>
        <v>6.2504791673580185</v>
      </c>
      <c r="M174" s="20">
        <f t="shared" si="30"/>
        <v>0</v>
      </c>
      <c r="N174" s="20">
        <f t="shared" si="31"/>
        <v>0</v>
      </c>
      <c r="O174" s="20">
        <f t="shared" si="32"/>
        <v>0</v>
      </c>
      <c r="P174" s="20">
        <f t="shared" si="33"/>
        <v>0</v>
      </c>
      <c r="Q174" s="20">
        <f t="shared" si="34"/>
        <v>3.4379552089901173</v>
      </c>
      <c r="R174" s="20">
        <f t="shared" si="35"/>
        <v>71.62406685396077</v>
      </c>
      <c r="S174" s="20">
        <f t="shared" si="36"/>
        <v>0.5560719541261866</v>
      </c>
      <c r="T174" s="20">
        <f t="shared" si="37"/>
        <v>46.339329510515547</v>
      </c>
    </row>
    <row r="175" spans="1:20" x14ac:dyDescent="0.25">
      <c r="A175" s="19">
        <f t="shared" si="38"/>
        <v>173</v>
      </c>
      <c r="B175" s="19">
        <v>5500</v>
      </c>
      <c r="C175" s="19">
        <v>14</v>
      </c>
      <c r="D175" s="20">
        <v>2.5</v>
      </c>
      <c r="E175" s="20">
        <f>'1-Simulation'!F175*60/(2*PI()*'1-Specification &amp; Data'!B$14)</f>
        <v>253.35055612123523</v>
      </c>
      <c r="F175" s="20">
        <f>E175*(IF('1-Simulation'!J175=1,'1-Specification &amp; Data'!H$7,IF('1-Simulation'!J175=2,'1-Specification &amp; Data'!H$8,IF('1-Simulation'!J175=3,'1-Specification &amp; Data'!H$9))))</f>
        <v>3186.4261372733645</v>
      </c>
      <c r="G175" s="20">
        <f>2*PI()*E175*'1-Simulation'!U175/(1000*60)</f>
        <v>4.3053144242782846</v>
      </c>
      <c r="H175" s="20">
        <f t="shared" si="27"/>
        <v>5.0650757932685702</v>
      </c>
      <c r="I175" s="20">
        <f t="shared" si="28"/>
        <v>105.52241235976187</v>
      </c>
      <c r="J175" s="20">
        <f>'1-Simulation'!U175/(IF('1-Simulation'!J175=1,'1-Specification &amp; Data'!H$7,IF('1-Simulation'!J175=2,'1-Specification &amp; Data'!H$8,IF('1-Simulation'!J175=3,'1-Specification &amp; Data'!H$9)))*0.8)</f>
        <v>16.12807050915351</v>
      </c>
      <c r="K175" s="20">
        <f t="shared" si="26"/>
        <v>5.9379552089901173</v>
      </c>
      <c r="L175" s="20">
        <f t="shared" si="29"/>
        <v>6.2504791673580185</v>
      </c>
      <c r="M175" s="20">
        <f t="shared" si="30"/>
        <v>0</v>
      </c>
      <c r="N175" s="20">
        <f t="shared" si="31"/>
        <v>0</v>
      </c>
      <c r="O175" s="20">
        <f t="shared" si="32"/>
        <v>0</v>
      </c>
      <c r="P175" s="20">
        <f t="shared" si="33"/>
        <v>0</v>
      </c>
      <c r="Q175" s="20">
        <f t="shared" si="34"/>
        <v>3.4379552089901173</v>
      </c>
      <c r="R175" s="20">
        <f t="shared" si="35"/>
        <v>71.62406685396077</v>
      </c>
      <c r="S175" s="20">
        <f t="shared" si="36"/>
        <v>0.55511696656813381</v>
      </c>
      <c r="T175" s="20">
        <f t="shared" si="37"/>
        <v>46.259747214011149</v>
      </c>
    </row>
    <row r="176" spans="1:20" x14ac:dyDescent="0.25">
      <c r="A176" s="19">
        <f t="shared" si="38"/>
        <v>174</v>
      </c>
      <c r="B176" s="19">
        <v>5500</v>
      </c>
      <c r="C176" s="19">
        <v>14</v>
      </c>
      <c r="D176" s="20">
        <v>2.5</v>
      </c>
      <c r="E176" s="20">
        <f>'1-Simulation'!F176*60/(2*PI()*'1-Specification &amp; Data'!B$14)</f>
        <v>253.35055612123523</v>
      </c>
      <c r="F176" s="20">
        <f>E176*(IF('1-Simulation'!J176=1,'1-Specification &amp; Data'!H$7,IF('1-Simulation'!J176=2,'1-Specification &amp; Data'!H$8,IF('1-Simulation'!J176=3,'1-Specification &amp; Data'!H$9))))</f>
        <v>3186.4261372733645</v>
      </c>
      <c r="G176" s="20">
        <f>2*PI()*E176*'1-Simulation'!U176/(1000*60)</f>
        <v>4.3053144242782846</v>
      </c>
      <c r="H176" s="20">
        <f t="shared" si="27"/>
        <v>5.0650757932685702</v>
      </c>
      <c r="I176" s="20">
        <f t="shared" si="28"/>
        <v>105.52241235976187</v>
      </c>
      <c r="J176" s="20">
        <f>'1-Simulation'!U176/(IF('1-Simulation'!J176=1,'1-Specification &amp; Data'!H$7,IF('1-Simulation'!J176=2,'1-Specification &amp; Data'!H$8,IF('1-Simulation'!J176=3,'1-Specification &amp; Data'!H$9)))*0.8)</f>
        <v>16.12807050915351</v>
      </c>
      <c r="K176" s="20">
        <f t="shared" si="26"/>
        <v>5.9379552089901173</v>
      </c>
      <c r="L176" s="20">
        <f t="shared" si="29"/>
        <v>6.2504791673580185</v>
      </c>
      <c r="M176" s="20">
        <f t="shared" si="30"/>
        <v>0</v>
      </c>
      <c r="N176" s="20">
        <f t="shared" si="31"/>
        <v>0</v>
      </c>
      <c r="O176" s="20">
        <f t="shared" si="32"/>
        <v>0</v>
      </c>
      <c r="P176" s="20">
        <f t="shared" si="33"/>
        <v>0</v>
      </c>
      <c r="Q176" s="20">
        <f t="shared" si="34"/>
        <v>3.4379552089901173</v>
      </c>
      <c r="R176" s="20">
        <f t="shared" si="35"/>
        <v>71.62406685396077</v>
      </c>
      <c r="S176" s="20">
        <f t="shared" si="36"/>
        <v>0.55416197901008102</v>
      </c>
      <c r="T176" s="20">
        <f t="shared" si="37"/>
        <v>46.180164917506758</v>
      </c>
    </row>
    <row r="177" spans="1:20" x14ac:dyDescent="0.25">
      <c r="A177" s="19">
        <f t="shared" si="38"/>
        <v>175</v>
      </c>
      <c r="B177" s="19">
        <v>5500</v>
      </c>
      <c r="C177" s="19">
        <v>14</v>
      </c>
      <c r="D177" s="20">
        <v>2.5</v>
      </c>
      <c r="E177" s="20">
        <f>'1-Simulation'!F177*60/(2*PI()*'1-Specification &amp; Data'!B$14)</f>
        <v>253.35055612123523</v>
      </c>
      <c r="F177" s="20">
        <f>E177*(IF('1-Simulation'!J177=1,'1-Specification &amp; Data'!H$7,IF('1-Simulation'!J177=2,'1-Specification &amp; Data'!H$8,IF('1-Simulation'!J177=3,'1-Specification &amp; Data'!H$9))))</f>
        <v>3186.4261372733645</v>
      </c>
      <c r="G177" s="20">
        <f>2*PI()*E177*'1-Simulation'!U177/(1000*60)</f>
        <v>4.3053144242782846</v>
      </c>
      <c r="H177" s="20">
        <f t="shared" si="27"/>
        <v>5.0650757932685702</v>
      </c>
      <c r="I177" s="20">
        <f t="shared" si="28"/>
        <v>105.52241235976187</v>
      </c>
      <c r="J177" s="20">
        <f>'1-Simulation'!U177/(IF('1-Simulation'!J177=1,'1-Specification &amp; Data'!H$7,IF('1-Simulation'!J177=2,'1-Specification &amp; Data'!H$8,IF('1-Simulation'!J177=3,'1-Specification &amp; Data'!H$9)))*0.8)</f>
        <v>16.12807050915351</v>
      </c>
      <c r="K177" s="20">
        <f t="shared" si="26"/>
        <v>5.9379552089901173</v>
      </c>
      <c r="L177" s="20">
        <f t="shared" si="29"/>
        <v>6.2504791673580185</v>
      </c>
      <c r="M177" s="20">
        <f t="shared" si="30"/>
        <v>0</v>
      </c>
      <c r="N177" s="20">
        <f t="shared" si="31"/>
        <v>0</v>
      </c>
      <c r="O177" s="20">
        <f t="shared" si="32"/>
        <v>0</v>
      </c>
      <c r="P177" s="20">
        <f t="shared" si="33"/>
        <v>0</v>
      </c>
      <c r="Q177" s="20">
        <f t="shared" si="34"/>
        <v>3.4379552089901173</v>
      </c>
      <c r="R177" s="20">
        <f t="shared" si="35"/>
        <v>71.62406685396077</v>
      </c>
      <c r="S177" s="20">
        <f t="shared" si="36"/>
        <v>0.55320699145202823</v>
      </c>
      <c r="T177" s="20">
        <f t="shared" si="37"/>
        <v>46.100582621002353</v>
      </c>
    </row>
    <row r="178" spans="1:20" x14ac:dyDescent="0.25">
      <c r="A178" s="19">
        <f t="shared" si="38"/>
        <v>176</v>
      </c>
      <c r="B178" s="19">
        <v>5500</v>
      </c>
      <c r="C178" s="19">
        <v>14</v>
      </c>
      <c r="D178" s="20">
        <v>2.5</v>
      </c>
      <c r="E178" s="20">
        <f>'1-Simulation'!F178*60/(2*PI()*'1-Specification &amp; Data'!B$14)</f>
        <v>253.35055612123523</v>
      </c>
      <c r="F178" s="20">
        <f>E178*(IF('1-Simulation'!J178=1,'1-Specification &amp; Data'!H$7,IF('1-Simulation'!J178=2,'1-Specification &amp; Data'!H$8,IF('1-Simulation'!J178=3,'1-Specification &amp; Data'!H$9))))</f>
        <v>3186.4261372733645</v>
      </c>
      <c r="G178" s="20">
        <f>2*PI()*E178*'1-Simulation'!U178/(1000*60)</f>
        <v>4.3053144242782846</v>
      </c>
      <c r="H178" s="20">
        <f t="shared" si="27"/>
        <v>5.0650757932685702</v>
      </c>
      <c r="I178" s="20">
        <f t="shared" si="28"/>
        <v>105.52241235976187</v>
      </c>
      <c r="J178" s="20">
        <f>'1-Simulation'!U178/(IF('1-Simulation'!J178=1,'1-Specification &amp; Data'!H$7,IF('1-Simulation'!J178=2,'1-Specification &amp; Data'!H$8,IF('1-Simulation'!J178=3,'1-Specification &amp; Data'!H$9)))*0.8)</f>
        <v>16.12807050915351</v>
      </c>
      <c r="K178" s="20">
        <f t="shared" si="26"/>
        <v>5.9379552089901173</v>
      </c>
      <c r="L178" s="20">
        <f t="shared" si="29"/>
        <v>6.2504791673580185</v>
      </c>
      <c r="M178" s="20">
        <f t="shared" si="30"/>
        <v>0</v>
      </c>
      <c r="N178" s="20">
        <f t="shared" si="31"/>
        <v>0</v>
      </c>
      <c r="O178" s="20">
        <f t="shared" si="32"/>
        <v>0</v>
      </c>
      <c r="P178" s="20">
        <f t="shared" si="33"/>
        <v>0</v>
      </c>
      <c r="Q178" s="20">
        <f t="shared" si="34"/>
        <v>3.4379552089901173</v>
      </c>
      <c r="R178" s="20">
        <f t="shared" si="35"/>
        <v>71.62406685396077</v>
      </c>
      <c r="S178" s="20">
        <f t="shared" si="36"/>
        <v>0.55225200389397544</v>
      </c>
      <c r="T178" s="20">
        <f t="shared" si="37"/>
        <v>46.021000324497955</v>
      </c>
    </row>
    <row r="179" spans="1:20" x14ac:dyDescent="0.25">
      <c r="A179" s="19">
        <f t="shared" si="38"/>
        <v>177</v>
      </c>
      <c r="B179" s="19">
        <v>5500</v>
      </c>
      <c r="C179" s="19">
        <v>14</v>
      </c>
      <c r="D179" s="20">
        <v>2.5</v>
      </c>
      <c r="E179" s="20">
        <f>'1-Simulation'!F179*60/(2*PI()*'1-Specification &amp; Data'!B$14)</f>
        <v>253.35055612123523</v>
      </c>
      <c r="F179" s="20">
        <f>E179*(IF('1-Simulation'!J179=1,'1-Specification &amp; Data'!H$7,IF('1-Simulation'!J179=2,'1-Specification &amp; Data'!H$8,IF('1-Simulation'!J179=3,'1-Specification &amp; Data'!H$9))))</f>
        <v>3186.4261372733645</v>
      </c>
      <c r="G179" s="20">
        <f>2*PI()*E179*'1-Simulation'!U179/(1000*60)</f>
        <v>4.3053144242782846</v>
      </c>
      <c r="H179" s="20">
        <f t="shared" si="27"/>
        <v>5.0650757932685702</v>
      </c>
      <c r="I179" s="20">
        <f t="shared" si="28"/>
        <v>105.52241235976187</v>
      </c>
      <c r="J179" s="20">
        <f>'1-Simulation'!U179/(IF('1-Simulation'!J179=1,'1-Specification &amp; Data'!H$7,IF('1-Simulation'!J179=2,'1-Specification &amp; Data'!H$8,IF('1-Simulation'!J179=3,'1-Specification &amp; Data'!H$9)))*0.8)</f>
        <v>16.12807050915351</v>
      </c>
      <c r="K179" s="20">
        <f t="shared" si="26"/>
        <v>5.9379552089901173</v>
      </c>
      <c r="L179" s="20">
        <f t="shared" si="29"/>
        <v>6.2504791673580185</v>
      </c>
      <c r="M179" s="20">
        <f t="shared" si="30"/>
        <v>0</v>
      </c>
      <c r="N179" s="20">
        <f t="shared" si="31"/>
        <v>0</v>
      </c>
      <c r="O179" s="20">
        <f t="shared" si="32"/>
        <v>0</v>
      </c>
      <c r="P179" s="20">
        <f t="shared" si="33"/>
        <v>0</v>
      </c>
      <c r="Q179" s="20">
        <f t="shared" si="34"/>
        <v>3.4379552089901173</v>
      </c>
      <c r="R179" s="20">
        <f t="shared" si="35"/>
        <v>71.62406685396077</v>
      </c>
      <c r="S179" s="20">
        <f t="shared" si="36"/>
        <v>0.55129701633592265</v>
      </c>
      <c r="T179" s="20">
        <f t="shared" si="37"/>
        <v>45.941418027993556</v>
      </c>
    </row>
    <row r="180" spans="1:20" x14ac:dyDescent="0.25">
      <c r="A180" s="19">
        <f t="shared" si="38"/>
        <v>178</v>
      </c>
      <c r="B180" s="19">
        <v>5500</v>
      </c>
      <c r="C180" s="19">
        <v>14</v>
      </c>
      <c r="D180" s="20">
        <v>2.5</v>
      </c>
      <c r="E180" s="20">
        <f>'1-Simulation'!F180*60/(2*PI()*'1-Specification &amp; Data'!B$14)</f>
        <v>253.35055612123523</v>
      </c>
      <c r="F180" s="20">
        <f>E180*(IF('1-Simulation'!J180=1,'1-Specification &amp; Data'!H$7,IF('1-Simulation'!J180=2,'1-Specification &amp; Data'!H$8,IF('1-Simulation'!J180=3,'1-Specification &amp; Data'!H$9))))</f>
        <v>3186.4261372733645</v>
      </c>
      <c r="G180" s="20">
        <f>2*PI()*E180*'1-Simulation'!U180/(1000*60)</f>
        <v>4.3053144242782846</v>
      </c>
      <c r="H180" s="20">
        <f t="shared" si="27"/>
        <v>5.0650757932685702</v>
      </c>
      <c r="I180" s="20">
        <f t="shared" si="28"/>
        <v>105.52241235976187</v>
      </c>
      <c r="J180" s="20">
        <f>'1-Simulation'!U180/(IF('1-Simulation'!J180=1,'1-Specification &amp; Data'!H$7,IF('1-Simulation'!J180=2,'1-Specification &amp; Data'!H$8,IF('1-Simulation'!J180=3,'1-Specification &amp; Data'!H$9)))*0.8)</f>
        <v>16.12807050915351</v>
      </c>
      <c r="K180" s="20">
        <f t="shared" si="26"/>
        <v>5.9379552089901173</v>
      </c>
      <c r="L180" s="20">
        <f t="shared" si="29"/>
        <v>6.2504791673580185</v>
      </c>
      <c r="M180" s="20">
        <f t="shared" si="30"/>
        <v>0</v>
      </c>
      <c r="N180" s="20">
        <f t="shared" si="31"/>
        <v>0</v>
      </c>
      <c r="O180" s="20">
        <f t="shared" si="32"/>
        <v>0</v>
      </c>
      <c r="P180" s="20">
        <f t="shared" si="33"/>
        <v>0</v>
      </c>
      <c r="Q180" s="20">
        <f t="shared" si="34"/>
        <v>3.4379552089901173</v>
      </c>
      <c r="R180" s="20">
        <f t="shared" si="35"/>
        <v>71.62406685396077</v>
      </c>
      <c r="S180" s="20">
        <f t="shared" si="36"/>
        <v>0.55034202877786986</v>
      </c>
      <c r="T180" s="20">
        <f t="shared" si="37"/>
        <v>45.861835731489158</v>
      </c>
    </row>
    <row r="181" spans="1:20" x14ac:dyDescent="0.25">
      <c r="A181" s="19">
        <f t="shared" si="38"/>
        <v>179</v>
      </c>
      <c r="B181" s="19">
        <v>5500</v>
      </c>
      <c r="C181" s="19">
        <v>14</v>
      </c>
      <c r="D181" s="20">
        <v>2.5</v>
      </c>
      <c r="E181" s="20">
        <f>'1-Simulation'!F181*60/(2*PI()*'1-Specification &amp; Data'!B$14)</f>
        <v>253.35055612123523</v>
      </c>
      <c r="F181" s="20">
        <f>E181*(IF('1-Simulation'!J181=1,'1-Specification &amp; Data'!H$7,IF('1-Simulation'!J181=2,'1-Specification &amp; Data'!H$8,IF('1-Simulation'!J181=3,'1-Specification &amp; Data'!H$9))))</f>
        <v>3186.4261372733645</v>
      </c>
      <c r="G181" s="20">
        <f>2*PI()*E181*'1-Simulation'!U181/(1000*60)</f>
        <v>4.3053144242782846</v>
      </c>
      <c r="H181" s="20">
        <f t="shared" si="27"/>
        <v>5.0650757932685702</v>
      </c>
      <c r="I181" s="20">
        <f t="shared" si="28"/>
        <v>105.52241235976187</v>
      </c>
      <c r="J181" s="20">
        <f>'1-Simulation'!U181/(IF('1-Simulation'!J181=1,'1-Specification &amp; Data'!H$7,IF('1-Simulation'!J181=2,'1-Specification &amp; Data'!H$8,IF('1-Simulation'!J181=3,'1-Specification &amp; Data'!H$9)))*0.8)</f>
        <v>16.12807050915351</v>
      </c>
      <c r="K181" s="20">
        <f t="shared" si="26"/>
        <v>5.9379552089901173</v>
      </c>
      <c r="L181" s="20">
        <f t="shared" si="29"/>
        <v>6.2504791673580185</v>
      </c>
      <c r="M181" s="20">
        <f t="shared" si="30"/>
        <v>0</v>
      </c>
      <c r="N181" s="20">
        <f t="shared" si="31"/>
        <v>0</v>
      </c>
      <c r="O181" s="20">
        <f t="shared" si="32"/>
        <v>0</v>
      </c>
      <c r="P181" s="20">
        <f t="shared" si="33"/>
        <v>0</v>
      </c>
      <c r="Q181" s="20">
        <f t="shared" si="34"/>
        <v>3.4379552089901173</v>
      </c>
      <c r="R181" s="20">
        <f t="shared" si="35"/>
        <v>71.62406685396077</v>
      </c>
      <c r="S181" s="20">
        <f t="shared" si="36"/>
        <v>0.54938704121981707</v>
      </c>
      <c r="T181" s="20">
        <f t="shared" si="37"/>
        <v>45.78225343498476</v>
      </c>
    </row>
    <row r="182" spans="1:20" x14ac:dyDescent="0.25">
      <c r="A182" s="19">
        <f t="shared" si="38"/>
        <v>180</v>
      </c>
      <c r="B182" s="19">
        <v>5500</v>
      </c>
      <c r="C182" s="19">
        <v>14</v>
      </c>
      <c r="D182" s="20">
        <v>2.5</v>
      </c>
      <c r="E182" s="20">
        <f>'1-Simulation'!F182*60/(2*PI()*'1-Specification &amp; Data'!B$14)</f>
        <v>260.58914343898482</v>
      </c>
      <c r="F182" s="20">
        <f>E182*(IF('1-Simulation'!J182=1,'1-Specification &amp; Data'!H$7,IF('1-Simulation'!J182=2,'1-Specification &amp; Data'!H$8,IF('1-Simulation'!J182=3,'1-Specification &amp; Data'!H$9))))</f>
        <v>3277.4668840526037</v>
      </c>
      <c r="G182" s="20">
        <f>2*PI()*E182*'1-Simulation'!U182/(1000*60)</f>
        <v>2.1918930071099085</v>
      </c>
      <c r="H182" s="20">
        <f t="shared" si="27"/>
        <v>2.5786976554234218</v>
      </c>
      <c r="I182" s="20">
        <f t="shared" si="28"/>
        <v>53.72286782132128</v>
      </c>
      <c r="J182" s="20">
        <f>'1-Simulation'!U182/(IF('1-Simulation'!J182=1,'1-Specification &amp; Data'!H$7,IF('1-Simulation'!J182=2,'1-Specification &amp; Data'!H$8,IF('1-Simulation'!J182=3,'1-Specification &amp; Data'!H$9)))*0.8)</f>
        <v>7.9829320741773291</v>
      </c>
      <c r="K182" s="20">
        <f t="shared" si="26"/>
        <v>3.0230922103439881</v>
      </c>
      <c r="L182" s="20">
        <f t="shared" si="29"/>
        <v>3.1822023266778823</v>
      </c>
      <c r="M182" s="20">
        <f t="shared" si="30"/>
        <v>0</v>
      </c>
      <c r="N182" s="20">
        <f t="shared" si="31"/>
        <v>0</v>
      </c>
      <c r="O182" s="20">
        <f t="shared" si="32"/>
        <v>0</v>
      </c>
      <c r="P182" s="20">
        <f t="shared" si="33"/>
        <v>0</v>
      </c>
      <c r="Q182" s="20">
        <f t="shared" si="34"/>
        <v>0.52309221034398812</v>
      </c>
      <c r="R182" s="20">
        <f t="shared" si="35"/>
        <v>10.897754382166418</v>
      </c>
      <c r="S182" s="20">
        <f t="shared" si="36"/>
        <v>0.54924173782805485</v>
      </c>
      <c r="T182" s="20">
        <f t="shared" si="37"/>
        <v>45.770144819004571</v>
      </c>
    </row>
    <row r="183" spans="1:20" x14ac:dyDescent="0.25">
      <c r="A183" s="19">
        <f t="shared" si="38"/>
        <v>181</v>
      </c>
      <c r="B183" s="19">
        <v>5500</v>
      </c>
      <c r="C183" s="19">
        <v>14</v>
      </c>
      <c r="D183" s="20">
        <v>2.5</v>
      </c>
      <c r="E183" s="20">
        <f>'1-Simulation'!F183*60/(2*PI()*'1-Specification &amp; Data'!B$14)</f>
        <v>275.066318074484</v>
      </c>
      <c r="F183" s="20">
        <f>E183*(IF('1-Simulation'!J183=1,'1-Specification &amp; Data'!H$7,IF('1-Simulation'!J183=2,'1-Specification &amp; Data'!H$8,IF('1-Simulation'!J183=3,'1-Specification &amp; Data'!H$9))))</f>
        <v>3459.5483776110818</v>
      </c>
      <c r="G183" s="20">
        <f>2*PI()*E183*'1-Simulation'!U183/(1000*60)</f>
        <v>3.5446243925593923</v>
      </c>
      <c r="H183" s="20">
        <f t="shared" si="27"/>
        <v>4.1701463441875202</v>
      </c>
      <c r="I183" s="20">
        <f t="shared" si="28"/>
        <v>86.878048837240001</v>
      </c>
      <c r="J183" s="20">
        <f>'1-Simulation'!U183/(IF('1-Simulation'!J183=1,'1-Specification &amp; Data'!H$7,IF('1-Simulation'!J183=2,'1-Specification &amp; Data'!H$8,IF('1-Simulation'!J183=3,'1-Specification &amp; Data'!H$9)))*0.8)</f>
        <v>12.23016197282141</v>
      </c>
      <c r="K183" s="20">
        <f t="shared" si="26"/>
        <v>4.8887999345691915</v>
      </c>
      <c r="L183" s="20">
        <f t="shared" si="29"/>
        <v>5.1461051942833596</v>
      </c>
      <c r="M183" s="20">
        <f t="shared" si="30"/>
        <v>0</v>
      </c>
      <c r="N183" s="20">
        <f t="shared" si="31"/>
        <v>0</v>
      </c>
      <c r="O183" s="20">
        <f t="shared" si="32"/>
        <v>0</v>
      </c>
      <c r="P183" s="20">
        <f t="shared" si="33"/>
        <v>0</v>
      </c>
      <c r="Q183" s="20">
        <f t="shared" si="34"/>
        <v>2.3887999345691915</v>
      </c>
      <c r="R183" s="20">
        <f t="shared" si="35"/>
        <v>49.766665303524825</v>
      </c>
      <c r="S183" s="20">
        <f t="shared" si="36"/>
        <v>0.54857818229067457</v>
      </c>
      <c r="T183" s="20">
        <f t="shared" si="37"/>
        <v>45.71484852422288</v>
      </c>
    </row>
    <row r="184" spans="1:20" x14ac:dyDescent="0.25">
      <c r="A184" s="19">
        <f t="shared" si="38"/>
        <v>182</v>
      </c>
      <c r="B184" s="19">
        <v>5500</v>
      </c>
      <c r="C184" s="19">
        <v>14</v>
      </c>
      <c r="D184" s="20">
        <v>2.5</v>
      </c>
      <c r="E184" s="20">
        <f>'1-Simulation'!F184*60/(2*PI()*'1-Specification &amp; Data'!B$14)</f>
        <v>289.54349270998313</v>
      </c>
      <c r="F184" s="20">
        <f>E184*(IF('1-Simulation'!J184=1,'1-Specification &amp; Data'!H$7,IF('1-Simulation'!J184=2,'1-Specification &amp; Data'!H$8,IF('1-Simulation'!J184=3,'1-Specification &amp; Data'!H$9))))</f>
        <v>3641.6298711695595</v>
      </c>
      <c r="G184" s="20">
        <f>2*PI()*E184*'1-Simulation'!U184/(1000*60)</f>
        <v>3.760667701956836</v>
      </c>
      <c r="H184" s="20">
        <f t="shared" si="27"/>
        <v>4.4243149434786311</v>
      </c>
      <c r="I184" s="20">
        <f t="shared" si="28"/>
        <v>92.173227989138141</v>
      </c>
      <c r="J184" s="20">
        <f>'1-Simulation'!U184/(IF('1-Simulation'!J184=1,'1-Specification &amp; Data'!H$7,IF('1-Simulation'!J184=2,'1-Specification &amp; Data'!H$8,IF('1-Simulation'!J184=3,'1-Specification &amp; Data'!H$9)))*0.8)</f>
        <v>12.326805755939784</v>
      </c>
      <c r="K184" s="20">
        <f t="shared" si="26"/>
        <v>5.1867701564813968</v>
      </c>
      <c r="L184" s="20">
        <f t="shared" si="29"/>
        <v>5.459758059454102</v>
      </c>
      <c r="M184" s="20">
        <f t="shared" si="30"/>
        <v>0</v>
      </c>
      <c r="N184" s="20">
        <f t="shared" si="31"/>
        <v>0</v>
      </c>
      <c r="O184" s="20">
        <f t="shared" si="32"/>
        <v>0</v>
      </c>
      <c r="P184" s="20">
        <f t="shared" si="33"/>
        <v>0</v>
      </c>
      <c r="Q184" s="20">
        <f t="shared" si="34"/>
        <v>2.6867701564813968</v>
      </c>
      <c r="R184" s="20">
        <f t="shared" si="35"/>
        <v>55.974378260029106</v>
      </c>
      <c r="S184" s="20">
        <f t="shared" si="36"/>
        <v>0.54783185724720751</v>
      </c>
      <c r="T184" s="20">
        <f t="shared" si="37"/>
        <v>45.652654770600627</v>
      </c>
    </row>
    <row r="185" spans="1:20" x14ac:dyDescent="0.25">
      <c r="A185" s="19">
        <f t="shared" si="38"/>
        <v>183</v>
      </c>
      <c r="B185" s="19">
        <v>5500</v>
      </c>
      <c r="C185" s="19">
        <v>14</v>
      </c>
      <c r="D185" s="20">
        <v>2.5</v>
      </c>
      <c r="E185" s="20">
        <f>'1-Simulation'!F185*60/(2*PI()*'1-Specification &amp; Data'!B$14)</f>
        <v>289.54349270998313</v>
      </c>
      <c r="F185" s="20">
        <f>E185*(IF('1-Simulation'!J185=1,'1-Specification &amp; Data'!H$7,IF('1-Simulation'!J185=2,'1-Specification &amp; Data'!H$8,IF('1-Simulation'!J185=3,'1-Specification &amp; Data'!H$9))))</f>
        <v>3641.6298711695595</v>
      </c>
      <c r="G185" s="20">
        <f>2*PI()*E185*'1-Simulation'!U185/(1000*60)</f>
        <v>1.2251181571232994</v>
      </c>
      <c r="H185" s="20">
        <f t="shared" si="27"/>
        <v>1.4413154789685876</v>
      </c>
      <c r="I185" s="20">
        <f t="shared" si="28"/>
        <v>30.027405811845572</v>
      </c>
      <c r="J185" s="20">
        <f>'1-Simulation'!U185/(IF('1-Simulation'!J185=1,'1-Specification &amp; Data'!H$7,IF('1-Simulation'!J185=2,'1-Specification &amp; Data'!H$8,IF('1-Simulation'!J185=3,'1-Specification &amp; Data'!H$9)))*0.8)</f>
        <v>4.0157213420041655</v>
      </c>
      <c r="K185" s="20">
        <f t="shared" si="26"/>
        <v>1.689701616610302</v>
      </c>
      <c r="L185" s="20">
        <f t="shared" si="29"/>
        <v>1.7786332806424232</v>
      </c>
      <c r="M185" s="20">
        <f t="shared" si="30"/>
        <v>0</v>
      </c>
      <c r="N185" s="20">
        <f t="shared" si="31"/>
        <v>0.72136671935757679</v>
      </c>
      <c r="O185" s="20">
        <f t="shared" si="32"/>
        <v>0.81029838338969795</v>
      </c>
      <c r="P185" s="20">
        <f t="shared" si="33"/>
        <v>14.265816608973557</v>
      </c>
      <c r="Q185" s="20">
        <f t="shared" si="34"/>
        <v>0</v>
      </c>
      <c r="R185" s="20">
        <f t="shared" si="35"/>
        <v>0</v>
      </c>
      <c r="S185" s="20">
        <f t="shared" si="36"/>
        <v>0.54805694013148243</v>
      </c>
      <c r="T185" s="20">
        <f t="shared" si="37"/>
        <v>45.671411677623539</v>
      </c>
    </row>
    <row r="186" spans="1:20" x14ac:dyDescent="0.25">
      <c r="A186" s="19">
        <f t="shared" si="38"/>
        <v>184</v>
      </c>
      <c r="B186" s="19">
        <v>5500</v>
      </c>
      <c r="C186" s="19">
        <v>14</v>
      </c>
      <c r="D186" s="20">
        <v>2.5</v>
      </c>
      <c r="E186" s="20">
        <f>'1-Simulation'!F186*60/(2*PI()*'1-Specification &amp; Data'!B$14)</f>
        <v>275.066318074484</v>
      </c>
      <c r="F186" s="20">
        <f>E186*(IF('1-Simulation'!J186=1,'1-Specification &amp; Data'!H$7,IF('1-Simulation'!J186=2,'1-Specification &amp; Data'!H$8,IF('1-Simulation'!J186=3,'1-Specification &amp; Data'!H$9))))</f>
        <v>3459.5483776110818</v>
      </c>
      <c r="G186" s="20">
        <f>2*PI()*E186*'1-Simulation'!U186/(1000*60)</f>
        <v>-1.2729197426242884</v>
      </c>
      <c r="H186" s="20">
        <f t="shared" si="27"/>
        <v>0</v>
      </c>
      <c r="I186" s="20">
        <f t="shared" si="28"/>
        <v>0</v>
      </c>
      <c r="J186" s="20">
        <f>'1-Simulation'!U186/(IF('1-Simulation'!J186=1,'1-Specification &amp; Data'!H$7,IF('1-Simulation'!J186=2,'1-Specification &amp; Data'!H$8,IF('1-Simulation'!J186=3,'1-Specification &amp; Data'!H$9)))*0.8)</f>
        <v>-4.3920068550496882</v>
      </c>
      <c r="K186" s="20">
        <f t="shared" si="26"/>
        <v>0</v>
      </c>
      <c r="L186" s="20">
        <f t="shared" si="29"/>
        <v>0</v>
      </c>
      <c r="M186" s="20">
        <f t="shared" si="30"/>
        <v>0.48351601839635067</v>
      </c>
      <c r="N186" s="20">
        <f t="shared" si="31"/>
        <v>2.5</v>
      </c>
      <c r="O186" s="20">
        <f t="shared" si="32"/>
        <v>2.9835160183963505</v>
      </c>
      <c r="P186" s="20">
        <f t="shared" si="33"/>
        <v>52.526690464724481</v>
      </c>
      <c r="Q186" s="20">
        <f t="shared" si="34"/>
        <v>0</v>
      </c>
      <c r="R186" s="20">
        <f t="shared" si="35"/>
        <v>0</v>
      </c>
      <c r="S186" s="20">
        <f t="shared" si="36"/>
        <v>0.54888569458103698</v>
      </c>
      <c r="T186" s="20">
        <f t="shared" si="37"/>
        <v>45.740474548419748</v>
      </c>
    </row>
    <row r="187" spans="1:20" x14ac:dyDescent="0.25">
      <c r="A187" s="19">
        <f t="shared" si="38"/>
        <v>185</v>
      </c>
      <c r="B187" s="19">
        <v>5500</v>
      </c>
      <c r="C187" s="19">
        <v>14</v>
      </c>
      <c r="D187" s="20">
        <v>2.5</v>
      </c>
      <c r="E187" s="20">
        <f>'1-Simulation'!F187*60/(2*PI()*'1-Specification &amp; Data'!B$14)</f>
        <v>260.58914343898482</v>
      </c>
      <c r="F187" s="20">
        <f>E187*(IF('1-Simulation'!J187=1,'1-Specification &amp; Data'!H$7,IF('1-Simulation'!J187=2,'1-Specification &amp; Data'!H$8,IF('1-Simulation'!J187=3,'1-Specification &amp; Data'!H$9))))</f>
        <v>3277.4668840526037</v>
      </c>
      <c r="G187" s="20">
        <f>2*PI()*E187*'1-Simulation'!U187/(1000*60)</f>
        <v>-1.2310988784153654</v>
      </c>
      <c r="H187" s="20">
        <f t="shared" si="27"/>
        <v>0</v>
      </c>
      <c r="I187" s="20">
        <f t="shared" si="28"/>
        <v>0</v>
      </c>
      <c r="J187" s="20">
        <f>'1-Simulation'!U187/(IF('1-Simulation'!J187=1,'1-Specification &amp; Data'!H$7,IF('1-Simulation'!J187=2,'1-Specification &amp; Data'!H$8,IF('1-Simulation'!J187=3,'1-Specification &amp; Data'!H$9)))*0.8)</f>
        <v>-4.4836945467260936</v>
      </c>
      <c r="K187" s="20">
        <f t="shared" si="26"/>
        <v>0</v>
      </c>
      <c r="L187" s="20">
        <f t="shared" si="29"/>
        <v>0</v>
      </c>
      <c r="M187" s="20">
        <f t="shared" si="30"/>
        <v>0.46763044676831966</v>
      </c>
      <c r="N187" s="20">
        <f t="shared" si="31"/>
        <v>2.5</v>
      </c>
      <c r="O187" s="20">
        <f t="shared" si="32"/>
        <v>2.9676304467683199</v>
      </c>
      <c r="P187" s="20">
        <f t="shared" si="33"/>
        <v>52.247014907892961</v>
      </c>
      <c r="Q187" s="20">
        <f t="shared" si="34"/>
        <v>0</v>
      </c>
      <c r="R187" s="20">
        <f t="shared" si="35"/>
        <v>0</v>
      </c>
      <c r="S187" s="20">
        <f t="shared" si="36"/>
        <v>0.54971003637180593</v>
      </c>
      <c r="T187" s="20">
        <f t="shared" si="37"/>
        <v>45.809169697650496</v>
      </c>
    </row>
    <row r="188" spans="1:20" x14ac:dyDescent="0.25">
      <c r="A188" s="19">
        <f t="shared" si="38"/>
        <v>186</v>
      </c>
      <c r="B188" s="19">
        <v>5500</v>
      </c>
      <c r="C188" s="19">
        <v>14</v>
      </c>
      <c r="D188" s="20">
        <v>2.5</v>
      </c>
      <c r="E188" s="20">
        <f>'1-Simulation'!F188*60/(2*PI()*'1-Specification &amp; Data'!B$14)</f>
        <v>243.21653387638585</v>
      </c>
      <c r="F188" s="20">
        <f>E188*(IF('1-Simulation'!J188=1,'1-Specification &amp; Data'!H$7,IF('1-Simulation'!J188=2,'1-Specification &amp; Data'!H$8,IF('1-Simulation'!J188=3,'1-Specification &amp; Data'!H$9))))</f>
        <v>3058.9690917824305</v>
      </c>
      <c r="G188" s="20">
        <f>2*PI()*E188*'1-Simulation'!U188/(1000*60)</f>
        <v>-1.6015173314713949</v>
      </c>
      <c r="H188" s="20">
        <f t="shared" si="27"/>
        <v>0</v>
      </c>
      <c r="I188" s="20">
        <f t="shared" si="28"/>
        <v>0</v>
      </c>
      <c r="J188" s="20">
        <f>'1-Simulation'!U188/(IF('1-Simulation'!J188=1,'1-Specification &amp; Data'!H$7,IF('1-Simulation'!J188=2,'1-Specification &amp; Data'!H$8,IF('1-Simulation'!J188=3,'1-Specification &amp; Data'!H$9)))*0.8)</f>
        <v>-6.2493946188213796</v>
      </c>
      <c r="K188" s="20">
        <f t="shared" si="26"/>
        <v>0</v>
      </c>
      <c r="L188" s="20">
        <f t="shared" si="29"/>
        <v>0</v>
      </c>
      <c r="M188" s="20">
        <f t="shared" si="30"/>
        <v>0.60833315532474641</v>
      </c>
      <c r="N188" s="20">
        <f t="shared" si="31"/>
        <v>2.5</v>
      </c>
      <c r="O188" s="20">
        <f t="shared" si="32"/>
        <v>3.1083331553247464</v>
      </c>
      <c r="P188" s="20">
        <f t="shared" si="33"/>
        <v>54.724175269801876</v>
      </c>
      <c r="Q188" s="20">
        <f t="shared" si="34"/>
        <v>0</v>
      </c>
      <c r="R188" s="20">
        <f t="shared" si="35"/>
        <v>0</v>
      </c>
      <c r="S188" s="20">
        <f t="shared" si="36"/>
        <v>0.55057346224828507</v>
      </c>
      <c r="T188" s="20">
        <f t="shared" si="37"/>
        <v>45.88112185402376</v>
      </c>
    </row>
    <row r="189" spans="1:20" x14ac:dyDescent="0.25">
      <c r="A189" s="19">
        <f t="shared" si="38"/>
        <v>187</v>
      </c>
      <c r="B189" s="19">
        <v>5500</v>
      </c>
      <c r="C189" s="19">
        <v>14</v>
      </c>
      <c r="D189" s="20">
        <v>2.5</v>
      </c>
      <c r="E189" s="20">
        <f>'1-Simulation'!F189*60/(2*PI()*'1-Specification &amp; Data'!B$14)</f>
        <v>225.84392431378683</v>
      </c>
      <c r="F189" s="20">
        <f>E189*(IF('1-Simulation'!J189=1,'1-Specification &amp; Data'!H$7,IF('1-Simulation'!J189=2,'1-Specification &amp; Data'!H$8,IF('1-Simulation'!J189=3,'1-Specification &amp; Data'!H$9))))</f>
        <v>2840.4712995122563</v>
      </c>
      <c r="G189" s="20">
        <f>2*PI()*E189*'1-Simulation'!U189/(1000*60)</f>
        <v>-1.510050096508782</v>
      </c>
      <c r="H189" s="20">
        <f t="shared" si="27"/>
        <v>0</v>
      </c>
      <c r="I189" s="20">
        <f t="shared" si="28"/>
        <v>0</v>
      </c>
      <c r="J189" s="20">
        <f>'1-Simulation'!U189/(IF('1-Simulation'!J189=1,'1-Specification &amp; Data'!H$7,IF('1-Simulation'!J189=2,'1-Specification &amp; Data'!H$8,IF('1-Simulation'!J189=3,'1-Specification &amp; Data'!H$9)))*0.8)</f>
        <v>-6.3457410364531981</v>
      </c>
      <c r="K189" s="20">
        <f t="shared" si="26"/>
        <v>0</v>
      </c>
      <c r="L189" s="20">
        <f t="shared" si="29"/>
        <v>0</v>
      </c>
      <c r="M189" s="20">
        <f t="shared" si="30"/>
        <v>0.57358950905866768</v>
      </c>
      <c r="N189" s="20">
        <f t="shared" si="31"/>
        <v>2.5</v>
      </c>
      <c r="O189" s="20">
        <f t="shared" si="32"/>
        <v>3.0735895090586678</v>
      </c>
      <c r="P189" s="20">
        <f t="shared" si="33"/>
        <v>54.112491356666688</v>
      </c>
      <c r="Q189" s="20">
        <f t="shared" si="34"/>
        <v>0</v>
      </c>
      <c r="R189" s="20">
        <f t="shared" si="35"/>
        <v>0</v>
      </c>
      <c r="S189" s="20">
        <f t="shared" si="36"/>
        <v>0.55142723711191244</v>
      </c>
      <c r="T189" s="20">
        <f t="shared" si="37"/>
        <v>45.952269759326036</v>
      </c>
    </row>
    <row r="190" spans="1:20" x14ac:dyDescent="0.25">
      <c r="A190" s="19">
        <f t="shared" si="38"/>
        <v>188</v>
      </c>
      <c r="B190" s="19">
        <v>5500</v>
      </c>
      <c r="C190" s="19">
        <v>14</v>
      </c>
      <c r="D190" s="20">
        <v>2.5</v>
      </c>
      <c r="E190" s="20">
        <f>'1-Simulation'!F190*60/(2*PI()*'1-Specification &amp; Data'!B$14)</f>
        <v>199.78500996988836</v>
      </c>
      <c r="F190" s="20">
        <f>E190*(IF('1-Simulation'!J190=1,'1-Specification &amp; Data'!H$7,IF('1-Simulation'!J190=2,'1-Specification &amp; Data'!H$8,IF('1-Simulation'!J190=3,'1-Specification &amp; Data'!H$9))))</f>
        <v>2512.7246111069962</v>
      </c>
      <c r="G190" s="20">
        <f>2*PI()*E190*'1-Simulation'!U190/(1000*60)</f>
        <v>-2.4131363697767259</v>
      </c>
      <c r="H190" s="20">
        <f t="shared" si="27"/>
        <v>0</v>
      </c>
      <c r="I190" s="20">
        <f t="shared" si="28"/>
        <v>0</v>
      </c>
      <c r="J190" s="20">
        <f>'1-Simulation'!U190/(IF('1-Simulation'!J190=1,'1-Specification &amp; Data'!H$7,IF('1-Simulation'!J190=2,'1-Specification &amp; Data'!H$8,IF('1-Simulation'!J190=3,'1-Specification &amp; Data'!H$9)))*0.8)</f>
        <v>-11.463529864368917</v>
      </c>
      <c r="K190" s="20">
        <f t="shared" si="26"/>
        <v>0</v>
      </c>
      <c r="L190" s="20">
        <f t="shared" si="29"/>
        <v>0</v>
      </c>
      <c r="M190" s="20">
        <f t="shared" si="30"/>
        <v>0.91662502378694977</v>
      </c>
      <c r="N190" s="20">
        <f t="shared" si="31"/>
        <v>2.5</v>
      </c>
      <c r="O190" s="20">
        <f t="shared" si="32"/>
        <v>3.41662502378695</v>
      </c>
      <c r="P190" s="20">
        <f t="shared" si="33"/>
        <v>60.151849010333628</v>
      </c>
      <c r="Q190" s="20">
        <f t="shared" si="34"/>
        <v>0</v>
      </c>
      <c r="R190" s="20">
        <f t="shared" si="35"/>
        <v>0</v>
      </c>
      <c r="S190" s="20">
        <f t="shared" si="36"/>
        <v>0.55237629961851997</v>
      </c>
      <c r="T190" s="20">
        <f t="shared" si="37"/>
        <v>46.031358301543328</v>
      </c>
    </row>
    <row r="191" spans="1:20" x14ac:dyDescent="0.25">
      <c r="A191" s="19">
        <f t="shared" si="38"/>
        <v>189</v>
      </c>
      <c r="B191" s="19">
        <v>5500</v>
      </c>
      <c r="C191" s="19">
        <v>14</v>
      </c>
      <c r="D191" s="20">
        <v>2.5</v>
      </c>
      <c r="E191" s="20">
        <f>'1-Simulation'!F191*60/(2*PI()*'1-Specification &amp; Data'!B$14)</f>
        <v>179.51696548018953</v>
      </c>
      <c r="F191" s="20">
        <f>E191*(IF('1-Simulation'!J191=1,'1-Specification &amp; Data'!H$7,IF('1-Simulation'!J191=2,'1-Specification &amp; Data'!H$8,IF('1-Simulation'!J191=3,'1-Specification &amp; Data'!H$9))))</f>
        <v>2257.8105201251269</v>
      </c>
      <c r="G191" s="20">
        <f>2*PI()*E191*'1-Simulation'!U191/(1000*60)</f>
        <v>-1.5567018724898278</v>
      </c>
      <c r="H191" s="20">
        <f t="shared" si="27"/>
        <v>0</v>
      </c>
      <c r="I191" s="20">
        <f t="shared" si="28"/>
        <v>0</v>
      </c>
      <c r="J191" s="20">
        <f>'1-Simulation'!U191/(IF('1-Simulation'!J191=1,'1-Specification &amp; Data'!H$7,IF('1-Simulation'!J191=2,'1-Specification &amp; Data'!H$8,IF('1-Simulation'!J191=3,'1-Specification &amp; Data'!H$9)))*0.8)</f>
        <v>-8.2299908158403028</v>
      </c>
      <c r="K191" s="20">
        <f t="shared" si="26"/>
        <v>0</v>
      </c>
      <c r="L191" s="20">
        <f t="shared" si="29"/>
        <v>0</v>
      </c>
      <c r="M191" s="20">
        <f t="shared" si="30"/>
        <v>0.59131009286151592</v>
      </c>
      <c r="N191" s="20">
        <f t="shared" si="31"/>
        <v>2.5</v>
      </c>
      <c r="O191" s="20">
        <f t="shared" si="32"/>
        <v>3.0913100928615158</v>
      </c>
      <c r="P191" s="20">
        <f t="shared" si="33"/>
        <v>54.424473465871763</v>
      </c>
      <c r="Q191" s="20">
        <f t="shared" si="34"/>
        <v>0</v>
      </c>
      <c r="R191" s="20">
        <f t="shared" si="35"/>
        <v>0</v>
      </c>
      <c r="S191" s="20">
        <f t="shared" si="36"/>
        <v>0.5532349968665371</v>
      </c>
      <c r="T191" s="20">
        <f t="shared" si="37"/>
        <v>46.102916405544761</v>
      </c>
    </row>
    <row r="192" spans="1:20" x14ac:dyDescent="0.25">
      <c r="A192" s="19">
        <f t="shared" si="38"/>
        <v>190</v>
      </c>
      <c r="B192" s="19">
        <v>5500</v>
      </c>
      <c r="C192" s="19">
        <v>14</v>
      </c>
      <c r="D192" s="20">
        <v>2.5</v>
      </c>
      <c r="E192" s="20">
        <f>'1-Simulation'!F192*60/(2*PI()*'1-Specification &amp; Data'!B$14)</f>
        <v>159.24892099049075</v>
      </c>
      <c r="F192" s="20">
        <f>E192*(IF('1-Simulation'!J192=1,'1-Specification &amp; Data'!H$7,IF('1-Simulation'!J192=2,'1-Specification &amp; Data'!H$8,IF('1-Simulation'!J192=3,'1-Specification &amp; Data'!H$9))))</f>
        <v>2002.896429143258</v>
      </c>
      <c r="G192" s="20">
        <f>2*PI()*E192*'1-Simulation'!U192/(1000*60)</f>
        <v>-1.3945668779156328</v>
      </c>
      <c r="H192" s="20">
        <f t="shared" si="27"/>
        <v>0</v>
      </c>
      <c r="I192" s="20">
        <f t="shared" si="28"/>
        <v>0</v>
      </c>
      <c r="J192" s="20">
        <f>'1-Simulation'!U192/(IF('1-Simulation'!J192=1,'1-Specification &amp; Data'!H$7,IF('1-Simulation'!J192=2,'1-Specification &amp; Data'!H$8,IF('1-Simulation'!J192=3,'1-Specification &amp; Data'!H$9)))*0.8)</f>
        <v>-8.3111715936596795</v>
      </c>
      <c r="K192" s="20">
        <f t="shared" si="26"/>
        <v>0</v>
      </c>
      <c r="L192" s="20">
        <f t="shared" si="29"/>
        <v>0</v>
      </c>
      <c r="M192" s="20">
        <f t="shared" si="30"/>
        <v>0.52972343944249722</v>
      </c>
      <c r="N192" s="20">
        <f t="shared" si="31"/>
        <v>2.5</v>
      </c>
      <c r="O192" s="20">
        <f t="shared" si="32"/>
        <v>3.0297234394424972</v>
      </c>
      <c r="P192" s="20">
        <f t="shared" si="33"/>
        <v>53.340201398635514</v>
      </c>
      <c r="Q192" s="20">
        <f t="shared" si="34"/>
        <v>0</v>
      </c>
      <c r="R192" s="20">
        <f t="shared" si="35"/>
        <v>0</v>
      </c>
      <c r="S192" s="20">
        <f t="shared" si="36"/>
        <v>0.55407658671082671</v>
      </c>
      <c r="T192" s="20">
        <f t="shared" si="37"/>
        <v>46.173048892568893</v>
      </c>
    </row>
    <row r="193" spans="1:20" x14ac:dyDescent="0.25">
      <c r="A193" s="19">
        <f t="shared" si="38"/>
        <v>191</v>
      </c>
      <c r="B193" s="19">
        <v>5500</v>
      </c>
      <c r="C193" s="19">
        <v>14</v>
      </c>
      <c r="D193" s="20">
        <v>2.5</v>
      </c>
      <c r="E193" s="20">
        <f>'1-Simulation'!F193*60/(2*PI()*'1-Specification &amp; Data'!B$14)</f>
        <v>144.77174635499156</v>
      </c>
      <c r="F193" s="20">
        <f>E193*(IF('1-Simulation'!J193=1,'1-Specification &amp; Data'!H$7,IF('1-Simulation'!J193=2,'1-Specification &amp; Data'!H$8,IF('1-Simulation'!J193=3,'1-Specification &amp; Data'!H$9))))</f>
        <v>2563.0239562483698</v>
      </c>
      <c r="G193" s="20">
        <f>2*PI()*E193*'1-Simulation'!U193/(1000*60)</f>
        <v>-0.78335649843877508</v>
      </c>
      <c r="H193" s="20">
        <f t="shared" si="27"/>
        <v>0</v>
      </c>
      <c r="I193" s="20">
        <f t="shared" si="28"/>
        <v>0</v>
      </c>
      <c r="J193" s="20">
        <f>'1-Simulation'!U193/(IF('1-Simulation'!J193=1,'1-Specification &amp; Data'!H$7,IF('1-Simulation'!J193=2,'1-Specification &amp; Data'!H$8,IF('1-Simulation'!J193=3,'1-Specification &amp; Data'!H$9)))*0.8)</f>
        <v>-3.6482801485061893</v>
      </c>
      <c r="K193" s="20">
        <f t="shared" si="26"/>
        <v>0</v>
      </c>
      <c r="L193" s="20">
        <f t="shared" si="29"/>
        <v>0</v>
      </c>
      <c r="M193" s="20">
        <f t="shared" si="30"/>
        <v>0.29755639921897176</v>
      </c>
      <c r="N193" s="20">
        <f t="shared" si="31"/>
        <v>2.5</v>
      </c>
      <c r="O193" s="20">
        <f t="shared" si="32"/>
        <v>2.7975563992189718</v>
      </c>
      <c r="P193" s="20">
        <f t="shared" si="33"/>
        <v>49.252753507376269</v>
      </c>
      <c r="Q193" s="20">
        <f t="shared" si="34"/>
        <v>0</v>
      </c>
      <c r="R193" s="20">
        <f t="shared" si="35"/>
        <v>0</v>
      </c>
      <c r="S193" s="20">
        <f t="shared" si="36"/>
        <v>0.55485368571060978</v>
      </c>
      <c r="T193" s="20">
        <f t="shared" si="37"/>
        <v>46.237807142550821</v>
      </c>
    </row>
    <row r="194" spans="1:20" x14ac:dyDescent="0.25">
      <c r="A194" s="19">
        <f t="shared" si="38"/>
        <v>192</v>
      </c>
      <c r="B194" s="19">
        <v>5500</v>
      </c>
      <c r="C194" s="19">
        <v>14</v>
      </c>
      <c r="D194" s="20">
        <v>2.5</v>
      </c>
      <c r="E194" s="20">
        <f>'1-Simulation'!F194*60/(2*PI()*'1-Specification &amp; Data'!B$14)</f>
        <v>141.87631142789175</v>
      </c>
      <c r="F194" s="20">
        <f>E194*(IF('1-Simulation'!J194=1,'1-Specification &amp; Data'!H$7,IF('1-Simulation'!J194=2,'1-Specification &amp; Data'!H$8,IF('1-Simulation'!J194=3,'1-Specification &amp; Data'!H$9))))</f>
        <v>2511.7634771234029</v>
      </c>
      <c r="G194" s="20">
        <f>2*PI()*E194*'1-Simulation'!U194/(1000*60)</f>
        <v>0.23633550045051321</v>
      </c>
      <c r="H194" s="20">
        <f t="shared" si="27"/>
        <v>0.27804176523589791</v>
      </c>
      <c r="I194" s="20">
        <f t="shared" si="28"/>
        <v>5.7925367757478732</v>
      </c>
      <c r="J194" s="20">
        <f>'1-Simulation'!U194/(IF('1-Simulation'!J194=1,'1-Specification &amp; Data'!H$7,IF('1-Simulation'!J194=2,'1-Specification &amp; Data'!H$8,IF('1-Simulation'!J194=3,'1-Specification &amp; Data'!H$9)))*0.8)</f>
        <v>1.1231341087857949</v>
      </c>
      <c r="K194" s="20">
        <f t="shared" ref="K194:K257" si="39">H194/0.853</f>
        <v>0.32595752079237739</v>
      </c>
      <c r="L194" s="20">
        <f t="shared" si="29"/>
        <v>0.3431131797814499</v>
      </c>
      <c r="M194" s="20">
        <f t="shared" si="30"/>
        <v>0</v>
      </c>
      <c r="N194" s="20">
        <f t="shared" si="31"/>
        <v>2.15688682021855</v>
      </c>
      <c r="O194" s="20">
        <f t="shared" si="32"/>
        <v>2.1740424792076225</v>
      </c>
      <c r="P194" s="20">
        <f t="shared" si="33"/>
        <v>38.275395760697577</v>
      </c>
      <c r="Q194" s="20">
        <f t="shared" si="34"/>
        <v>0</v>
      </c>
      <c r="R194" s="20">
        <f t="shared" si="35"/>
        <v>0</v>
      </c>
      <c r="S194" s="20">
        <f t="shared" si="36"/>
        <v>0.55545758639927856</v>
      </c>
      <c r="T194" s="20">
        <f t="shared" si="37"/>
        <v>46.288132199939881</v>
      </c>
    </row>
    <row r="195" spans="1:20" x14ac:dyDescent="0.25">
      <c r="A195" s="19">
        <f t="shared" si="38"/>
        <v>193</v>
      </c>
      <c r="B195" s="19">
        <v>5500</v>
      </c>
      <c r="C195" s="19">
        <v>14</v>
      </c>
      <c r="D195" s="20">
        <v>2.5</v>
      </c>
      <c r="E195" s="20">
        <f>'1-Simulation'!F195*60/(2*PI()*'1-Specification &amp; Data'!B$14)</f>
        <v>123.05598440174283</v>
      </c>
      <c r="F195" s="20">
        <f>E195*(IF('1-Simulation'!J195=1,'1-Specification &amp; Data'!H$7,IF('1-Simulation'!J195=2,'1-Specification &amp; Data'!H$8,IF('1-Simulation'!J195=3,'1-Specification &amp; Data'!H$9))))</f>
        <v>2178.5703628111146</v>
      </c>
      <c r="G195" s="20">
        <f>2*PI()*E195*'1-Simulation'!U195/(1000*60)</f>
        <v>-1.0018104820496139</v>
      </c>
      <c r="H195" s="20">
        <f t="shared" ref="H195:H258" si="40">IF(G195&gt;0,G195/0.85,0)</f>
        <v>0</v>
      </c>
      <c r="I195" s="20">
        <f t="shared" ref="I195:I258" si="41">(H195*1000)/48</f>
        <v>0</v>
      </c>
      <c r="J195" s="20">
        <f>'1-Simulation'!U195/(IF('1-Simulation'!J195=1,'1-Specification &amp; Data'!H$7,IF('1-Simulation'!J195=2,'1-Specification &amp; Data'!H$8,IF('1-Simulation'!J195=3,'1-Specification &amp; Data'!H$9)))*0.8)</f>
        <v>-5.4890271040087075</v>
      </c>
      <c r="K195" s="20">
        <f t="shared" si="39"/>
        <v>0</v>
      </c>
      <c r="L195" s="20">
        <f t="shared" ref="L195:L258" si="42">K195/0.95</f>
        <v>0</v>
      </c>
      <c r="M195" s="20">
        <f t="shared" ref="M195:M258" si="43">IF(G195&lt;0,-G195*0.6*0.8*0.85*0.95*0.98,0)</f>
        <v>0.38053570798558167</v>
      </c>
      <c r="N195" s="20">
        <f t="shared" ref="N195:N258" si="44">IF(L195&lt;D195,D195-L195,0)</f>
        <v>2.5</v>
      </c>
      <c r="O195" s="20">
        <f t="shared" ref="O195:O258" si="45">M195+(IF(L195&lt;D195,D195-K195,0))</f>
        <v>2.8805357079855818</v>
      </c>
      <c r="P195" s="20">
        <f t="shared" ref="P195:P258" si="46">(O195*1000)/56.8</f>
        <v>50.713656830732077</v>
      </c>
      <c r="Q195" s="20">
        <f t="shared" ref="Q195:Q258" si="47">IF(L195&gt;D195,K195-D195,0)</f>
        <v>0</v>
      </c>
      <c r="R195" s="20">
        <f t="shared" ref="R195:R258" si="48">(Q195*1000)/48</f>
        <v>0</v>
      </c>
      <c r="S195" s="20">
        <f t="shared" ref="S195:S258" si="49">S194+IF(O195&gt;0,O195/3600,-Q195/3600)</f>
        <v>0.55625773520705235</v>
      </c>
      <c r="T195" s="20">
        <f t="shared" ref="T195:T258" si="50">(100*S195)/1.2</f>
        <v>46.35481126725437</v>
      </c>
    </row>
    <row r="196" spans="1:20" x14ac:dyDescent="0.25">
      <c r="A196" s="19">
        <f t="shared" ref="A196:A259" si="51">1+A195</f>
        <v>194</v>
      </c>
      <c r="B196" s="19">
        <v>5500</v>
      </c>
      <c r="C196" s="19">
        <v>14</v>
      </c>
      <c r="D196" s="20">
        <v>2.5</v>
      </c>
      <c r="E196" s="20">
        <f>'1-Simulation'!F196*60/(2*PI()*'1-Specification &amp; Data'!B$14)</f>
        <v>123.05598440174283</v>
      </c>
      <c r="F196" s="20">
        <f>E196*(IF('1-Simulation'!J196=1,'1-Specification &amp; Data'!H$7,IF('1-Simulation'!J196=2,'1-Specification &amp; Data'!H$8,IF('1-Simulation'!J196=3,'1-Specification &amp; Data'!H$9))))</f>
        <v>2178.5703628111146</v>
      </c>
      <c r="G196" s="20">
        <f>2*PI()*E196*'1-Simulation'!U196/(1000*60)</f>
        <v>0.41536867445877956</v>
      </c>
      <c r="H196" s="20">
        <f t="shared" si="40"/>
        <v>0.48866902877503482</v>
      </c>
      <c r="I196" s="20">
        <f t="shared" si="41"/>
        <v>10.180604766146558</v>
      </c>
      <c r="J196" s="20">
        <f>'1-Simulation'!U196/(IF('1-Simulation'!J196=1,'1-Specification &amp; Data'!H$7,IF('1-Simulation'!J196=2,'1-Specification &amp; Data'!H$8,IF('1-Simulation'!J196=3,'1-Specification &amp; Data'!H$9)))*0.8)</f>
        <v>2.2758495275431709</v>
      </c>
      <c r="K196" s="20">
        <f t="shared" si="39"/>
        <v>0.57288280043966566</v>
      </c>
      <c r="L196" s="20">
        <f t="shared" si="42"/>
        <v>0.60303452677859548</v>
      </c>
      <c r="M196" s="20">
        <f t="shared" si="43"/>
        <v>0</v>
      </c>
      <c r="N196" s="20">
        <f t="shared" si="44"/>
        <v>1.8969654732214045</v>
      </c>
      <c r="O196" s="20">
        <f t="shared" si="45"/>
        <v>1.9271171995603344</v>
      </c>
      <c r="P196" s="20">
        <f t="shared" si="46"/>
        <v>33.92811971056927</v>
      </c>
      <c r="Q196" s="20">
        <f t="shared" si="47"/>
        <v>0</v>
      </c>
      <c r="R196" s="20">
        <f t="shared" si="48"/>
        <v>0</v>
      </c>
      <c r="S196" s="20">
        <f t="shared" si="49"/>
        <v>0.55679304554026354</v>
      </c>
      <c r="T196" s="20">
        <f t="shared" si="50"/>
        <v>46.399420461688628</v>
      </c>
    </row>
    <row r="197" spans="1:20" x14ac:dyDescent="0.25">
      <c r="A197" s="19">
        <f t="shared" si="51"/>
        <v>195</v>
      </c>
      <c r="B197" s="19">
        <v>5500</v>
      </c>
      <c r="C197" s="19">
        <v>14</v>
      </c>
      <c r="D197" s="20">
        <v>2.5</v>
      </c>
      <c r="E197" s="20">
        <f>'1-Simulation'!F197*60/(2*PI()*'1-Specification &amp; Data'!B$14)</f>
        <v>123.05598440174283</v>
      </c>
      <c r="F197" s="20">
        <f>E197*(IF('1-Simulation'!J197=1,'1-Specification &amp; Data'!H$7,IF('1-Simulation'!J197=2,'1-Specification &amp; Data'!H$8,IF('1-Simulation'!J197=3,'1-Specification &amp; Data'!H$9))))</f>
        <v>2178.5703628111146</v>
      </c>
      <c r="G197" s="20">
        <f>2*PI()*E197*'1-Simulation'!U197/(1000*60)</f>
        <v>0.41536867445877956</v>
      </c>
      <c r="H197" s="20">
        <f t="shared" si="40"/>
        <v>0.48866902877503482</v>
      </c>
      <c r="I197" s="20">
        <f t="shared" si="41"/>
        <v>10.180604766146558</v>
      </c>
      <c r="J197" s="20">
        <f>'1-Simulation'!U197/(IF('1-Simulation'!J197=1,'1-Specification &amp; Data'!H$7,IF('1-Simulation'!J197=2,'1-Specification &amp; Data'!H$8,IF('1-Simulation'!J197=3,'1-Specification &amp; Data'!H$9)))*0.8)</f>
        <v>2.2758495275431709</v>
      </c>
      <c r="K197" s="20">
        <f t="shared" si="39"/>
        <v>0.57288280043966566</v>
      </c>
      <c r="L197" s="20">
        <f t="shared" si="42"/>
        <v>0.60303452677859548</v>
      </c>
      <c r="M197" s="20">
        <f t="shared" si="43"/>
        <v>0</v>
      </c>
      <c r="N197" s="20">
        <f t="shared" si="44"/>
        <v>1.8969654732214045</v>
      </c>
      <c r="O197" s="20">
        <f t="shared" si="45"/>
        <v>1.9271171995603344</v>
      </c>
      <c r="P197" s="20">
        <f t="shared" si="46"/>
        <v>33.92811971056927</v>
      </c>
      <c r="Q197" s="20">
        <f t="shared" si="47"/>
        <v>0</v>
      </c>
      <c r="R197" s="20">
        <f t="shared" si="48"/>
        <v>0</v>
      </c>
      <c r="S197" s="20">
        <f t="shared" si="49"/>
        <v>0.55732835587347473</v>
      </c>
      <c r="T197" s="20">
        <f t="shared" si="50"/>
        <v>46.444029656122893</v>
      </c>
    </row>
    <row r="198" spans="1:20" x14ac:dyDescent="0.25">
      <c r="A198" s="19">
        <f t="shared" si="51"/>
        <v>196</v>
      </c>
      <c r="B198" s="19">
        <v>5500</v>
      </c>
      <c r="C198" s="19">
        <v>14</v>
      </c>
      <c r="D198" s="20">
        <v>2.5</v>
      </c>
      <c r="E198" s="20">
        <f>'1-Simulation'!F198*60/(2*PI()*'1-Specification &amp; Data'!B$14)</f>
        <v>123.05598440174283</v>
      </c>
      <c r="F198" s="20">
        <f>E198*(IF('1-Simulation'!J198=1,'1-Specification &amp; Data'!H$7,IF('1-Simulation'!J198=2,'1-Specification &amp; Data'!H$8,IF('1-Simulation'!J198=3,'1-Specification &amp; Data'!H$9))))</f>
        <v>2178.5703628111146</v>
      </c>
      <c r="G198" s="20">
        <f>2*PI()*E198*'1-Simulation'!U198/(1000*60)</f>
        <v>0.41536867445877956</v>
      </c>
      <c r="H198" s="20">
        <f t="shared" si="40"/>
        <v>0.48866902877503482</v>
      </c>
      <c r="I198" s="20">
        <f t="shared" si="41"/>
        <v>10.180604766146558</v>
      </c>
      <c r="J198" s="20">
        <f>'1-Simulation'!U198/(IF('1-Simulation'!J198=1,'1-Specification &amp; Data'!H$7,IF('1-Simulation'!J198=2,'1-Specification &amp; Data'!H$8,IF('1-Simulation'!J198=3,'1-Specification &amp; Data'!H$9)))*0.8)</f>
        <v>2.2758495275431709</v>
      </c>
      <c r="K198" s="20">
        <f t="shared" si="39"/>
        <v>0.57288280043966566</v>
      </c>
      <c r="L198" s="20">
        <f t="shared" si="42"/>
        <v>0.60303452677859548</v>
      </c>
      <c r="M198" s="20">
        <f t="shared" si="43"/>
        <v>0</v>
      </c>
      <c r="N198" s="20">
        <f t="shared" si="44"/>
        <v>1.8969654732214045</v>
      </c>
      <c r="O198" s="20">
        <f t="shared" si="45"/>
        <v>1.9271171995603344</v>
      </c>
      <c r="P198" s="20">
        <f t="shared" si="46"/>
        <v>33.92811971056927</v>
      </c>
      <c r="Q198" s="20">
        <f t="shared" si="47"/>
        <v>0</v>
      </c>
      <c r="R198" s="20">
        <f t="shared" si="48"/>
        <v>0</v>
      </c>
      <c r="S198" s="20">
        <f t="shared" si="49"/>
        <v>0.55786366620668593</v>
      </c>
      <c r="T198" s="20">
        <f t="shared" si="50"/>
        <v>46.488638850557166</v>
      </c>
    </row>
    <row r="199" spans="1:20" x14ac:dyDescent="0.25">
      <c r="A199" s="19">
        <f t="shared" si="51"/>
        <v>197</v>
      </c>
      <c r="B199" s="19">
        <v>5500</v>
      </c>
      <c r="C199" s="19">
        <v>14</v>
      </c>
      <c r="D199" s="20">
        <v>2.5</v>
      </c>
      <c r="E199" s="20">
        <f>'1-Simulation'!F199*60/(2*PI()*'1-Specification &amp; Data'!B$14)</f>
        <v>123.05598440174283</v>
      </c>
      <c r="F199" s="20">
        <f>E199*(IF('1-Simulation'!J199=1,'1-Specification &amp; Data'!H$7,IF('1-Simulation'!J199=2,'1-Specification &amp; Data'!H$8,IF('1-Simulation'!J199=3,'1-Specification &amp; Data'!H$9))))</f>
        <v>2178.5703628111146</v>
      </c>
      <c r="G199" s="20">
        <f>2*PI()*E199*'1-Simulation'!U199/(1000*60)</f>
        <v>0.41536867445877956</v>
      </c>
      <c r="H199" s="20">
        <f t="shared" si="40"/>
        <v>0.48866902877503482</v>
      </c>
      <c r="I199" s="20">
        <f t="shared" si="41"/>
        <v>10.180604766146558</v>
      </c>
      <c r="J199" s="20">
        <f>'1-Simulation'!U199/(IF('1-Simulation'!J199=1,'1-Specification &amp; Data'!H$7,IF('1-Simulation'!J199=2,'1-Specification &amp; Data'!H$8,IF('1-Simulation'!J199=3,'1-Specification &amp; Data'!H$9)))*0.8)</f>
        <v>2.2758495275431709</v>
      </c>
      <c r="K199" s="20">
        <f t="shared" si="39"/>
        <v>0.57288280043966566</v>
      </c>
      <c r="L199" s="20">
        <f t="shared" si="42"/>
        <v>0.60303452677859548</v>
      </c>
      <c r="M199" s="20">
        <f t="shared" si="43"/>
        <v>0</v>
      </c>
      <c r="N199" s="20">
        <f t="shared" si="44"/>
        <v>1.8969654732214045</v>
      </c>
      <c r="O199" s="20">
        <f t="shared" si="45"/>
        <v>1.9271171995603344</v>
      </c>
      <c r="P199" s="20">
        <f t="shared" si="46"/>
        <v>33.92811971056927</v>
      </c>
      <c r="Q199" s="20">
        <f t="shared" si="47"/>
        <v>0</v>
      </c>
      <c r="R199" s="20">
        <f t="shared" si="48"/>
        <v>0</v>
      </c>
      <c r="S199" s="20">
        <f t="shared" si="49"/>
        <v>0.55839897653989712</v>
      </c>
      <c r="T199" s="20">
        <f t="shared" si="50"/>
        <v>46.533248044991424</v>
      </c>
    </row>
    <row r="200" spans="1:20" x14ac:dyDescent="0.25">
      <c r="A200" s="19">
        <f t="shared" si="51"/>
        <v>198</v>
      </c>
      <c r="B200" s="19">
        <v>5500</v>
      </c>
      <c r="C200" s="19">
        <v>14</v>
      </c>
      <c r="D200" s="20">
        <v>2.5</v>
      </c>
      <c r="E200" s="20">
        <f>'1-Simulation'!F200*60/(2*PI()*'1-Specification &amp; Data'!B$14)</f>
        <v>123.05598440174283</v>
      </c>
      <c r="F200" s="20">
        <f>E200*(IF('1-Simulation'!J200=1,'1-Specification &amp; Data'!H$7,IF('1-Simulation'!J200=2,'1-Specification &amp; Data'!H$8,IF('1-Simulation'!J200=3,'1-Specification &amp; Data'!H$9))))</f>
        <v>2178.5703628111146</v>
      </c>
      <c r="G200" s="20">
        <f>2*PI()*E200*'1-Simulation'!U200/(1000*60)</f>
        <v>0.41536867445877956</v>
      </c>
      <c r="H200" s="20">
        <f t="shared" si="40"/>
        <v>0.48866902877503482</v>
      </c>
      <c r="I200" s="20">
        <f t="shared" si="41"/>
        <v>10.180604766146558</v>
      </c>
      <c r="J200" s="20">
        <f>'1-Simulation'!U200/(IF('1-Simulation'!J200=1,'1-Specification &amp; Data'!H$7,IF('1-Simulation'!J200=2,'1-Specification &amp; Data'!H$8,IF('1-Simulation'!J200=3,'1-Specification &amp; Data'!H$9)))*0.8)</f>
        <v>2.2758495275431709</v>
      </c>
      <c r="K200" s="20">
        <f t="shared" si="39"/>
        <v>0.57288280043966566</v>
      </c>
      <c r="L200" s="20">
        <f t="shared" si="42"/>
        <v>0.60303452677859548</v>
      </c>
      <c r="M200" s="20">
        <f t="shared" si="43"/>
        <v>0</v>
      </c>
      <c r="N200" s="20">
        <f t="shared" si="44"/>
        <v>1.8969654732214045</v>
      </c>
      <c r="O200" s="20">
        <f t="shared" si="45"/>
        <v>1.9271171995603344</v>
      </c>
      <c r="P200" s="20">
        <f t="shared" si="46"/>
        <v>33.92811971056927</v>
      </c>
      <c r="Q200" s="20">
        <f t="shared" si="47"/>
        <v>0</v>
      </c>
      <c r="R200" s="20">
        <f t="shared" si="48"/>
        <v>0</v>
      </c>
      <c r="S200" s="20">
        <f t="shared" si="49"/>
        <v>0.55893428687310831</v>
      </c>
      <c r="T200" s="20">
        <f t="shared" si="50"/>
        <v>46.577857239425697</v>
      </c>
    </row>
    <row r="201" spans="1:20" x14ac:dyDescent="0.25">
      <c r="A201" s="19">
        <f t="shared" si="51"/>
        <v>199</v>
      </c>
      <c r="B201" s="19">
        <v>5500</v>
      </c>
      <c r="C201" s="19">
        <v>14</v>
      </c>
      <c r="D201" s="20">
        <v>2.5</v>
      </c>
      <c r="E201" s="20">
        <f>'1-Simulation'!F201*60/(2*PI()*'1-Specification &amp; Data'!B$14)</f>
        <v>123.05598440174283</v>
      </c>
      <c r="F201" s="20">
        <f>E201*(IF('1-Simulation'!J201=1,'1-Specification &amp; Data'!H$7,IF('1-Simulation'!J201=2,'1-Specification &amp; Data'!H$8,IF('1-Simulation'!J201=3,'1-Specification &amp; Data'!H$9))))</f>
        <v>2178.5703628111146</v>
      </c>
      <c r="G201" s="20">
        <f>2*PI()*E201*'1-Simulation'!U201/(1000*60)</f>
        <v>0.41536867445877956</v>
      </c>
      <c r="H201" s="20">
        <f t="shared" si="40"/>
        <v>0.48866902877503482</v>
      </c>
      <c r="I201" s="20">
        <f t="shared" si="41"/>
        <v>10.180604766146558</v>
      </c>
      <c r="J201" s="20">
        <f>'1-Simulation'!U201/(IF('1-Simulation'!J201=1,'1-Specification &amp; Data'!H$7,IF('1-Simulation'!J201=2,'1-Specification &amp; Data'!H$8,IF('1-Simulation'!J201=3,'1-Specification &amp; Data'!H$9)))*0.8)</f>
        <v>2.2758495275431709</v>
      </c>
      <c r="K201" s="20">
        <f t="shared" si="39"/>
        <v>0.57288280043966566</v>
      </c>
      <c r="L201" s="20">
        <f t="shared" si="42"/>
        <v>0.60303452677859548</v>
      </c>
      <c r="M201" s="20">
        <f t="shared" si="43"/>
        <v>0</v>
      </c>
      <c r="N201" s="20">
        <f t="shared" si="44"/>
        <v>1.8969654732214045</v>
      </c>
      <c r="O201" s="20">
        <f t="shared" si="45"/>
        <v>1.9271171995603344</v>
      </c>
      <c r="P201" s="20">
        <f t="shared" si="46"/>
        <v>33.92811971056927</v>
      </c>
      <c r="Q201" s="20">
        <f t="shared" si="47"/>
        <v>0</v>
      </c>
      <c r="R201" s="20">
        <f t="shared" si="48"/>
        <v>0</v>
      </c>
      <c r="S201" s="20">
        <f t="shared" si="49"/>
        <v>0.5594695972063195</v>
      </c>
      <c r="T201" s="20">
        <f t="shared" si="50"/>
        <v>46.622466433859962</v>
      </c>
    </row>
    <row r="202" spans="1:20" x14ac:dyDescent="0.25">
      <c r="A202" s="19">
        <f t="shared" si="51"/>
        <v>200</v>
      </c>
      <c r="B202" s="19">
        <v>5500</v>
      </c>
      <c r="C202" s="19">
        <v>14</v>
      </c>
      <c r="D202" s="20">
        <v>2.5</v>
      </c>
      <c r="E202" s="20">
        <f>'1-Simulation'!F202*60/(2*PI()*'1-Specification &amp; Data'!B$14)</f>
        <v>123.05598440174283</v>
      </c>
      <c r="F202" s="20">
        <f>E202*(IF('1-Simulation'!J202=1,'1-Specification &amp; Data'!H$7,IF('1-Simulation'!J202=2,'1-Specification &amp; Data'!H$8,IF('1-Simulation'!J202=3,'1-Specification &amp; Data'!H$9))))</f>
        <v>2178.5703628111146</v>
      </c>
      <c r="G202" s="20">
        <f>2*PI()*E202*'1-Simulation'!U202/(1000*60)</f>
        <v>0.41536867445877956</v>
      </c>
      <c r="H202" s="20">
        <f t="shared" si="40"/>
        <v>0.48866902877503482</v>
      </c>
      <c r="I202" s="20">
        <f t="shared" si="41"/>
        <v>10.180604766146558</v>
      </c>
      <c r="J202" s="20">
        <f>'1-Simulation'!U202/(IF('1-Simulation'!J202=1,'1-Specification &amp; Data'!H$7,IF('1-Simulation'!J202=2,'1-Specification &amp; Data'!H$8,IF('1-Simulation'!J202=3,'1-Specification &amp; Data'!H$9)))*0.8)</f>
        <v>2.2758495275431709</v>
      </c>
      <c r="K202" s="20">
        <f t="shared" si="39"/>
        <v>0.57288280043966566</v>
      </c>
      <c r="L202" s="20">
        <f t="shared" si="42"/>
        <v>0.60303452677859548</v>
      </c>
      <c r="M202" s="20">
        <f t="shared" si="43"/>
        <v>0</v>
      </c>
      <c r="N202" s="20">
        <f t="shared" si="44"/>
        <v>1.8969654732214045</v>
      </c>
      <c r="O202" s="20">
        <f t="shared" si="45"/>
        <v>1.9271171995603344</v>
      </c>
      <c r="P202" s="20">
        <f t="shared" si="46"/>
        <v>33.92811971056927</v>
      </c>
      <c r="Q202" s="20">
        <f t="shared" si="47"/>
        <v>0</v>
      </c>
      <c r="R202" s="20">
        <f t="shared" si="48"/>
        <v>0</v>
      </c>
      <c r="S202" s="20">
        <f t="shared" si="49"/>
        <v>0.56000490753953069</v>
      </c>
      <c r="T202" s="20">
        <f t="shared" si="50"/>
        <v>46.667075628294221</v>
      </c>
    </row>
    <row r="203" spans="1:20" x14ac:dyDescent="0.25">
      <c r="A203" s="19">
        <f t="shared" si="51"/>
        <v>201</v>
      </c>
      <c r="B203" s="19">
        <v>5500</v>
      </c>
      <c r="C203" s="19">
        <v>14</v>
      </c>
      <c r="D203" s="20">
        <v>2.5</v>
      </c>
      <c r="E203" s="20">
        <f>'1-Simulation'!F203*60/(2*PI()*'1-Specification &amp; Data'!B$14)</f>
        <v>123.05598440174283</v>
      </c>
      <c r="F203" s="20">
        <f>E203*(IF('1-Simulation'!J203=1,'1-Specification &amp; Data'!H$7,IF('1-Simulation'!J203=2,'1-Specification &amp; Data'!H$8,IF('1-Simulation'!J203=3,'1-Specification &amp; Data'!H$9))))</f>
        <v>2178.5703628111146</v>
      </c>
      <c r="G203" s="20">
        <f>2*PI()*E203*'1-Simulation'!U203/(1000*60)</f>
        <v>0.41536867445877956</v>
      </c>
      <c r="H203" s="20">
        <f t="shared" si="40"/>
        <v>0.48866902877503482</v>
      </c>
      <c r="I203" s="20">
        <f t="shared" si="41"/>
        <v>10.180604766146558</v>
      </c>
      <c r="J203" s="20">
        <f>'1-Simulation'!U203/(IF('1-Simulation'!J203=1,'1-Specification &amp; Data'!H$7,IF('1-Simulation'!J203=2,'1-Specification &amp; Data'!H$8,IF('1-Simulation'!J203=3,'1-Specification &amp; Data'!H$9)))*0.8)</f>
        <v>2.2758495275431709</v>
      </c>
      <c r="K203" s="20">
        <f t="shared" si="39"/>
        <v>0.57288280043966566</v>
      </c>
      <c r="L203" s="20">
        <f t="shared" si="42"/>
        <v>0.60303452677859548</v>
      </c>
      <c r="M203" s="20">
        <f t="shared" si="43"/>
        <v>0</v>
      </c>
      <c r="N203" s="20">
        <f t="shared" si="44"/>
        <v>1.8969654732214045</v>
      </c>
      <c r="O203" s="20">
        <f t="shared" si="45"/>
        <v>1.9271171995603344</v>
      </c>
      <c r="P203" s="20">
        <f t="shared" si="46"/>
        <v>33.92811971056927</v>
      </c>
      <c r="Q203" s="20">
        <f t="shared" si="47"/>
        <v>0</v>
      </c>
      <c r="R203" s="20">
        <f t="shared" si="48"/>
        <v>0</v>
      </c>
      <c r="S203" s="20">
        <f t="shared" si="49"/>
        <v>0.56054021787274189</v>
      </c>
      <c r="T203" s="20">
        <f t="shared" si="50"/>
        <v>46.711684822728493</v>
      </c>
    </row>
    <row r="204" spans="1:20" x14ac:dyDescent="0.25">
      <c r="A204" s="19">
        <f t="shared" si="51"/>
        <v>202</v>
      </c>
      <c r="B204" s="19">
        <v>5500</v>
      </c>
      <c r="C204" s="19">
        <v>14</v>
      </c>
      <c r="D204" s="20">
        <v>2.5</v>
      </c>
      <c r="E204" s="20">
        <f>'1-Simulation'!F204*60/(2*PI()*'1-Specification &amp; Data'!B$14)</f>
        <v>123.05598440174283</v>
      </c>
      <c r="F204" s="20">
        <f>E204*(IF('1-Simulation'!J204=1,'1-Specification &amp; Data'!H$7,IF('1-Simulation'!J204=2,'1-Specification &amp; Data'!H$8,IF('1-Simulation'!J204=3,'1-Specification &amp; Data'!H$9))))</f>
        <v>2178.5703628111146</v>
      </c>
      <c r="G204" s="20">
        <f>2*PI()*E204*'1-Simulation'!U204/(1000*60)</f>
        <v>0.41536867445877956</v>
      </c>
      <c r="H204" s="20">
        <f t="shared" si="40"/>
        <v>0.48866902877503482</v>
      </c>
      <c r="I204" s="20">
        <f t="shared" si="41"/>
        <v>10.180604766146558</v>
      </c>
      <c r="J204" s="20">
        <f>'1-Simulation'!U204/(IF('1-Simulation'!J204=1,'1-Specification &amp; Data'!H$7,IF('1-Simulation'!J204=2,'1-Specification &amp; Data'!H$8,IF('1-Simulation'!J204=3,'1-Specification &amp; Data'!H$9)))*0.8)</f>
        <v>2.2758495275431709</v>
      </c>
      <c r="K204" s="20">
        <f t="shared" si="39"/>
        <v>0.57288280043966566</v>
      </c>
      <c r="L204" s="20">
        <f t="shared" si="42"/>
        <v>0.60303452677859548</v>
      </c>
      <c r="M204" s="20">
        <f t="shared" si="43"/>
        <v>0</v>
      </c>
      <c r="N204" s="20">
        <f t="shared" si="44"/>
        <v>1.8969654732214045</v>
      </c>
      <c r="O204" s="20">
        <f t="shared" si="45"/>
        <v>1.9271171995603344</v>
      </c>
      <c r="P204" s="20">
        <f t="shared" si="46"/>
        <v>33.92811971056927</v>
      </c>
      <c r="Q204" s="20">
        <f t="shared" si="47"/>
        <v>0</v>
      </c>
      <c r="R204" s="20">
        <f t="shared" si="48"/>
        <v>0</v>
      </c>
      <c r="S204" s="20">
        <f t="shared" si="49"/>
        <v>0.56107552820595308</v>
      </c>
      <c r="T204" s="20">
        <f t="shared" si="50"/>
        <v>46.756294017162759</v>
      </c>
    </row>
    <row r="205" spans="1:20" x14ac:dyDescent="0.25">
      <c r="A205" s="19">
        <f t="shared" si="51"/>
        <v>203</v>
      </c>
      <c r="B205" s="19">
        <v>5500</v>
      </c>
      <c r="C205" s="19">
        <v>14</v>
      </c>
      <c r="D205" s="20">
        <v>2.5</v>
      </c>
      <c r="E205" s="20">
        <f>'1-Simulation'!F205*60/(2*PI()*'1-Specification &amp; Data'!B$14)</f>
        <v>123.05598440174283</v>
      </c>
      <c r="F205" s="20">
        <f>E205*(IF('1-Simulation'!J205=1,'1-Specification &amp; Data'!H$7,IF('1-Simulation'!J205=2,'1-Specification &amp; Data'!H$8,IF('1-Simulation'!J205=3,'1-Specification &amp; Data'!H$9))))</f>
        <v>2178.5703628111146</v>
      </c>
      <c r="G205" s="20">
        <f>2*PI()*E205*'1-Simulation'!U205/(1000*60)</f>
        <v>0.41536867445877956</v>
      </c>
      <c r="H205" s="20">
        <f t="shared" si="40"/>
        <v>0.48866902877503482</v>
      </c>
      <c r="I205" s="20">
        <f t="shared" si="41"/>
        <v>10.180604766146558</v>
      </c>
      <c r="J205" s="20">
        <f>'1-Simulation'!U205/(IF('1-Simulation'!J205=1,'1-Specification &amp; Data'!H$7,IF('1-Simulation'!J205=2,'1-Specification &amp; Data'!H$8,IF('1-Simulation'!J205=3,'1-Specification &amp; Data'!H$9)))*0.8)</f>
        <v>2.2758495275431709</v>
      </c>
      <c r="K205" s="20">
        <f t="shared" si="39"/>
        <v>0.57288280043966566</v>
      </c>
      <c r="L205" s="20">
        <f t="shared" si="42"/>
        <v>0.60303452677859548</v>
      </c>
      <c r="M205" s="20">
        <f t="shared" si="43"/>
        <v>0</v>
      </c>
      <c r="N205" s="20">
        <f t="shared" si="44"/>
        <v>1.8969654732214045</v>
      </c>
      <c r="O205" s="20">
        <f t="shared" si="45"/>
        <v>1.9271171995603344</v>
      </c>
      <c r="P205" s="20">
        <f t="shared" si="46"/>
        <v>33.92811971056927</v>
      </c>
      <c r="Q205" s="20">
        <f t="shared" si="47"/>
        <v>0</v>
      </c>
      <c r="R205" s="20">
        <f t="shared" si="48"/>
        <v>0</v>
      </c>
      <c r="S205" s="20">
        <f t="shared" si="49"/>
        <v>0.56161083853916427</v>
      </c>
      <c r="T205" s="20">
        <f t="shared" si="50"/>
        <v>46.800903211597024</v>
      </c>
    </row>
    <row r="206" spans="1:20" x14ac:dyDescent="0.25">
      <c r="A206" s="19">
        <f t="shared" si="51"/>
        <v>204</v>
      </c>
      <c r="B206" s="19">
        <v>5500</v>
      </c>
      <c r="C206" s="19">
        <v>14</v>
      </c>
      <c r="D206" s="20">
        <v>2.5</v>
      </c>
      <c r="E206" s="20">
        <f>'1-Simulation'!F206*60/(2*PI()*'1-Specification &amp; Data'!B$14)</f>
        <v>123.05598440174283</v>
      </c>
      <c r="F206" s="20">
        <f>E206*(IF('1-Simulation'!J206=1,'1-Specification &amp; Data'!H$7,IF('1-Simulation'!J206=2,'1-Specification &amp; Data'!H$8,IF('1-Simulation'!J206=3,'1-Specification &amp; Data'!H$9))))</f>
        <v>2178.5703628111146</v>
      </c>
      <c r="G206" s="20">
        <f>2*PI()*E206*'1-Simulation'!U206/(1000*60)</f>
        <v>0.41536867445877956</v>
      </c>
      <c r="H206" s="20">
        <f t="shared" si="40"/>
        <v>0.48866902877503482</v>
      </c>
      <c r="I206" s="20">
        <f t="shared" si="41"/>
        <v>10.180604766146558</v>
      </c>
      <c r="J206" s="20">
        <f>'1-Simulation'!U206/(IF('1-Simulation'!J206=1,'1-Specification &amp; Data'!H$7,IF('1-Simulation'!J206=2,'1-Specification &amp; Data'!H$8,IF('1-Simulation'!J206=3,'1-Specification &amp; Data'!H$9)))*0.8)</f>
        <v>2.2758495275431709</v>
      </c>
      <c r="K206" s="20">
        <f t="shared" si="39"/>
        <v>0.57288280043966566</v>
      </c>
      <c r="L206" s="20">
        <f t="shared" si="42"/>
        <v>0.60303452677859548</v>
      </c>
      <c r="M206" s="20">
        <f t="shared" si="43"/>
        <v>0</v>
      </c>
      <c r="N206" s="20">
        <f t="shared" si="44"/>
        <v>1.8969654732214045</v>
      </c>
      <c r="O206" s="20">
        <f t="shared" si="45"/>
        <v>1.9271171995603344</v>
      </c>
      <c r="P206" s="20">
        <f t="shared" si="46"/>
        <v>33.92811971056927</v>
      </c>
      <c r="Q206" s="20">
        <f t="shared" si="47"/>
        <v>0</v>
      </c>
      <c r="R206" s="20">
        <f t="shared" si="48"/>
        <v>0</v>
      </c>
      <c r="S206" s="20">
        <f t="shared" si="49"/>
        <v>0.56214614887237546</v>
      </c>
      <c r="T206" s="20">
        <f t="shared" si="50"/>
        <v>46.84551240603129</v>
      </c>
    </row>
    <row r="207" spans="1:20" x14ac:dyDescent="0.25">
      <c r="A207" s="19">
        <f t="shared" si="51"/>
        <v>205</v>
      </c>
      <c r="B207" s="19">
        <v>5500</v>
      </c>
      <c r="C207" s="19">
        <v>14</v>
      </c>
      <c r="D207" s="20">
        <v>2.5</v>
      </c>
      <c r="E207" s="20">
        <f>'1-Simulation'!F207*60/(2*PI()*'1-Specification &amp; Data'!B$14)</f>
        <v>123.05598440174283</v>
      </c>
      <c r="F207" s="20">
        <f>E207*(IF('1-Simulation'!J207=1,'1-Specification &amp; Data'!H$7,IF('1-Simulation'!J207=2,'1-Specification &amp; Data'!H$8,IF('1-Simulation'!J207=3,'1-Specification &amp; Data'!H$9))))</f>
        <v>2178.5703628111146</v>
      </c>
      <c r="G207" s="20">
        <f>2*PI()*E207*'1-Simulation'!U207/(1000*60)</f>
        <v>0.41536867445877956</v>
      </c>
      <c r="H207" s="20">
        <f t="shared" si="40"/>
        <v>0.48866902877503482</v>
      </c>
      <c r="I207" s="20">
        <f t="shared" si="41"/>
        <v>10.180604766146558</v>
      </c>
      <c r="J207" s="20">
        <f>'1-Simulation'!U207/(IF('1-Simulation'!J207=1,'1-Specification &amp; Data'!H$7,IF('1-Simulation'!J207=2,'1-Specification &amp; Data'!H$8,IF('1-Simulation'!J207=3,'1-Specification &amp; Data'!H$9)))*0.8)</f>
        <v>2.2758495275431709</v>
      </c>
      <c r="K207" s="20">
        <f t="shared" si="39"/>
        <v>0.57288280043966566</v>
      </c>
      <c r="L207" s="20">
        <f t="shared" si="42"/>
        <v>0.60303452677859548</v>
      </c>
      <c r="M207" s="20">
        <f t="shared" si="43"/>
        <v>0</v>
      </c>
      <c r="N207" s="20">
        <f t="shared" si="44"/>
        <v>1.8969654732214045</v>
      </c>
      <c r="O207" s="20">
        <f t="shared" si="45"/>
        <v>1.9271171995603344</v>
      </c>
      <c r="P207" s="20">
        <f t="shared" si="46"/>
        <v>33.92811971056927</v>
      </c>
      <c r="Q207" s="20">
        <f t="shared" si="47"/>
        <v>0</v>
      </c>
      <c r="R207" s="20">
        <f t="shared" si="48"/>
        <v>0</v>
      </c>
      <c r="S207" s="20">
        <f t="shared" si="49"/>
        <v>0.56268145920558665</v>
      </c>
      <c r="T207" s="20">
        <f t="shared" si="50"/>
        <v>46.890121600465555</v>
      </c>
    </row>
    <row r="208" spans="1:20" x14ac:dyDescent="0.25">
      <c r="A208" s="19">
        <f t="shared" si="51"/>
        <v>206</v>
      </c>
      <c r="B208" s="19">
        <v>5500</v>
      </c>
      <c r="C208" s="19">
        <v>14</v>
      </c>
      <c r="D208" s="20">
        <v>2.5</v>
      </c>
      <c r="E208" s="20">
        <f>'1-Simulation'!F208*60/(2*PI()*'1-Specification &amp; Data'!B$14)</f>
        <v>137.533159037242</v>
      </c>
      <c r="F208" s="20">
        <f>E208*(IF('1-Simulation'!J208=1,'1-Specification &amp; Data'!H$7,IF('1-Simulation'!J208=2,'1-Specification &amp; Data'!H$8,IF('1-Simulation'!J208=3,'1-Specification &amp; Data'!H$9))))</f>
        <v>2434.8727584359517</v>
      </c>
      <c r="G208" s="20">
        <f>2*PI()*E208*'1-Simulation'!U208/(1000*60)</f>
        <v>1.6890887260958911</v>
      </c>
      <c r="H208" s="20">
        <f t="shared" si="40"/>
        <v>1.9871632071716367</v>
      </c>
      <c r="I208" s="20">
        <f t="shared" si="41"/>
        <v>41.399233482742432</v>
      </c>
      <c r="J208" s="20">
        <f>'1-Simulation'!U208/(IF('1-Simulation'!J208=1,'1-Specification &amp; Data'!H$7,IF('1-Simulation'!J208=2,'1-Specification &amp; Data'!H$8,IF('1-Simulation'!J208=3,'1-Specification &amp; Data'!H$9)))*0.8)</f>
        <v>8.2805195614709017</v>
      </c>
      <c r="K208" s="20">
        <f t="shared" si="39"/>
        <v>2.329616890001919</v>
      </c>
      <c r="L208" s="20">
        <f t="shared" si="42"/>
        <v>2.4522283052651779</v>
      </c>
      <c r="M208" s="20">
        <f t="shared" si="43"/>
        <v>0</v>
      </c>
      <c r="N208" s="20">
        <f t="shared" si="44"/>
        <v>4.7771694734822123E-2</v>
      </c>
      <c r="O208" s="20">
        <f t="shared" si="45"/>
        <v>0.17038310999808104</v>
      </c>
      <c r="P208" s="20">
        <f t="shared" si="46"/>
        <v>2.9997026408112859</v>
      </c>
      <c r="Q208" s="20">
        <f t="shared" si="47"/>
        <v>0</v>
      </c>
      <c r="R208" s="20">
        <f t="shared" si="48"/>
        <v>0</v>
      </c>
      <c r="S208" s="20">
        <f t="shared" si="49"/>
        <v>0.56272878784725278</v>
      </c>
      <c r="T208" s="20">
        <f t="shared" si="50"/>
        <v>46.894065653937737</v>
      </c>
    </row>
    <row r="209" spans="1:20" x14ac:dyDescent="0.25">
      <c r="A209" s="19">
        <f t="shared" si="51"/>
        <v>207</v>
      </c>
      <c r="B209" s="19">
        <v>5500</v>
      </c>
      <c r="C209" s="19">
        <v>14</v>
      </c>
      <c r="D209" s="20">
        <v>2.5</v>
      </c>
      <c r="E209" s="20">
        <f>'1-Simulation'!F209*60/(2*PI()*'1-Specification &amp; Data'!B$14)</f>
        <v>144.77174635499156</v>
      </c>
      <c r="F209" s="20">
        <f>E209*(IF('1-Simulation'!J209=1,'1-Specification &amp; Data'!H$7,IF('1-Simulation'!J209=2,'1-Specification &amp; Data'!H$8,IF('1-Simulation'!J209=3,'1-Specification &amp; Data'!H$9))))</f>
        <v>2563.0239562483698</v>
      </c>
      <c r="G209" s="20">
        <f>2*PI()*E209*'1-Simulation'!U209/(1000*60)</f>
        <v>1.1404161122061007</v>
      </c>
      <c r="H209" s="20">
        <f t="shared" si="40"/>
        <v>1.3416660143601185</v>
      </c>
      <c r="I209" s="20">
        <f t="shared" si="41"/>
        <v>27.951375299169133</v>
      </c>
      <c r="J209" s="20">
        <f>'1-Simulation'!U209/(IF('1-Simulation'!J209=1,'1-Specification &amp; Data'!H$7,IF('1-Simulation'!J209=2,'1-Specification &amp; Data'!H$8,IF('1-Simulation'!J209=3,'1-Specification &amp; Data'!H$9)))*0.8)</f>
        <v>5.3111928878998134</v>
      </c>
      <c r="K209" s="20">
        <f t="shared" si="39"/>
        <v>1.5728792665417568</v>
      </c>
      <c r="L209" s="20">
        <f t="shared" si="42"/>
        <v>1.6556623858334283</v>
      </c>
      <c r="M209" s="20">
        <f t="shared" si="43"/>
        <v>0</v>
      </c>
      <c r="N209" s="20">
        <f t="shared" si="44"/>
        <v>0.84433761416657171</v>
      </c>
      <c r="O209" s="20">
        <f t="shared" si="45"/>
        <v>0.9271207334582432</v>
      </c>
      <c r="P209" s="20">
        <f t="shared" si="46"/>
        <v>16.322548124264845</v>
      </c>
      <c r="Q209" s="20">
        <f t="shared" si="47"/>
        <v>0</v>
      </c>
      <c r="R209" s="20">
        <f t="shared" si="48"/>
        <v>0</v>
      </c>
      <c r="S209" s="20">
        <f t="shared" si="49"/>
        <v>0.56298632138432447</v>
      </c>
      <c r="T209" s="20">
        <f t="shared" si="50"/>
        <v>46.915526782027037</v>
      </c>
    </row>
    <row r="210" spans="1:20" x14ac:dyDescent="0.25">
      <c r="A210" s="19">
        <f t="shared" si="51"/>
        <v>208</v>
      </c>
      <c r="B210" s="19">
        <v>5500</v>
      </c>
      <c r="C210" s="19">
        <v>14</v>
      </c>
      <c r="D210" s="20">
        <v>2.5</v>
      </c>
      <c r="E210" s="20">
        <f>'1-Simulation'!F210*60/(2*PI()*'1-Specification &amp; Data'!B$14)</f>
        <v>144.77174635499156</v>
      </c>
      <c r="F210" s="20">
        <f>E210*(IF('1-Simulation'!J210=1,'1-Specification &amp; Data'!H$7,IF('1-Simulation'!J210=2,'1-Specification &amp; Data'!H$8,IF('1-Simulation'!J210=3,'1-Specification &amp; Data'!H$9))))</f>
        <v>2563.0239562483698</v>
      </c>
      <c r="G210" s="20">
        <f>2*PI()*E210*'1-Simulation'!U210/(1000*60)</f>
        <v>0.49915857532447361</v>
      </c>
      <c r="H210" s="20">
        <f t="shared" si="40"/>
        <v>0.58724538273467486</v>
      </c>
      <c r="I210" s="20">
        <f t="shared" si="41"/>
        <v>12.234278806972393</v>
      </c>
      <c r="J210" s="20">
        <f>'1-Simulation'!U210/(IF('1-Simulation'!J210=1,'1-Specification &amp; Data'!H$7,IF('1-Simulation'!J210=2,'1-Specification &amp; Data'!H$8,IF('1-Simulation'!J210=3,'1-Specification &amp; Data'!H$9)))*0.8)</f>
        <v>2.3247018757644708</v>
      </c>
      <c r="K210" s="20">
        <f t="shared" si="39"/>
        <v>0.68844710754358129</v>
      </c>
      <c r="L210" s="20">
        <f t="shared" si="42"/>
        <v>0.72468116583534881</v>
      </c>
      <c r="M210" s="20">
        <f t="shared" si="43"/>
        <v>0</v>
      </c>
      <c r="N210" s="20">
        <f t="shared" si="44"/>
        <v>1.7753188341646511</v>
      </c>
      <c r="O210" s="20">
        <f t="shared" si="45"/>
        <v>1.8115528924564188</v>
      </c>
      <c r="P210" s="20">
        <f t="shared" si="46"/>
        <v>31.893536839021458</v>
      </c>
      <c r="Q210" s="20">
        <f t="shared" si="47"/>
        <v>0</v>
      </c>
      <c r="R210" s="20">
        <f t="shared" si="48"/>
        <v>0</v>
      </c>
      <c r="S210" s="20">
        <f t="shared" si="49"/>
        <v>0.56348953052111794</v>
      </c>
      <c r="T210" s="20">
        <f t="shared" si="50"/>
        <v>46.957460876759832</v>
      </c>
    </row>
    <row r="211" spans="1:20" x14ac:dyDescent="0.25">
      <c r="A211" s="19">
        <f t="shared" si="51"/>
        <v>209</v>
      </c>
      <c r="B211" s="19">
        <v>5500</v>
      </c>
      <c r="C211" s="19">
        <v>14</v>
      </c>
      <c r="D211" s="20">
        <v>2.5</v>
      </c>
      <c r="E211" s="20">
        <f>'1-Simulation'!F211*60/(2*PI()*'1-Specification &amp; Data'!B$14)</f>
        <v>144.77174635499156</v>
      </c>
      <c r="F211" s="20">
        <f>E211*(IF('1-Simulation'!J211=1,'1-Specification &amp; Data'!H$7,IF('1-Simulation'!J211=2,'1-Specification &amp; Data'!H$8,IF('1-Simulation'!J211=3,'1-Specification &amp; Data'!H$9))))</f>
        <v>2563.0239562483698</v>
      </c>
      <c r="G211" s="20">
        <f>2*PI()*E211*'1-Simulation'!U211/(1000*60)</f>
        <v>0.49915857532447361</v>
      </c>
      <c r="H211" s="20">
        <f t="shared" si="40"/>
        <v>0.58724538273467486</v>
      </c>
      <c r="I211" s="20">
        <f t="shared" si="41"/>
        <v>12.234278806972393</v>
      </c>
      <c r="J211" s="20">
        <f>'1-Simulation'!U211/(IF('1-Simulation'!J211=1,'1-Specification &amp; Data'!H$7,IF('1-Simulation'!J211=2,'1-Specification &amp; Data'!H$8,IF('1-Simulation'!J211=3,'1-Specification &amp; Data'!H$9)))*0.8)</f>
        <v>2.3247018757644708</v>
      </c>
      <c r="K211" s="20">
        <f t="shared" si="39"/>
        <v>0.68844710754358129</v>
      </c>
      <c r="L211" s="20">
        <f t="shared" si="42"/>
        <v>0.72468116583534881</v>
      </c>
      <c r="M211" s="20">
        <f t="shared" si="43"/>
        <v>0</v>
      </c>
      <c r="N211" s="20">
        <f t="shared" si="44"/>
        <v>1.7753188341646511</v>
      </c>
      <c r="O211" s="20">
        <f t="shared" si="45"/>
        <v>1.8115528924564188</v>
      </c>
      <c r="P211" s="20">
        <f t="shared" si="46"/>
        <v>31.893536839021458</v>
      </c>
      <c r="Q211" s="20">
        <f t="shared" si="47"/>
        <v>0</v>
      </c>
      <c r="R211" s="20">
        <f t="shared" si="48"/>
        <v>0</v>
      </c>
      <c r="S211" s="20">
        <f t="shared" si="49"/>
        <v>0.56399273965791141</v>
      </c>
      <c r="T211" s="20">
        <f t="shared" si="50"/>
        <v>46.99939497149262</v>
      </c>
    </row>
    <row r="212" spans="1:20" x14ac:dyDescent="0.25">
      <c r="A212" s="19">
        <f t="shared" si="51"/>
        <v>210</v>
      </c>
      <c r="B212" s="19">
        <v>5500</v>
      </c>
      <c r="C212" s="19">
        <v>14</v>
      </c>
      <c r="D212" s="20">
        <v>2.5</v>
      </c>
      <c r="E212" s="20">
        <f>'1-Simulation'!F212*60/(2*PI()*'1-Specification &amp; Data'!B$14)</f>
        <v>130.29457171949241</v>
      </c>
      <c r="F212" s="20">
        <f>E212*(IF('1-Simulation'!J212=1,'1-Specification &amp; Data'!H$7,IF('1-Simulation'!J212=2,'1-Specification &amp; Data'!H$8,IF('1-Simulation'!J212=3,'1-Specification &amp; Data'!H$9))))</f>
        <v>2306.7215606235332</v>
      </c>
      <c r="G212" s="20">
        <f>2*PI()*E212*'1-Simulation'!U212/(1000*60)</f>
        <v>-0.71148467727941689</v>
      </c>
      <c r="H212" s="20">
        <f t="shared" si="40"/>
        <v>0</v>
      </c>
      <c r="I212" s="20">
        <f t="shared" si="41"/>
        <v>0</v>
      </c>
      <c r="J212" s="20">
        <f>'1-Simulation'!U212/(IF('1-Simulation'!J212=1,'1-Specification &amp; Data'!H$7,IF('1-Simulation'!J212=2,'1-Specification &amp; Data'!H$8,IF('1-Simulation'!J212=3,'1-Specification &amp; Data'!H$9)))*0.8)</f>
        <v>-3.6817286031441969</v>
      </c>
      <c r="K212" s="20">
        <f t="shared" si="39"/>
        <v>0</v>
      </c>
      <c r="L212" s="20">
        <f t="shared" si="42"/>
        <v>0</v>
      </c>
      <c r="M212" s="20">
        <f t="shared" si="43"/>
        <v>0.27025603169523199</v>
      </c>
      <c r="N212" s="20">
        <f t="shared" si="44"/>
        <v>2.5</v>
      </c>
      <c r="O212" s="20">
        <f t="shared" si="45"/>
        <v>2.770256031695232</v>
      </c>
      <c r="P212" s="20">
        <f t="shared" si="46"/>
        <v>48.772113234070993</v>
      </c>
      <c r="Q212" s="20">
        <f t="shared" si="47"/>
        <v>0</v>
      </c>
      <c r="R212" s="20">
        <f t="shared" si="48"/>
        <v>0</v>
      </c>
      <c r="S212" s="20">
        <f t="shared" si="49"/>
        <v>0.56476225522227119</v>
      </c>
      <c r="T212" s="20">
        <f t="shared" si="50"/>
        <v>47.063521268522599</v>
      </c>
    </row>
    <row r="213" spans="1:20" x14ac:dyDescent="0.25">
      <c r="A213" s="19">
        <f t="shared" si="51"/>
        <v>211</v>
      </c>
      <c r="B213" s="19">
        <v>5500</v>
      </c>
      <c r="C213" s="19">
        <v>14</v>
      </c>
      <c r="D213" s="20">
        <v>2.5</v>
      </c>
      <c r="E213" s="20">
        <f>'1-Simulation'!F213*60/(2*PI()*'1-Specification &amp; Data'!B$14)</f>
        <v>115.81739708399327</v>
      </c>
      <c r="F213" s="20">
        <f>E213*(IF('1-Simulation'!J213=1,'1-Specification &amp; Data'!H$7,IF('1-Simulation'!J213=2,'1-Specification &amp; Data'!H$8,IF('1-Simulation'!J213=3,'1-Specification &amp; Data'!H$9))))</f>
        <v>2050.4191649986965</v>
      </c>
      <c r="G213" s="20">
        <f>2*PI()*E213*'1-Simulation'!U213/(1000*60)</f>
        <v>-0.63757164706178915</v>
      </c>
      <c r="H213" s="20">
        <f t="shared" si="40"/>
        <v>0</v>
      </c>
      <c r="I213" s="20">
        <f t="shared" si="41"/>
        <v>0</v>
      </c>
      <c r="J213" s="20">
        <f>'1-Simulation'!U213/(IF('1-Simulation'!J213=1,'1-Specification &amp; Data'!H$7,IF('1-Simulation'!J213=2,'1-Specification &amp; Data'!H$8,IF('1-Simulation'!J213=3,'1-Specification &amp; Data'!H$9)))*0.8)</f>
        <v>-3.7116561678203084</v>
      </c>
      <c r="K213" s="20">
        <f t="shared" si="39"/>
        <v>0</v>
      </c>
      <c r="L213" s="20">
        <f t="shared" si="42"/>
        <v>0</v>
      </c>
      <c r="M213" s="20">
        <f t="shared" si="43"/>
        <v>0.24218031499312648</v>
      </c>
      <c r="N213" s="20">
        <f t="shared" si="44"/>
        <v>2.5</v>
      </c>
      <c r="O213" s="20">
        <f t="shared" si="45"/>
        <v>2.7421803149931265</v>
      </c>
      <c r="P213" s="20">
        <f t="shared" si="46"/>
        <v>48.277822447062093</v>
      </c>
      <c r="Q213" s="20">
        <f t="shared" si="47"/>
        <v>0</v>
      </c>
      <c r="R213" s="20">
        <f t="shared" si="48"/>
        <v>0</v>
      </c>
      <c r="S213" s="20">
        <f t="shared" si="49"/>
        <v>0.565523971976436</v>
      </c>
      <c r="T213" s="20">
        <f t="shared" si="50"/>
        <v>47.126997664703005</v>
      </c>
    </row>
    <row r="214" spans="1:20" x14ac:dyDescent="0.25">
      <c r="A214" s="19">
        <f t="shared" si="51"/>
        <v>212</v>
      </c>
      <c r="B214" s="19">
        <v>5500</v>
      </c>
      <c r="C214" s="19">
        <v>14</v>
      </c>
      <c r="D214" s="20">
        <v>2.5</v>
      </c>
      <c r="E214" s="20">
        <f>'1-Simulation'!F214*60/(2*PI()*'1-Specification &amp; Data'!B$14)</f>
        <v>115.81739708399327</v>
      </c>
      <c r="F214" s="20">
        <f>E214*(IF('1-Simulation'!J214=1,'1-Specification &amp; Data'!H$7,IF('1-Simulation'!J214=2,'1-Specification &amp; Data'!H$8,IF('1-Simulation'!J214=3,'1-Specification &amp; Data'!H$9))))</f>
        <v>2050.4191649986965</v>
      </c>
      <c r="G214" s="20">
        <f>2*PI()*E214*'1-Simulation'!U214/(1000*60)</f>
        <v>0.38844041194881007</v>
      </c>
      <c r="H214" s="20">
        <f t="shared" si="40"/>
        <v>0.45698871993977658</v>
      </c>
      <c r="I214" s="20">
        <f t="shared" si="41"/>
        <v>9.5205983320786789</v>
      </c>
      <c r="J214" s="20">
        <f>'1-Simulation'!U214/(IF('1-Simulation'!J214=1,'1-Specification &amp; Data'!H$7,IF('1-Simulation'!J214=2,'1-Specification &amp; Data'!H$8,IF('1-Simulation'!J214=3,'1-Specification &amp; Data'!H$9)))*0.8)</f>
        <v>2.2613258564503522</v>
      </c>
      <c r="K214" s="20">
        <f t="shared" si="39"/>
        <v>0.5357429307617545</v>
      </c>
      <c r="L214" s="20">
        <f t="shared" si="42"/>
        <v>0.5639399271176363</v>
      </c>
      <c r="M214" s="20">
        <f t="shared" si="43"/>
        <v>0</v>
      </c>
      <c r="N214" s="20">
        <f t="shared" si="44"/>
        <v>1.9360600728823636</v>
      </c>
      <c r="O214" s="20">
        <f t="shared" si="45"/>
        <v>1.9642570692382455</v>
      </c>
      <c r="P214" s="20">
        <f t="shared" si="46"/>
        <v>34.581990655602915</v>
      </c>
      <c r="Q214" s="20">
        <f t="shared" si="47"/>
        <v>0</v>
      </c>
      <c r="R214" s="20">
        <f t="shared" si="48"/>
        <v>0</v>
      </c>
      <c r="S214" s="20">
        <f t="shared" si="49"/>
        <v>0.56606959894011333</v>
      </c>
      <c r="T214" s="20">
        <f t="shared" si="50"/>
        <v>47.172466578342778</v>
      </c>
    </row>
    <row r="215" spans="1:20" x14ac:dyDescent="0.25">
      <c r="A215" s="19">
        <f t="shared" si="51"/>
        <v>213</v>
      </c>
      <c r="B215" s="19">
        <v>5500</v>
      </c>
      <c r="C215" s="19">
        <v>14</v>
      </c>
      <c r="D215" s="20">
        <v>2.5</v>
      </c>
      <c r="E215" s="20">
        <f>'1-Simulation'!F215*60/(2*PI()*'1-Specification &amp; Data'!B$14)</f>
        <v>115.81739708399327</v>
      </c>
      <c r="F215" s="20">
        <f>E215*(IF('1-Simulation'!J215=1,'1-Specification &amp; Data'!H$7,IF('1-Simulation'!J215=2,'1-Specification &amp; Data'!H$8,IF('1-Simulation'!J215=3,'1-Specification &amp; Data'!H$9))))</f>
        <v>2050.4191649986965</v>
      </c>
      <c r="G215" s="20">
        <f>2*PI()*E215*'1-Simulation'!U215/(1000*60)</f>
        <v>0.38844041194881007</v>
      </c>
      <c r="H215" s="20">
        <f t="shared" si="40"/>
        <v>0.45698871993977658</v>
      </c>
      <c r="I215" s="20">
        <f t="shared" si="41"/>
        <v>9.5205983320786789</v>
      </c>
      <c r="J215" s="20">
        <f>'1-Simulation'!U215/(IF('1-Simulation'!J215=1,'1-Specification &amp; Data'!H$7,IF('1-Simulation'!J215=2,'1-Specification &amp; Data'!H$8,IF('1-Simulation'!J215=3,'1-Specification &amp; Data'!H$9)))*0.8)</f>
        <v>2.2613258564503522</v>
      </c>
      <c r="K215" s="20">
        <f t="shared" si="39"/>
        <v>0.5357429307617545</v>
      </c>
      <c r="L215" s="20">
        <f t="shared" si="42"/>
        <v>0.5639399271176363</v>
      </c>
      <c r="M215" s="20">
        <f t="shared" si="43"/>
        <v>0</v>
      </c>
      <c r="N215" s="20">
        <f t="shared" si="44"/>
        <v>1.9360600728823636</v>
      </c>
      <c r="O215" s="20">
        <f t="shared" si="45"/>
        <v>1.9642570692382455</v>
      </c>
      <c r="P215" s="20">
        <f t="shared" si="46"/>
        <v>34.581990655602915</v>
      </c>
      <c r="Q215" s="20">
        <f t="shared" si="47"/>
        <v>0</v>
      </c>
      <c r="R215" s="20">
        <f t="shared" si="48"/>
        <v>0</v>
      </c>
      <c r="S215" s="20">
        <f t="shared" si="49"/>
        <v>0.56661522590379065</v>
      </c>
      <c r="T215" s="20">
        <f t="shared" si="50"/>
        <v>47.217935491982558</v>
      </c>
    </row>
    <row r="216" spans="1:20" x14ac:dyDescent="0.25">
      <c r="A216" s="19">
        <f t="shared" si="51"/>
        <v>214</v>
      </c>
      <c r="B216" s="19">
        <v>5500</v>
      </c>
      <c r="C216" s="19">
        <v>14</v>
      </c>
      <c r="D216" s="20">
        <v>2.5</v>
      </c>
      <c r="E216" s="20">
        <f>'1-Simulation'!F216*60/(2*PI()*'1-Specification &amp; Data'!B$14)</f>
        <v>115.81739708399327</v>
      </c>
      <c r="F216" s="20">
        <f>E216*(IF('1-Simulation'!J216=1,'1-Specification &amp; Data'!H$7,IF('1-Simulation'!J216=2,'1-Specification &amp; Data'!H$8,IF('1-Simulation'!J216=3,'1-Specification &amp; Data'!H$9))))</f>
        <v>2050.4191649986965</v>
      </c>
      <c r="G216" s="20">
        <f>2*PI()*E216*'1-Simulation'!U216/(1000*60)</f>
        <v>0.38844041194881007</v>
      </c>
      <c r="H216" s="20">
        <f t="shared" si="40"/>
        <v>0.45698871993977658</v>
      </c>
      <c r="I216" s="20">
        <f t="shared" si="41"/>
        <v>9.5205983320786789</v>
      </c>
      <c r="J216" s="20">
        <f>'1-Simulation'!U216/(IF('1-Simulation'!J216=1,'1-Specification &amp; Data'!H$7,IF('1-Simulation'!J216=2,'1-Specification &amp; Data'!H$8,IF('1-Simulation'!J216=3,'1-Specification &amp; Data'!H$9)))*0.8)</f>
        <v>2.2613258564503522</v>
      </c>
      <c r="K216" s="20">
        <f t="shared" si="39"/>
        <v>0.5357429307617545</v>
      </c>
      <c r="L216" s="20">
        <f t="shared" si="42"/>
        <v>0.5639399271176363</v>
      </c>
      <c r="M216" s="20">
        <f t="shared" si="43"/>
        <v>0</v>
      </c>
      <c r="N216" s="20">
        <f t="shared" si="44"/>
        <v>1.9360600728823636</v>
      </c>
      <c r="O216" s="20">
        <f t="shared" si="45"/>
        <v>1.9642570692382455</v>
      </c>
      <c r="P216" s="20">
        <f t="shared" si="46"/>
        <v>34.581990655602915</v>
      </c>
      <c r="Q216" s="20">
        <f t="shared" si="47"/>
        <v>0</v>
      </c>
      <c r="R216" s="20">
        <f t="shared" si="48"/>
        <v>0</v>
      </c>
      <c r="S216" s="20">
        <f t="shared" si="49"/>
        <v>0.56716085286746798</v>
      </c>
      <c r="T216" s="20">
        <f t="shared" si="50"/>
        <v>47.263404405622332</v>
      </c>
    </row>
    <row r="217" spans="1:20" x14ac:dyDescent="0.25">
      <c r="A217" s="19">
        <f t="shared" si="51"/>
        <v>215</v>
      </c>
      <c r="B217" s="19">
        <v>5500</v>
      </c>
      <c r="C217" s="19">
        <v>14</v>
      </c>
      <c r="D217" s="20">
        <v>2.5</v>
      </c>
      <c r="E217" s="20">
        <f>'1-Simulation'!F217*60/(2*PI()*'1-Specification &amp; Data'!B$14)</f>
        <v>115.81739708399327</v>
      </c>
      <c r="F217" s="20">
        <f>E217*(IF('1-Simulation'!J217=1,'1-Specification &amp; Data'!H$7,IF('1-Simulation'!J217=2,'1-Specification &amp; Data'!H$8,IF('1-Simulation'!J217=3,'1-Specification &amp; Data'!H$9))))</f>
        <v>2050.4191649986965</v>
      </c>
      <c r="G217" s="20">
        <f>2*PI()*E217*'1-Simulation'!U217/(1000*60)</f>
        <v>0.38844041194881007</v>
      </c>
      <c r="H217" s="20">
        <f t="shared" si="40"/>
        <v>0.45698871993977658</v>
      </c>
      <c r="I217" s="20">
        <f t="shared" si="41"/>
        <v>9.5205983320786789</v>
      </c>
      <c r="J217" s="20">
        <f>'1-Simulation'!U217/(IF('1-Simulation'!J217=1,'1-Specification &amp; Data'!H$7,IF('1-Simulation'!J217=2,'1-Specification &amp; Data'!H$8,IF('1-Simulation'!J217=3,'1-Specification &amp; Data'!H$9)))*0.8)</f>
        <v>2.2613258564503522</v>
      </c>
      <c r="K217" s="20">
        <f t="shared" si="39"/>
        <v>0.5357429307617545</v>
      </c>
      <c r="L217" s="20">
        <f t="shared" si="42"/>
        <v>0.5639399271176363</v>
      </c>
      <c r="M217" s="20">
        <f t="shared" si="43"/>
        <v>0</v>
      </c>
      <c r="N217" s="20">
        <f t="shared" si="44"/>
        <v>1.9360600728823636</v>
      </c>
      <c r="O217" s="20">
        <f t="shared" si="45"/>
        <v>1.9642570692382455</v>
      </c>
      <c r="P217" s="20">
        <f t="shared" si="46"/>
        <v>34.581990655602915</v>
      </c>
      <c r="Q217" s="20">
        <f t="shared" si="47"/>
        <v>0</v>
      </c>
      <c r="R217" s="20">
        <f t="shared" si="48"/>
        <v>0</v>
      </c>
      <c r="S217" s="20">
        <f t="shared" si="49"/>
        <v>0.56770647983114531</v>
      </c>
      <c r="T217" s="20">
        <f t="shared" si="50"/>
        <v>47.308873319262112</v>
      </c>
    </row>
    <row r="218" spans="1:20" x14ac:dyDescent="0.25">
      <c r="A218" s="19">
        <f t="shared" si="51"/>
        <v>216</v>
      </c>
      <c r="B218" s="19">
        <v>5500</v>
      </c>
      <c r="C218" s="19">
        <v>14</v>
      </c>
      <c r="D218" s="20">
        <v>2.5</v>
      </c>
      <c r="E218" s="20">
        <f>'1-Simulation'!F218*60/(2*PI()*'1-Specification &amp; Data'!B$14)</f>
        <v>115.81739708399327</v>
      </c>
      <c r="F218" s="20">
        <f>E218*(IF('1-Simulation'!J218=1,'1-Specification &amp; Data'!H$7,IF('1-Simulation'!J218=2,'1-Specification &amp; Data'!H$8,IF('1-Simulation'!J218=3,'1-Specification &amp; Data'!H$9))))</f>
        <v>2050.4191649986965</v>
      </c>
      <c r="G218" s="20">
        <f>2*PI()*E218*'1-Simulation'!U218/(1000*60)</f>
        <v>0.38844041194881007</v>
      </c>
      <c r="H218" s="20">
        <f t="shared" si="40"/>
        <v>0.45698871993977658</v>
      </c>
      <c r="I218" s="20">
        <f t="shared" si="41"/>
        <v>9.5205983320786789</v>
      </c>
      <c r="J218" s="20">
        <f>'1-Simulation'!U218/(IF('1-Simulation'!J218=1,'1-Specification &amp; Data'!H$7,IF('1-Simulation'!J218=2,'1-Specification &amp; Data'!H$8,IF('1-Simulation'!J218=3,'1-Specification &amp; Data'!H$9)))*0.8)</f>
        <v>2.2613258564503522</v>
      </c>
      <c r="K218" s="20">
        <f t="shared" si="39"/>
        <v>0.5357429307617545</v>
      </c>
      <c r="L218" s="20">
        <f t="shared" si="42"/>
        <v>0.5639399271176363</v>
      </c>
      <c r="M218" s="20">
        <f t="shared" si="43"/>
        <v>0</v>
      </c>
      <c r="N218" s="20">
        <f t="shared" si="44"/>
        <v>1.9360600728823636</v>
      </c>
      <c r="O218" s="20">
        <f t="shared" si="45"/>
        <v>1.9642570692382455</v>
      </c>
      <c r="P218" s="20">
        <f t="shared" si="46"/>
        <v>34.581990655602915</v>
      </c>
      <c r="Q218" s="20">
        <f t="shared" si="47"/>
        <v>0</v>
      </c>
      <c r="R218" s="20">
        <f t="shared" si="48"/>
        <v>0</v>
      </c>
      <c r="S218" s="20">
        <f t="shared" si="49"/>
        <v>0.56825210679482263</v>
      </c>
      <c r="T218" s="20">
        <f t="shared" si="50"/>
        <v>47.354342232901885</v>
      </c>
    </row>
    <row r="219" spans="1:20" x14ac:dyDescent="0.25">
      <c r="A219" s="19">
        <f t="shared" si="51"/>
        <v>217</v>
      </c>
      <c r="B219" s="19">
        <v>5500</v>
      </c>
      <c r="C219" s="19">
        <v>14</v>
      </c>
      <c r="D219" s="20">
        <v>2.5</v>
      </c>
      <c r="E219" s="20">
        <f>'1-Simulation'!F219*60/(2*PI()*'1-Specification &amp; Data'!B$14)</f>
        <v>115.81739708399327</v>
      </c>
      <c r="F219" s="20">
        <f>E219*(IF('1-Simulation'!J219=1,'1-Specification &amp; Data'!H$7,IF('1-Simulation'!J219=2,'1-Specification &amp; Data'!H$8,IF('1-Simulation'!J219=3,'1-Specification &amp; Data'!H$9))))</f>
        <v>2050.4191649986965</v>
      </c>
      <c r="G219" s="20">
        <f>2*PI()*E219*'1-Simulation'!U219/(1000*60)</f>
        <v>0.38844041194881007</v>
      </c>
      <c r="H219" s="20">
        <f t="shared" si="40"/>
        <v>0.45698871993977658</v>
      </c>
      <c r="I219" s="20">
        <f t="shared" si="41"/>
        <v>9.5205983320786789</v>
      </c>
      <c r="J219" s="20">
        <f>'1-Simulation'!U219/(IF('1-Simulation'!J219=1,'1-Specification &amp; Data'!H$7,IF('1-Simulation'!J219=2,'1-Specification &amp; Data'!H$8,IF('1-Simulation'!J219=3,'1-Specification &amp; Data'!H$9)))*0.8)</f>
        <v>2.2613258564503522</v>
      </c>
      <c r="K219" s="20">
        <f t="shared" si="39"/>
        <v>0.5357429307617545</v>
      </c>
      <c r="L219" s="20">
        <f t="shared" si="42"/>
        <v>0.5639399271176363</v>
      </c>
      <c r="M219" s="20">
        <f t="shared" si="43"/>
        <v>0</v>
      </c>
      <c r="N219" s="20">
        <f t="shared" si="44"/>
        <v>1.9360600728823636</v>
      </c>
      <c r="O219" s="20">
        <f t="shared" si="45"/>
        <v>1.9642570692382455</v>
      </c>
      <c r="P219" s="20">
        <f t="shared" si="46"/>
        <v>34.581990655602915</v>
      </c>
      <c r="Q219" s="20">
        <f t="shared" si="47"/>
        <v>0</v>
      </c>
      <c r="R219" s="20">
        <f t="shared" si="48"/>
        <v>0</v>
      </c>
      <c r="S219" s="20">
        <f t="shared" si="49"/>
        <v>0.56879773375849996</v>
      </c>
      <c r="T219" s="20">
        <f t="shared" si="50"/>
        <v>47.399811146541666</v>
      </c>
    </row>
    <row r="220" spans="1:20" x14ac:dyDescent="0.25">
      <c r="A220" s="19">
        <f t="shared" si="51"/>
        <v>218</v>
      </c>
      <c r="B220" s="19">
        <v>5500</v>
      </c>
      <c r="C220" s="19">
        <v>14</v>
      </c>
      <c r="D220" s="20">
        <v>2.5</v>
      </c>
      <c r="E220" s="20">
        <f>'1-Simulation'!F220*60/(2*PI()*'1-Specification &amp; Data'!B$14)</f>
        <v>115.81739708399327</v>
      </c>
      <c r="F220" s="20">
        <f>E220*(IF('1-Simulation'!J220=1,'1-Specification &amp; Data'!H$7,IF('1-Simulation'!J220=2,'1-Specification &amp; Data'!H$8,IF('1-Simulation'!J220=3,'1-Specification &amp; Data'!H$9))))</f>
        <v>2050.4191649986965</v>
      </c>
      <c r="G220" s="20">
        <f>2*PI()*E220*'1-Simulation'!U220/(1000*60)</f>
        <v>0.38844041194881007</v>
      </c>
      <c r="H220" s="20">
        <f t="shared" si="40"/>
        <v>0.45698871993977658</v>
      </c>
      <c r="I220" s="20">
        <f t="shared" si="41"/>
        <v>9.5205983320786789</v>
      </c>
      <c r="J220" s="20">
        <f>'1-Simulation'!U220/(IF('1-Simulation'!J220=1,'1-Specification &amp; Data'!H$7,IF('1-Simulation'!J220=2,'1-Specification &amp; Data'!H$8,IF('1-Simulation'!J220=3,'1-Specification &amp; Data'!H$9)))*0.8)</f>
        <v>2.2613258564503522</v>
      </c>
      <c r="K220" s="20">
        <f t="shared" si="39"/>
        <v>0.5357429307617545</v>
      </c>
      <c r="L220" s="20">
        <f t="shared" si="42"/>
        <v>0.5639399271176363</v>
      </c>
      <c r="M220" s="20">
        <f t="shared" si="43"/>
        <v>0</v>
      </c>
      <c r="N220" s="20">
        <f t="shared" si="44"/>
        <v>1.9360600728823636</v>
      </c>
      <c r="O220" s="20">
        <f t="shared" si="45"/>
        <v>1.9642570692382455</v>
      </c>
      <c r="P220" s="20">
        <f t="shared" si="46"/>
        <v>34.581990655602915</v>
      </c>
      <c r="Q220" s="20">
        <f t="shared" si="47"/>
        <v>0</v>
      </c>
      <c r="R220" s="20">
        <f t="shared" si="48"/>
        <v>0</v>
      </c>
      <c r="S220" s="20">
        <f t="shared" si="49"/>
        <v>0.56934336072217728</v>
      </c>
      <c r="T220" s="20">
        <f t="shared" si="50"/>
        <v>47.445280060181439</v>
      </c>
    </row>
    <row r="221" spans="1:20" x14ac:dyDescent="0.25">
      <c r="A221" s="19">
        <f t="shared" si="51"/>
        <v>219</v>
      </c>
      <c r="B221" s="19">
        <v>5500</v>
      </c>
      <c r="C221" s="19">
        <v>14</v>
      </c>
      <c r="D221" s="20">
        <v>2.5</v>
      </c>
      <c r="E221" s="20">
        <f>'1-Simulation'!F221*60/(2*PI()*'1-Specification &amp; Data'!B$14)</f>
        <v>130.29457171949241</v>
      </c>
      <c r="F221" s="20">
        <f>E221*(IF('1-Simulation'!J221=1,'1-Specification &amp; Data'!H$7,IF('1-Simulation'!J221=2,'1-Specification &amp; Data'!H$8,IF('1-Simulation'!J221=3,'1-Specification &amp; Data'!H$9))))</f>
        <v>2306.7215606235332</v>
      </c>
      <c r="G221" s="20">
        <f>2*PI()*E221*'1-Simulation'!U221/(1000*60)</f>
        <v>1.5970424554944334</v>
      </c>
      <c r="H221" s="20">
        <f t="shared" si="40"/>
        <v>1.8788734770522746</v>
      </c>
      <c r="I221" s="20">
        <f t="shared" si="41"/>
        <v>39.143197438589056</v>
      </c>
      <c r="J221" s="20">
        <f>'1-Simulation'!U221/(IF('1-Simulation'!J221=1,'1-Specification &amp; Data'!H$7,IF('1-Simulation'!J221=2,'1-Specification &amp; Data'!H$8,IF('1-Simulation'!J221=3,'1-Specification &amp; Data'!H$9)))*0.8)</f>
        <v>8.2642354453971354</v>
      </c>
      <c r="K221" s="20">
        <f t="shared" si="39"/>
        <v>2.2026652720425259</v>
      </c>
      <c r="L221" s="20">
        <f t="shared" si="42"/>
        <v>2.3185950232026591</v>
      </c>
      <c r="M221" s="20">
        <f t="shared" si="43"/>
        <v>0</v>
      </c>
      <c r="N221" s="20">
        <f t="shared" si="44"/>
        <v>0.18140497679734091</v>
      </c>
      <c r="O221" s="20">
        <f t="shared" si="45"/>
        <v>0.29733472795747407</v>
      </c>
      <c r="P221" s="20">
        <f t="shared" si="46"/>
        <v>5.2347663372794733</v>
      </c>
      <c r="Q221" s="20">
        <f t="shared" si="47"/>
        <v>0</v>
      </c>
      <c r="R221" s="20">
        <f t="shared" si="48"/>
        <v>0</v>
      </c>
      <c r="S221" s="20">
        <f t="shared" si="49"/>
        <v>0.56942595370216542</v>
      </c>
      <c r="T221" s="20">
        <f t="shared" si="50"/>
        <v>47.452162808513791</v>
      </c>
    </row>
    <row r="222" spans="1:20" x14ac:dyDescent="0.25">
      <c r="A222" s="19">
        <f t="shared" si="51"/>
        <v>220</v>
      </c>
      <c r="B222" s="19">
        <v>5500</v>
      </c>
      <c r="C222" s="19">
        <v>14</v>
      </c>
      <c r="D222" s="20">
        <v>2.5</v>
      </c>
      <c r="E222" s="20">
        <f>'1-Simulation'!F222*60/(2*PI()*'1-Specification &amp; Data'!B$14)</f>
        <v>144.77174635499156</v>
      </c>
      <c r="F222" s="20">
        <f>E222*(IF('1-Simulation'!J222=1,'1-Specification &amp; Data'!H$7,IF('1-Simulation'!J222=2,'1-Specification &amp; Data'!H$8,IF('1-Simulation'!J222=3,'1-Specification &amp; Data'!H$9))))</f>
        <v>2563.0239562483698</v>
      </c>
      <c r="G222" s="20">
        <f>2*PI()*E222*'1-Simulation'!U222/(1000*60)</f>
        <v>1.7816736490877223</v>
      </c>
      <c r="H222" s="20">
        <f t="shared" si="40"/>
        <v>2.0960866459855558</v>
      </c>
      <c r="I222" s="20">
        <f t="shared" si="41"/>
        <v>43.668471791365739</v>
      </c>
      <c r="J222" s="20">
        <f>'1-Simulation'!U222/(IF('1-Simulation'!J222=1,'1-Specification &amp; Data'!H$7,IF('1-Simulation'!J222=2,'1-Specification &amp; Data'!H$8,IF('1-Simulation'!J222=3,'1-Specification &amp; Data'!H$9)))*0.8)</f>
        <v>8.2976839000351319</v>
      </c>
      <c r="K222" s="20">
        <f t="shared" si="39"/>
        <v>2.4573114255399249</v>
      </c>
      <c r="L222" s="20">
        <f t="shared" si="42"/>
        <v>2.5866436058315001</v>
      </c>
      <c r="M222" s="20">
        <f t="shared" si="43"/>
        <v>0</v>
      </c>
      <c r="N222" s="20">
        <f t="shared" si="44"/>
        <v>0</v>
      </c>
      <c r="O222" s="20">
        <f t="shared" si="45"/>
        <v>0</v>
      </c>
      <c r="P222" s="20">
        <f t="shared" si="46"/>
        <v>0</v>
      </c>
      <c r="Q222" s="20">
        <f t="shared" si="47"/>
        <v>-4.2688574460075124E-2</v>
      </c>
      <c r="R222" s="20">
        <f t="shared" si="48"/>
        <v>-0.88934530125156508</v>
      </c>
      <c r="S222" s="20">
        <f t="shared" si="49"/>
        <v>0.56943781163951546</v>
      </c>
      <c r="T222" s="20">
        <f t="shared" si="50"/>
        <v>47.453150969959623</v>
      </c>
    </row>
    <row r="223" spans="1:20" x14ac:dyDescent="0.25">
      <c r="A223" s="19">
        <f t="shared" si="51"/>
        <v>221</v>
      </c>
      <c r="B223" s="19">
        <v>5500</v>
      </c>
      <c r="C223" s="19">
        <v>14</v>
      </c>
      <c r="D223" s="20">
        <v>2.5</v>
      </c>
      <c r="E223" s="20">
        <f>'1-Simulation'!F223*60/(2*PI()*'1-Specification &amp; Data'!B$14)</f>
        <v>147.66718128209141</v>
      </c>
      <c r="F223" s="20">
        <f>E223*(IF('1-Simulation'!J223=1,'1-Specification &amp; Data'!H$7,IF('1-Simulation'!J223=2,'1-Specification &amp; Data'!H$8,IF('1-Simulation'!J223=3,'1-Specification &amp; Data'!H$9))))</f>
        <v>1857.2312342964756</v>
      </c>
      <c r="G223" s="20">
        <f>2*PI()*E223*'1-Simulation'!U223/(1000*60)</f>
        <v>0.76932546971645155</v>
      </c>
      <c r="H223" s="20">
        <f t="shared" si="40"/>
        <v>0.90508878790170777</v>
      </c>
      <c r="I223" s="20">
        <f t="shared" si="41"/>
        <v>18.85601641461891</v>
      </c>
      <c r="J223" s="20">
        <f>'1-Simulation'!U223/(IF('1-Simulation'!J223=1,'1-Specification &amp; Data'!H$7,IF('1-Simulation'!J223=2,'1-Specification &amp; Data'!H$8,IF('1-Simulation'!J223=3,'1-Specification &amp; Data'!H$9)))*0.8)</f>
        <v>4.9445358132094226</v>
      </c>
      <c r="K223" s="20">
        <f t="shared" si="39"/>
        <v>1.0610654019949681</v>
      </c>
      <c r="L223" s="20">
        <f t="shared" si="42"/>
        <v>1.1169109494683875</v>
      </c>
      <c r="M223" s="20">
        <f t="shared" si="43"/>
        <v>0</v>
      </c>
      <c r="N223" s="20">
        <f t="shared" si="44"/>
        <v>1.3830890505316125</v>
      </c>
      <c r="O223" s="20">
        <f t="shared" si="45"/>
        <v>1.4389345980050319</v>
      </c>
      <c r="P223" s="20">
        <f t="shared" si="46"/>
        <v>25.333355598680139</v>
      </c>
      <c r="Q223" s="20">
        <f t="shared" si="47"/>
        <v>0</v>
      </c>
      <c r="R223" s="20">
        <f t="shared" si="48"/>
        <v>0</v>
      </c>
      <c r="S223" s="20">
        <f t="shared" si="49"/>
        <v>0.56983751569451691</v>
      </c>
      <c r="T223" s="20">
        <f t="shared" si="50"/>
        <v>47.486459641209741</v>
      </c>
    </row>
    <row r="224" spans="1:20" x14ac:dyDescent="0.25">
      <c r="A224" s="19">
        <f t="shared" si="51"/>
        <v>222</v>
      </c>
      <c r="B224" s="19">
        <v>5500</v>
      </c>
      <c r="C224" s="19">
        <v>14</v>
      </c>
      <c r="D224" s="20">
        <v>2.5</v>
      </c>
      <c r="E224" s="20">
        <f>'1-Simulation'!F224*60/(2*PI()*'1-Specification &amp; Data'!B$14)</f>
        <v>180.96468294373943</v>
      </c>
      <c r="F224" s="20">
        <f>E224*(IF('1-Simulation'!J224=1,'1-Specification &amp; Data'!H$7,IF('1-Simulation'!J224=2,'1-Specification &amp; Data'!H$8,IF('1-Simulation'!J224=3,'1-Specification &amp; Data'!H$9))))</f>
        <v>2276.0186694809745</v>
      </c>
      <c r="G224" s="20">
        <f>2*PI()*E224*'1-Simulation'!U224/(1000*60)</f>
        <v>4.2953789327999976</v>
      </c>
      <c r="H224" s="20">
        <f t="shared" si="40"/>
        <v>5.0533869797647029</v>
      </c>
      <c r="I224" s="20">
        <f t="shared" si="41"/>
        <v>105.27889541176465</v>
      </c>
      <c r="J224" s="20">
        <f>'1-Simulation'!U224/(IF('1-Simulation'!J224=1,'1-Specification &amp; Data'!H$7,IF('1-Simulation'!J224=2,'1-Specification &amp; Data'!H$8,IF('1-Simulation'!J224=3,'1-Specification &amp; Data'!H$9)))*0.8)</f>
        <v>22.527191849566599</v>
      </c>
      <c r="K224" s="20">
        <f t="shared" si="39"/>
        <v>5.9242520278601445</v>
      </c>
      <c r="L224" s="20">
        <f t="shared" si="42"/>
        <v>6.2360547661685732</v>
      </c>
      <c r="M224" s="20">
        <f t="shared" si="43"/>
        <v>0</v>
      </c>
      <c r="N224" s="20">
        <f t="shared" si="44"/>
        <v>0</v>
      </c>
      <c r="O224" s="20">
        <f t="shared" si="45"/>
        <v>0</v>
      </c>
      <c r="P224" s="20">
        <f t="shared" si="46"/>
        <v>0</v>
      </c>
      <c r="Q224" s="20">
        <f t="shared" si="47"/>
        <v>3.4242520278601445</v>
      </c>
      <c r="R224" s="20">
        <f t="shared" si="48"/>
        <v>71.338583913753013</v>
      </c>
      <c r="S224" s="20">
        <f t="shared" si="49"/>
        <v>0.56888633457566684</v>
      </c>
      <c r="T224" s="20">
        <f t="shared" si="50"/>
        <v>47.407194547972239</v>
      </c>
    </row>
    <row r="225" spans="1:20" x14ac:dyDescent="0.25">
      <c r="A225" s="19">
        <f t="shared" si="51"/>
        <v>223</v>
      </c>
      <c r="B225" s="19">
        <v>5500</v>
      </c>
      <c r="C225" s="19">
        <v>14</v>
      </c>
      <c r="D225" s="20">
        <v>2.5</v>
      </c>
      <c r="E225" s="20">
        <f>'1-Simulation'!F225*60/(2*PI()*'1-Specification &amp; Data'!B$14)</f>
        <v>217.15761953248733</v>
      </c>
      <c r="F225" s="20">
        <f>E225*(IF('1-Simulation'!J225=1,'1-Specification &amp; Data'!H$7,IF('1-Simulation'!J225=2,'1-Specification &amp; Data'!H$8,IF('1-Simulation'!J225=3,'1-Specification &amp; Data'!H$9))))</f>
        <v>2731.2224033771695</v>
      </c>
      <c r="G225" s="20">
        <f>2*PI()*E225*'1-Simulation'!U225/(1000*60)</f>
        <v>5.5737685740728082</v>
      </c>
      <c r="H225" s="20">
        <f t="shared" si="40"/>
        <v>6.5573747930268338</v>
      </c>
      <c r="I225" s="20">
        <f t="shared" si="41"/>
        <v>136.6119748547257</v>
      </c>
      <c r="J225" s="20">
        <f>'1-Simulation'!U225/(IF('1-Simulation'!J225=1,'1-Specification &amp; Data'!H$7,IF('1-Simulation'!J225=2,'1-Specification &amp; Data'!H$8,IF('1-Simulation'!J225=3,'1-Specification &amp; Data'!H$9)))*0.8)</f>
        <v>24.359774375671254</v>
      </c>
      <c r="K225" s="20">
        <f t="shared" si="39"/>
        <v>7.6874264865496293</v>
      </c>
      <c r="L225" s="20">
        <f t="shared" si="42"/>
        <v>8.0920278805785575</v>
      </c>
      <c r="M225" s="20">
        <f t="shared" si="43"/>
        <v>0</v>
      </c>
      <c r="N225" s="20">
        <f t="shared" si="44"/>
        <v>0</v>
      </c>
      <c r="O225" s="20">
        <f t="shared" si="45"/>
        <v>0</v>
      </c>
      <c r="P225" s="20">
        <f t="shared" si="46"/>
        <v>0</v>
      </c>
      <c r="Q225" s="20">
        <f t="shared" si="47"/>
        <v>5.1874264865496293</v>
      </c>
      <c r="R225" s="20">
        <f t="shared" si="48"/>
        <v>108.07138513645062</v>
      </c>
      <c r="S225" s="20">
        <f t="shared" si="49"/>
        <v>0.56744538277384748</v>
      </c>
      <c r="T225" s="20">
        <f t="shared" si="50"/>
        <v>47.287115231153962</v>
      </c>
    </row>
    <row r="226" spans="1:20" x14ac:dyDescent="0.25">
      <c r="A226" s="19">
        <f t="shared" si="51"/>
        <v>224</v>
      </c>
      <c r="B226" s="19">
        <v>5500</v>
      </c>
      <c r="C226" s="19">
        <v>14</v>
      </c>
      <c r="D226" s="20">
        <v>2.5</v>
      </c>
      <c r="E226" s="20">
        <f>'1-Simulation'!F226*60/(2*PI()*'1-Specification &amp; Data'!B$14)</f>
        <v>253.35055612123523</v>
      </c>
      <c r="F226" s="20">
        <f>E226*(IF('1-Simulation'!J226=1,'1-Specification &amp; Data'!H$7,IF('1-Simulation'!J226=2,'1-Specification &amp; Data'!H$8,IF('1-Simulation'!J226=3,'1-Specification &amp; Data'!H$9))))</f>
        <v>3186.4261372733645</v>
      </c>
      <c r="G226" s="20">
        <f>2*PI()*E226*'1-Simulation'!U226/(1000*60)</f>
        <v>6.5564771165983995</v>
      </c>
      <c r="H226" s="20">
        <f t="shared" si="40"/>
        <v>7.7135024901157641</v>
      </c>
      <c r="I226" s="20">
        <f t="shared" si="41"/>
        <v>160.69796854407841</v>
      </c>
      <c r="J226" s="20">
        <f>'1-Simulation'!U226/(IF('1-Simulation'!J226=1,'1-Specification &amp; Data'!H$7,IF('1-Simulation'!J226=2,'1-Specification &amp; Data'!H$8,IF('1-Simulation'!J226=3,'1-Specification &amp; Data'!H$9)))*0.8)</f>
        <v>24.561115590501061</v>
      </c>
      <c r="K226" s="20">
        <f t="shared" si="39"/>
        <v>9.042793071648024</v>
      </c>
      <c r="L226" s="20">
        <f t="shared" si="42"/>
        <v>9.5187295491031829</v>
      </c>
      <c r="M226" s="20">
        <f t="shared" si="43"/>
        <v>0</v>
      </c>
      <c r="N226" s="20">
        <f t="shared" si="44"/>
        <v>0</v>
      </c>
      <c r="O226" s="20">
        <f t="shared" si="45"/>
        <v>0</v>
      </c>
      <c r="P226" s="20">
        <f t="shared" si="46"/>
        <v>0</v>
      </c>
      <c r="Q226" s="20">
        <f t="shared" si="47"/>
        <v>6.542793071648024</v>
      </c>
      <c r="R226" s="20">
        <f t="shared" si="48"/>
        <v>136.30818899266717</v>
      </c>
      <c r="S226" s="20">
        <f t="shared" si="49"/>
        <v>0.56562794025394525</v>
      </c>
      <c r="T226" s="20">
        <f t="shared" si="50"/>
        <v>47.135661687828772</v>
      </c>
    </row>
    <row r="227" spans="1:20" x14ac:dyDescent="0.25">
      <c r="A227" s="19">
        <f t="shared" si="51"/>
        <v>225</v>
      </c>
      <c r="B227" s="19">
        <v>5500</v>
      </c>
      <c r="C227" s="19">
        <v>14</v>
      </c>
      <c r="D227" s="20">
        <v>2.5</v>
      </c>
      <c r="E227" s="20">
        <f>'1-Simulation'!F227*60/(2*PI()*'1-Specification &amp; Data'!B$14)</f>
        <v>289.54349270998313</v>
      </c>
      <c r="F227" s="20">
        <f>E227*(IF('1-Simulation'!J227=1,'1-Specification &amp; Data'!H$7,IF('1-Simulation'!J227=2,'1-Specification &amp; Data'!H$8,IF('1-Simulation'!J227=3,'1-Specification &amp; Data'!H$9))))</f>
        <v>3641.6298711695595</v>
      </c>
      <c r="G227" s="20">
        <f>2*PI()*E227*'1-Simulation'!U227/(1000*60)</f>
        <v>7.5639920192071282</v>
      </c>
      <c r="H227" s="20">
        <f t="shared" si="40"/>
        <v>8.8988141402436796</v>
      </c>
      <c r="I227" s="20">
        <f t="shared" si="41"/>
        <v>185.39196125507667</v>
      </c>
      <c r="J227" s="20">
        <f>'1-Simulation'!U227/(IF('1-Simulation'!J227=1,'1-Specification &amp; Data'!H$7,IF('1-Simulation'!J227=2,'1-Specification &amp; Data'!H$8,IF('1-Simulation'!J227=3,'1-Specification &amp; Data'!H$9)))*0.8)</f>
        <v>24.793432376843167</v>
      </c>
      <c r="K227" s="20">
        <f t="shared" si="39"/>
        <v>10.432372966288019</v>
      </c>
      <c r="L227" s="20">
        <f t="shared" si="42"/>
        <v>10.9814452276716</v>
      </c>
      <c r="M227" s="20">
        <f t="shared" si="43"/>
        <v>0</v>
      </c>
      <c r="N227" s="20">
        <f t="shared" si="44"/>
        <v>0</v>
      </c>
      <c r="O227" s="20">
        <f t="shared" si="45"/>
        <v>0</v>
      </c>
      <c r="P227" s="20">
        <f t="shared" si="46"/>
        <v>0</v>
      </c>
      <c r="Q227" s="20">
        <f t="shared" si="47"/>
        <v>7.9323729662880194</v>
      </c>
      <c r="R227" s="20">
        <f t="shared" si="48"/>
        <v>165.2577701310004</v>
      </c>
      <c r="S227" s="20">
        <f t="shared" si="49"/>
        <v>0.56342450331886529</v>
      </c>
      <c r="T227" s="20">
        <f t="shared" si="50"/>
        <v>46.952041943238775</v>
      </c>
    </row>
    <row r="228" spans="1:20" x14ac:dyDescent="0.25">
      <c r="A228" s="19">
        <f t="shared" si="51"/>
        <v>226</v>
      </c>
      <c r="B228" s="19">
        <v>5500</v>
      </c>
      <c r="C228" s="19">
        <v>14</v>
      </c>
      <c r="D228" s="20">
        <v>2.5</v>
      </c>
      <c r="E228" s="20">
        <f>'1-Simulation'!F228*60/(2*PI()*'1-Specification &amp; Data'!B$14)</f>
        <v>292.43892763708294</v>
      </c>
      <c r="F228" s="20">
        <f>E228*(IF('1-Simulation'!J228=1,'1-Specification &amp; Data'!H$7,IF('1-Simulation'!J228=2,'1-Specification &amp; Data'!H$8,IF('1-Simulation'!J228=3,'1-Specification &amp; Data'!H$9))))</f>
        <v>2426.8633085726751</v>
      </c>
      <c r="G228" s="20">
        <f>2*PI()*E228*'1-Simulation'!U228/(1000*60)</f>
        <v>1.7522632636118631</v>
      </c>
      <c r="H228" s="20">
        <f t="shared" si="40"/>
        <v>2.0614861924845451</v>
      </c>
      <c r="I228" s="20">
        <f t="shared" si="41"/>
        <v>42.947629010094687</v>
      </c>
      <c r="J228" s="20">
        <f>'1-Simulation'!U228/(IF('1-Simulation'!J228=1,'1-Specification &amp; Data'!H$7,IF('1-Simulation'!J228=2,'1-Specification &amp; Data'!H$8,IF('1-Simulation'!J228=3,'1-Specification &amp; Data'!H$9)))*0.8)</f>
        <v>8.6185744068395298</v>
      </c>
      <c r="K228" s="20">
        <f t="shared" si="39"/>
        <v>2.4167481740733239</v>
      </c>
      <c r="L228" s="20">
        <f t="shared" si="42"/>
        <v>2.5439454463929727</v>
      </c>
      <c r="M228" s="20">
        <f t="shared" si="43"/>
        <v>0</v>
      </c>
      <c r="N228" s="20">
        <f t="shared" si="44"/>
        <v>0</v>
      </c>
      <c r="O228" s="20">
        <f t="shared" si="45"/>
        <v>0</v>
      </c>
      <c r="P228" s="20">
        <f t="shared" si="46"/>
        <v>0</v>
      </c>
      <c r="Q228" s="20">
        <f t="shared" si="47"/>
        <v>-8.3251825926676126E-2</v>
      </c>
      <c r="R228" s="20">
        <f t="shared" si="48"/>
        <v>-1.734413040139086</v>
      </c>
      <c r="S228" s="20">
        <f t="shared" si="49"/>
        <v>0.56344762882606714</v>
      </c>
      <c r="T228" s="20">
        <f t="shared" si="50"/>
        <v>46.95396906883893</v>
      </c>
    </row>
    <row r="229" spans="1:20" x14ac:dyDescent="0.25">
      <c r="A229" s="19">
        <f t="shared" si="51"/>
        <v>227</v>
      </c>
      <c r="B229" s="19">
        <v>5500</v>
      </c>
      <c r="C229" s="19">
        <v>14</v>
      </c>
      <c r="D229" s="20">
        <v>2.5</v>
      </c>
      <c r="E229" s="20">
        <f>'1-Simulation'!F229*60/(2*PI()*'1-Specification &amp; Data'!B$14)</f>
        <v>304.02066734548231</v>
      </c>
      <c r="F229" s="20">
        <f>E229*(IF('1-Simulation'!J229=1,'1-Specification &amp; Data'!H$7,IF('1-Simulation'!J229=2,'1-Specification &amp; Data'!H$8,IF('1-Simulation'!J229=3,'1-Specification &amp; Data'!H$9))))</f>
        <v>2522.9767069319892</v>
      </c>
      <c r="G229" s="20">
        <f>2*PI()*E229*'1-Simulation'!U229/(1000*60)</f>
        <v>3.4345343422314327</v>
      </c>
      <c r="H229" s="20">
        <f t="shared" si="40"/>
        <v>4.0406286379193324</v>
      </c>
      <c r="I229" s="20">
        <f t="shared" si="41"/>
        <v>84.179763289986099</v>
      </c>
      <c r="J229" s="20">
        <f>'1-Simulation'!U229/(IF('1-Simulation'!J229=1,'1-Specification &amp; Data'!H$7,IF('1-Simulation'!J229=2,'1-Specification &amp; Data'!H$8,IF('1-Simulation'!J229=3,'1-Specification &amp; Data'!H$9)))*0.8)</f>
        <v>16.249350904126448</v>
      </c>
      <c r="K229" s="20">
        <f t="shared" si="39"/>
        <v>4.7369620608667438</v>
      </c>
      <c r="L229" s="20">
        <f t="shared" si="42"/>
        <v>4.9862758535439413</v>
      </c>
      <c r="M229" s="20">
        <f t="shared" si="43"/>
        <v>0</v>
      </c>
      <c r="N229" s="20">
        <f t="shared" si="44"/>
        <v>0</v>
      </c>
      <c r="O229" s="20">
        <f t="shared" si="45"/>
        <v>0</v>
      </c>
      <c r="P229" s="20">
        <f t="shared" si="46"/>
        <v>0</v>
      </c>
      <c r="Q229" s="20">
        <f t="shared" si="47"/>
        <v>2.2369620608667438</v>
      </c>
      <c r="R229" s="20">
        <f t="shared" si="48"/>
        <v>46.603376268057161</v>
      </c>
      <c r="S229" s="20">
        <f t="shared" si="49"/>
        <v>0.56282625047582635</v>
      </c>
      <c r="T229" s="20">
        <f t="shared" si="50"/>
        <v>46.902187539652196</v>
      </c>
    </row>
    <row r="230" spans="1:20" x14ac:dyDescent="0.25">
      <c r="A230" s="19">
        <f t="shared" si="51"/>
        <v>228</v>
      </c>
      <c r="B230" s="19">
        <v>5500</v>
      </c>
      <c r="C230" s="19">
        <v>14</v>
      </c>
      <c r="D230" s="20">
        <v>2.5</v>
      </c>
      <c r="E230" s="20">
        <f>'1-Simulation'!F230*60/(2*PI()*'1-Specification &amp; Data'!B$14)</f>
        <v>304.02066734548231</v>
      </c>
      <c r="F230" s="20">
        <f>E230*(IF('1-Simulation'!J230=1,'1-Specification &amp; Data'!H$7,IF('1-Simulation'!J230=2,'1-Specification &amp; Data'!H$8,IF('1-Simulation'!J230=3,'1-Specification &amp; Data'!H$9))))</f>
        <v>2522.9767069319892</v>
      </c>
      <c r="G230" s="20">
        <f>2*PI()*E230*'1-Simulation'!U230/(1000*60)</f>
        <v>7.742494617676642</v>
      </c>
      <c r="H230" s="20">
        <f t="shared" si="40"/>
        <v>9.1088171972666387</v>
      </c>
      <c r="I230" s="20">
        <f t="shared" si="41"/>
        <v>189.76702494305496</v>
      </c>
      <c r="J230" s="20">
        <f>'1-Simulation'!U230/(IF('1-Simulation'!J230=1,'1-Specification &amp; Data'!H$7,IF('1-Simulation'!J230=2,'1-Specification &amp; Data'!H$8,IF('1-Simulation'!J230=3,'1-Specification &amp; Data'!H$9)))*0.8)</f>
        <v>36.631024581398833</v>
      </c>
      <c r="K230" s="20">
        <f t="shared" si="39"/>
        <v>10.678566468073434</v>
      </c>
      <c r="L230" s="20">
        <f t="shared" si="42"/>
        <v>11.240596282182564</v>
      </c>
      <c r="M230" s="20">
        <f t="shared" si="43"/>
        <v>0</v>
      </c>
      <c r="N230" s="20">
        <f t="shared" si="44"/>
        <v>0</v>
      </c>
      <c r="O230" s="20">
        <f t="shared" si="45"/>
        <v>0</v>
      </c>
      <c r="P230" s="20">
        <f t="shared" si="46"/>
        <v>0</v>
      </c>
      <c r="Q230" s="20">
        <f t="shared" si="47"/>
        <v>8.1785664680734342</v>
      </c>
      <c r="R230" s="20">
        <f t="shared" si="48"/>
        <v>170.38680141819654</v>
      </c>
      <c r="S230" s="20">
        <f t="shared" si="49"/>
        <v>0.56055442645691711</v>
      </c>
      <c r="T230" s="20">
        <f t="shared" si="50"/>
        <v>46.712868871409761</v>
      </c>
    </row>
    <row r="231" spans="1:20" x14ac:dyDescent="0.25">
      <c r="A231" s="19">
        <f t="shared" si="51"/>
        <v>229</v>
      </c>
      <c r="B231" s="19">
        <v>5500</v>
      </c>
      <c r="C231" s="19">
        <v>14</v>
      </c>
      <c r="D231" s="20">
        <v>2.5</v>
      </c>
      <c r="E231" s="20">
        <f>'1-Simulation'!F231*60/(2*PI()*'1-Specification &amp; Data'!B$14)</f>
        <v>304.02066734548231</v>
      </c>
      <c r="F231" s="20">
        <f>E231*(IF('1-Simulation'!J231=1,'1-Specification &amp; Data'!H$7,IF('1-Simulation'!J231=2,'1-Specification &amp; Data'!H$8,IF('1-Simulation'!J231=3,'1-Specification &amp; Data'!H$9))))</f>
        <v>2522.9767069319892</v>
      </c>
      <c r="G231" s="20">
        <f>2*PI()*E231*'1-Simulation'!U231/(1000*60)</f>
        <v>7.742494617676642</v>
      </c>
      <c r="H231" s="20">
        <f t="shared" si="40"/>
        <v>9.1088171972666387</v>
      </c>
      <c r="I231" s="20">
        <f t="shared" si="41"/>
        <v>189.76702494305496</v>
      </c>
      <c r="J231" s="20">
        <f>'1-Simulation'!U231/(IF('1-Simulation'!J231=1,'1-Specification &amp; Data'!H$7,IF('1-Simulation'!J231=2,'1-Specification &amp; Data'!H$8,IF('1-Simulation'!J231=3,'1-Specification &amp; Data'!H$9)))*0.8)</f>
        <v>36.631024581398833</v>
      </c>
      <c r="K231" s="20">
        <f t="shared" si="39"/>
        <v>10.678566468073434</v>
      </c>
      <c r="L231" s="20">
        <f t="shared" si="42"/>
        <v>11.240596282182564</v>
      </c>
      <c r="M231" s="20">
        <f t="shared" si="43"/>
        <v>0</v>
      </c>
      <c r="N231" s="20">
        <f t="shared" si="44"/>
        <v>0</v>
      </c>
      <c r="O231" s="20">
        <f t="shared" si="45"/>
        <v>0</v>
      </c>
      <c r="P231" s="20">
        <f t="shared" si="46"/>
        <v>0</v>
      </c>
      <c r="Q231" s="20">
        <f t="shared" si="47"/>
        <v>8.1785664680734342</v>
      </c>
      <c r="R231" s="20">
        <f t="shared" si="48"/>
        <v>170.38680141819654</v>
      </c>
      <c r="S231" s="20">
        <f t="shared" si="49"/>
        <v>0.55828260243800787</v>
      </c>
      <c r="T231" s="20">
        <f t="shared" si="50"/>
        <v>46.523550203167325</v>
      </c>
    </row>
    <row r="232" spans="1:20" x14ac:dyDescent="0.25">
      <c r="A232" s="19">
        <f t="shared" si="51"/>
        <v>230</v>
      </c>
      <c r="B232" s="19">
        <v>5500</v>
      </c>
      <c r="C232" s="19">
        <v>14</v>
      </c>
      <c r="D232" s="20">
        <v>2.5</v>
      </c>
      <c r="E232" s="20">
        <f>'1-Simulation'!F232*60/(2*PI()*'1-Specification &amp; Data'!B$14)</f>
        <v>304.02066734548231</v>
      </c>
      <c r="F232" s="20">
        <f>E232*(IF('1-Simulation'!J232=1,'1-Specification &amp; Data'!H$7,IF('1-Simulation'!J232=2,'1-Specification &amp; Data'!H$8,IF('1-Simulation'!J232=3,'1-Specification &amp; Data'!H$9))))</f>
        <v>2522.9767069319892</v>
      </c>
      <c r="G232" s="20">
        <f>2*PI()*E232*'1-Simulation'!U232/(1000*60)</f>
        <v>7.742494617676642</v>
      </c>
      <c r="H232" s="20">
        <f t="shared" si="40"/>
        <v>9.1088171972666387</v>
      </c>
      <c r="I232" s="20">
        <f t="shared" si="41"/>
        <v>189.76702494305496</v>
      </c>
      <c r="J232" s="20">
        <f>'1-Simulation'!U232/(IF('1-Simulation'!J232=1,'1-Specification &amp; Data'!H$7,IF('1-Simulation'!J232=2,'1-Specification &amp; Data'!H$8,IF('1-Simulation'!J232=3,'1-Specification &amp; Data'!H$9)))*0.8)</f>
        <v>36.631024581398833</v>
      </c>
      <c r="K232" s="20">
        <f t="shared" si="39"/>
        <v>10.678566468073434</v>
      </c>
      <c r="L232" s="20">
        <f t="shared" si="42"/>
        <v>11.240596282182564</v>
      </c>
      <c r="M232" s="20">
        <f t="shared" si="43"/>
        <v>0</v>
      </c>
      <c r="N232" s="20">
        <f t="shared" si="44"/>
        <v>0</v>
      </c>
      <c r="O232" s="20">
        <f t="shared" si="45"/>
        <v>0</v>
      </c>
      <c r="P232" s="20">
        <f t="shared" si="46"/>
        <v>0</v>
      </c>
      <c r="Q232" s="20">
        <f t="shared" si="47"/>
        <v>8.1785664680734342</v>
      </c>
      <c r="R232" s="20">
        <f t="shared" si="48"/>
        <v>170.38680141819654</v>
      </c>
      <c r="S232" s="20">
        <f t="shared" si="49"/>
        <v>0.55601077841909863</v>
      </c>
      <c r="T232" s="20">
        <f t="shared" si="50"/>
        <v>46.334231534924889</v>
      </c>
    </row>
    <row r="233" spans="1:20" x14ac:dyDescent="0.25">
      <c r="A233" s="19">
        <f t="shared" si="51"/>
        <v>231</v>
      </c>
      <c r="B233" s="19">
        <v>5500</v>
      </c>
      <c r="C233" s="19">
        <v>14</v>
      </c>
      <c r="D233" s="20">
        <v>2.5</v>
      </c>
      <c r="E233" s="20">
        <f>'1-Simulation'!F233*60/(2*PI()*'1-Specification &amp; Data'!B$14)</f>
        <v>304.02066734548231</v>
      </c>
      <c r="F233" s="20">
        <f>E233*(IF('1-Simulation'!J233=1,'1-Specification &amp; Data'!H$7,IF('1-Simulation'!J233=2,'1-Specification &amp; Data'!H$8,IF('1-Simulation'!J233=3,'1-Specification &amp; Data'!H$9))))</f>
        <v>2522.9767069319892</v>
      </c>
      <c r="G233" s="20">
        <f>2*PI()*E233*'1-Simulation'!U233/(1000*60)</f>
        <v>7.742494617676642</v>
      </c>
      <c r="H233" s="20">
        <f t="shared" si="40"/>
        <v>9.1088171972666387</v>
      </c>
      <c r="I233" s="20">
        <f t="shared" si="41"/>
        <v>189.76702494305496</v>
      </c>
      <c r="J233" s="20">
        <f>'1-Simulation'!U233/(IF('1-Simulation'!J233=1,'1-Specification &amp; Data'!H$7,IF('1-Simulation'!J233=2,'1-Specification &amp; Data'!H$8,IF('1-Simulation'!J233=3,'1-Specification &amp; Data'!H$9)))*0.8)</f>
        <v>36.631024581398833</v>
      </c>
      <c r="K233" s="20">
        <f t="shared" si="39"/>
        <v>10.678566468073434</v>
      </c>
      <c r="L233" s="20">
        <f t="shared" si="42"/>
        <v>11.240596282182564</v>
      </c>
      <c r="M233" s="20">
        <f t="shared" si="43"/>
        <v>0</v>
      </c>
      <c r="N233" s="20">
        <f t="shared" si="44"/>
        <v>0</v>
      </c>
      <c r="O233" s="20">
        <f t="shared" si="45"/>
        <v>0</v>
      </c>
      <c r="P233" s="20">
        <f t="shared" si="46"/>
        <v>0</v>
      </c>
      <c r="Q233" s="20">
        <f t="shared" si="47"/>
        <v>8.1785664680734342</v>
      </c>
      <c r="R233" s="20">
        <f t="shared" si="48"/>
        <v>170.38680141819654</v>
      </c>
      <c r="S233" s="20">
        <f t="shared" si="49"/>
        <v>0.55373895440018939</v>
      </c>
      <c r="T233" s="20">
        <f t="shared" si="50"/>
        <v>46.144912866682454</v>
      </c>
    </row>
    <row r="234" spans="1:20" x14ac:dyDescent="0.25">
      <c r="A234" s="19">
        <f t="shared" si="51"/>
        <v>232</v>
      </c>
      <c r="B234" s="19">
        <v>5500</v>
      </c>
      <c r="C234" s="19">
        <v>14</v>
      </c>
      <c r="D234" s="20">
        <v>2.5</v>
      </c>
      <c r="E234" s="20">
        <f>'1-Simulation'!F234*60/(2*PI()*'1-Specification &amp; Data'!B$14)</f>
        <v>304.02066734548231</v>
      </c>
      <c r="F234" s="20">
        <f>E234*(IF('1-Simulation'!J234=1,'1-Specification &amp; Data'!H$7,IF('1-Simulation'!J234=2,'1-Specification &amp; Data'!H$8,IF('1-Simulation'!J234=3,'1-Specification &amp; Data'!H$9))))</f>
        <v>2522.9767069319892</v>
      </c>
      <c r="G234" s="20">
        <f>2*PI()*E234*'1-Simulation'!U234/(1000*60)</f>
        <v>7.742494617676642</v>
      </c>
      <c r="H234" s="20">
        <f t="shared" si="40"/>
        <v>9.1088171972666387</v>
      </c>
      <c r="I234" s="20">
        <f t="shared" si="41"/>
        <v>189.76702494305496</v>
      </c>
      <c r="J234" s="20">
        <f>'1-Simulation'!U234/(IF('1-Simulation'!J234=1,'1-Specification &amp; Data'!H$7,IF('1-Simulation'!J234=2,'1-Specification &amp; Data'!H$8,IF('1-Simulation'!J234=3,'1-Specification &amp; Data'!H$9)))*0.8)</f>
        <v>36.631024581398833</v>
      </c>
      <c r="K234" s="20">
        <f t="shared" si="39"/>
        <v>10.678566468073434</v>
      </c>
      <c r="L234" s="20">
        <f t="shared" si="42"/>
        <v>11.240596282182564</v>
      </c>
      <c r="M234" s="20">
        <f t="shared" si="43"/>
        <v>0</v>
      </c>
      <c r="N234" s="20">
        <f t="shared" si="44"/>
        <v>0</v>
      </c>
      <c r="O234" s="20">
        <f t="shared" si="45"/>
        <v>0</v>
      </c>
      <c r="P234" s="20">
        <f t="shared" si="46"/>
        <v>0</v>
      </c>
      <c r="Q234" s="20">
        <f t="shared" si="47"/>
        <v>8.1785664680734342</v>
      </c>
      <c r="R234" s="20">
        <f t="shared" si="48"/>
        <v>170.38680141819654</v>
      </c>
      <c r="S234" s="20">
        <f t="shared" si="49"/>
        <v>0.55146713038128015</v>
      </c>
      <c r="T234" s="20">
        <f t="shared" si="50"/>
        <v>45.955594198440011</v>
      </c>
    </row>
    <row r="235" spans="1:20" x14ac:dyDescent="0.25">
      <c r="A235" s="19">
        <f t="shared" si="51"/>
        <v>233</v>
      </c>
      <c r="B235" s="19">
        <v>5500</v>
      </c>
      <c r="C235" s="19">
        <v>14</v>
      </c>
      <c r="D235" s="20">
        <v>2.5</v>
      </c>
      <c r="E235" s="20">
        <f>'1-Simulation'!F235*60/(2*PI()*'1-Specification &amp; Data'!B$14)</f>
        <v>311.2592546632319</v>
      </c>
      <c r="F235" s="20">
        <f>E235*(IF('1-Simulation'!J235=1,'1-Specification &amp; Data'!H$7,IF('1-Simulation'!J235=2,'1-Specification &amp; Data'!H$8,IF('1-Simulation'!J235=3,'1-Specification &amp; Data'!H$9))))</f>
        <v>2583.0475809065606</v>
      </c>
      <c r="G235" s="20">
        <f>2*PI()*E235*'1-Simulation'!U235/(1000*60)</f>
        <v>2.7213341325717342</v>
      </c>
      <c r="H235" s="20">
        <f t="shared" si="40"/>
        <v>3.2015695677314522</v>
      </c>
      <c r="I235" s="20">
        <f t="shared" si="41"/>
        <v>66.699365994405255</v>
      </c>
      <c r="J235" s="20">
        <f>'1-Simulation'!U235/(IF('1-Simulation'!J235=1,'1-Specification &amp; Data'!H$7,IF('1-Simulation'!J235=2,'1-Specification &amp; Data'!H$8,IF('1-Simulation'!J235=3,'1-Specification &amp; Data'!H$9)))*0.8)</f>
        <v>12.575662045629413</v>
      </c>
      <c r="K235" s="20">
        <f t="shared" si="39"/>
        <v>3.7533054721353483</v>
      </c>
      <c r="L235" s="20">
        <f t="shared" si="42"/>
        <v>3.9508478654056298</v>
      </c>
      <c r="M235" s="20">
        <f t="shared" si="43"/>
        <v>0</v>
      </c>
      <c r="N235" s="20">
        <f t="shared" si="44"/>
        <v>0</v>
      </c>
      <c r="O235" s="20">
        <f t="shared" si="45"/>
        <v>0</v>
      </c>
      <c r="P235" s="20">
        <f t="shared" si="46"/>
        <v>0</v>
      </c>
      <c r="Q235" s="20">
        <f t="shared" si="47"/>
        <v>1.2533054721353483</v>
      </c>
      <c r="R235" s="20">
        <f t="shared" si="48"/>
        <v>26.110530669486423</v>
      </c>
      <c r="S235" s="20">
        <f t="shared" si="49"/>
        <v>0.55111898997235365</v>
      </c>
      <c r="T235" s="20">
        <f t="shared" si="50"/>
        <v>45.926582497696138</v>
      </c>
    </row>
    <row r="236" spans="1:20" x14ac:dyDescent="0.25">
      <c r="A236" s="19">
        <f t="shared" si="51"/>
        <v>234</v>
      </c>
      <c r="B236" s="19">
        <v>5500</v>
      </c>
      <c r="C236" s="19">
        <v>14</v>
      </c>
      <c r="D236" s="20">
        <v>2.5</v>
      </c>
      <c r="E236" s="20">
        <f>'1-Simulation'!F236*60/(2*PI()*'1-Specification &amp; Data'!B$14)</f>
        <v>318.49784198098149</v>
      </c>
      <c r="F236" s="20">
        <f>E236*(IF('1-Simulation'!J236=1,'1-Specification &amp; Data'!H$7,IF('1-Simulation'!J236=2,'1-Specification &amp; Data'!H$8,IF('1-Simulation'!J236=3,'1-Specification &amp; Data'!H$9))))</f>
        <v>2643.118454881132</v>
      </c>
      <c r="G236" s="20">
        <f>2*PI()*E236*'1-Simulation'!U236/(1000*60)</f>
        <v>2.8027083531304515</v>
      </c>
      <c r="H236" s="20">
        <f t="shared" si="40"/>
        <v>3.2973039448593546</v>
      </c>
      <c r="I236" s="20">
        <f t="shared" si="41"/>
        <v>68.693832184569885</v>
      </c>
      <c r="J236" s="20">
        <f>'1-Simulation'!U236/(IF('1-Simulation'!J236=1,'1-Specification &amp; Data'!H$7,IF('1-Simulation'!J236=2,'1-Specification &amp; Data'!H$8,IF('1-Simulation'!J236=3,'1-Specification &amp; Data'!H$9)))*0.8)</f>
        <v>12.657346692745485</v>
      </c>
      <c r="K236" s="20">
        <f t="shared" si="39"/>
        <v>3.8655380361774383</v>
      </c>
      <c r="L236" s="20">
        <f t="shared" si="42"/>
        <v>4.0689874065025666</v>
      </c>
      <c r="M236" s="20">
        <f t="shared" si="43"/>
        <v>0</v>
      </c>
      <c r="N236" s="20">
        <f t="shared" si="44"/>
        <v>0</v>
      </c>
      <c r="O236" s="20">
        <f t="shared" si="45"/>
        <v>0</v>
      </c>
      <c r="P236" s="20">
        <f t="shared" si="46"/>
        <v>0</v>
      </c>
      <c r="Q236" s="20">
        <f t="shared" si="47"/>
        <v>1.3655380361774383</v>
      </c>
      <c r="R236" s="20">
        <f t="shared" si="48"/>
        <v>28.448709087029965</v>
      </c>
      <c r="S236" s="20">
        <f t="shared" si="49"/>
        <v>0.55073967385119327</v>
      </c>
      <c r="T236" s="20">
        <f t="shared" si="50"/>
        <v>45.894972820932772</v>
      </c>
    </row>
    <row r="237" spans="1:20" x14ac:dyDescent="0.25">
      <c r="A237" s="19">
        <f t="shared" si="51"/>
        <v>235</v>
      </c>
      <c r="B237" s="19">
        <v>5500</v>
      </c>
      <c r="C237" s="19">
        <v>14</v>
      </c>
      <c r="D237" s="20">
        <v>2.5</v>
      </c>
      <c r="E237" s="20">
        <f>'1-Simulation'!F237*60/(2*PI()*'1-Specification &amp; Data'!B$14)</f>
        <v>296.78208002773277</v>
      </c>
      <c r="F237" s="20">
        <f>E237*(IF('1-Simulation'!J237=1,'1-Specification &amp; Data'!H$7,IF('1-Simulation'!J237=2,'1-Specification &amp; Data'!H$8,IF('1-Simulation'!J237=3,'1-Specification &amp; Data'!H$9))))</f>
        <v>2462.9058329574186</v>
      </c>
      <c r="G237" s="20">
        <f>2*PI()*E237*'1-Simulation'!U237/(1000*60)</f>
        <v>-2.6008918999265123</v>
      </c>
      <c r="H237" s="20">
        <f t="shared" si="40"/>
        <v>0</v>
      </c>
      <c r="I237" s="20">
        <f t="shared" si="41"/>
        <v>0</v>
      </c>
      <c r="J237" s="20">
        <f>'1-Simulation'!U237/(IF('1-Simulation'!J237=1,'1-Specification &amp; Data'!H$7,IF('1-Simulation'!J237=2,'1-Specification &amp; Data'!H$8,IF('1-Simulation'!J237=3,'1-Specification &amp; Data'!H$9)))*0.8)</f>
        <v>-12.605378475552104</v>
      </c>
      <c r="K237" s="20">
        <f t="shared" si="39"/>
        <v>0</v>
      </c>
      <c r="L237" s="20">
        <f t="shared" si="42"/>
        <v>0</v>
      </c>
      <c r="M237" s="20">
        <f t="shared" si="43"/>
        <v>0.98794358640328583</v>
      </c>
      <c r="N237" s="20">
        <f t="shared" si="44"/>
        <v>2.5</v>
      </c>
      <c r="O237" s="20">
        <f t="shared" si="45"/>
        <v>3.4879435864032859</v>
      </c>
      <c r="P237" s="20">
        <f t="shared" si="46"/>
        <v>61.407457507100105</v>
      </c>
      <c r="Q237" s="20">
        <f t="shared" si="47"/>
        <v>0</v>
      </c>
      <c r="R237" s="20">
        <f t="shared" si="48"/>
        <v>0</v>
      </c>
      <c r="S237" s="20">
        <f t="shared" si="49"/>
        <v>0.55170854706963868</v>
      </c>
      <c r="T237" s="20">
        <f t="shared" si="50"/>
        <v>45.975712255803224</v>
      </c>
    </row>
    <row r="238" spans="1:20" x14ac:dyDescent="0.25">
      <c r="A238" s="19">
        <f t="shared" si="51"/>
        <v>236</v>
      </c>
      <c r="B238" s="19">
        <v>5500</v>
      </c>
      <c r="C238" s="19">
        <v>14</v>
      </c>
      <c r="D238" s="20">
        <v>2.5</v>
      </c>
      <c r="E238" s="20">
        <f>'1-Simulation'!F238*60/(2*PI()*'1-Specification &amp; Data'!B$14)</f>
        <v>286.64805778288331</v>
      </c>
      <c r="F238" s="20">
        <f>E238*(IF('1-Simulation'!J238=1,'1-Specification &amp; Data'!H$7,IF('1-Simulation'!J238=2,'1-Specification &amp; Data'!H$8,IF('1-Simulation'!J238=3,'1-Specification &amp; Data'!H$9))))</f>
        <v>3605.2135724578643</v>
      </c>
      <c r="G238" s="20">
        <f>2*PI()*E238*'1-Simulation'!U238/(1000*60)</f>
        <v>-0.55022646785563634</v>
      </c>
      <c r="H238" s="20">
        <f t="shared" si="40"/>
        <v>0</v>
      </c>
      <c r="I238" s="20">
        <f t="shared" si="41"/>
        <v>0</v>
      </c>
      <c r="J238" s="20">
        <f>'1-Simulation'!U238/(IF('1-Simulation'!J238=1,'1-Specification &amp; Data'!H$7,IF('1-Simulation'!J238=2,'1-Specification &amp; Data'!H$8,IF('1-Simulation'!J238=3,'1-Specification &amp; Data'!H$9)))*0.8)</f>
        <v>-1.8217629916897631</v>
      </c>
      <c r="K238" s="20">
        <f t="shared" si="39"/>
        <v>0</v>
      </c>
      <c r="L238" s="20">
        <f t="shared" si="42"/>
        <v>0</v>
      </c>
      <c r="M238" s="20">
        <f t="shared" si="43"/>
        <v>0.20900242336202773</v>
      </c>
      <c r="N238" s="20">
        <f t="shared" si="44"/>
        <v>2.5</v>
      </c>
      <c r="O238" s="20">
        <f t="shared" si="45"/>
        <v>2.7090024233620276</v>
      </c>
      <c r="P238" s="20">
        <f t="shared" si="46"/>
        <v>47.693704636655418</v>
      </c>
      <c r="Q238" s="20">
        <f t="shared" si="47"/>
        <v>0</v>
      </c>
      <c r="R238" s="20">
        <f t="shared" si="48"/>
        <v>0</v>
      </c>
      <c r="S238" s="20">
        <f t="shared" si="49"/>
        <v>0.55246104774279481</v>
      </c>
      <c r="T238" s="20">
        <f t="shared" si="50"/>
        <v>46.038420645232904</v>
      </c>
    </row>
    <row r="239" spans="1:20" x14ac:dyDescent="0.25">
      <c r="A239" s="19">
        <f t="shared" si="51"/>
        <v>237</v>
      </c>
      <c r="B239" s="19">
        <v>5500</v>
      </c>
      <c r="C239" s="19">
        <v>14</v>
      </c>
      <c r="D239" s="20">
        <v>2.5</v>
      </c>
      <c r="E239" s="20">
        <f>'1-Simulation'!F239*60/(2*PI()*'1-Specification &amp; Data'!B$14)</f>
        <v>260.58914343898482</v>
      </c>
      <c r="F239" s="20">
        <f>E239*(IF('1-Simulation'!J239=1,'1-Specification &amp; Data'!H$7,IF('1-Simulation'!J239=2,'1-Specification &amp; Data'!H$8,IF('1-Simulation'!J239=3,'1-Specification &amp; Data'!H$9))))</f>
        <v>3277.4668840526037</v>
      </c>
      <c r="G239" s="20">
        <f>2*PI()*E239*'1-Simulation'!U239/(1000*60)</f>
        <v>-3.0566945506954899</v>
      </c>
      <c r="H239" s="20">
        <f t="shared" si="40"/>
        <v>0</v>
      </c>
      <c r="I239" s="20">
        <f t="shared" si="41"/>
        <v>0</v>
      </c>
      <c r="J239" s="20">
        <f>'1-Simulation'!U239/(IF('1-Simulation'!J239=1,'1-Specification &amp; Data'!H$7,IF('1-Simulation'!J239=2,'1-Specification &amp; Data'!H$8,IF('1-Simulation'!J239=3,'1-Specification &amp; Data'!H$9)))*0.8)</f>
        <v>-11.132562077874507</v>
      </c>
      <c r="K239" s="20">
        <f t="shared" si="39"/>
        <v>0</v>
      </c>
      <c r="L239" s="20">
        <f t="shared" si="42"/>
        <v>0</v>
      </c>
      <c r="M239" s="20">
        <f t="shared" si="43"/>
        <v>1.1610793116925802</v>
      </c>
      <c r="N239" s="20">
        <f t="shared" si="44"/>
        <v>2.5</v>
      </c>
      <c r="O239" s="20">
        <f t="shared" si="45"/>
        <v>3.6610793116925802</v>
      </c>
      <c r="P239" s="20">
        <f t="shared" si="46"/>
        <v>64.455621684728527</v>
      </c>
      <c r="Q239" s="20">
        <f t="shared" si="47"/>
        <v>0</v>
      </c>
      <c r="R239" s="20">
        <f t="shared" si="48"/>
        <v>0</v>
      </c>
      <c r="S239" s="20">
        <f t="shared" si="49"/>
        <v>0.55347801421826492</v>
      </c>
      <c r="T239" s="20">
        <f t="shared" si="50"/>
        <v>46.123167851522076</v>
      </c>
    </row>
    <row r="240" spans="1:20" x14ac:dyDescent="0.25">
      <c r="A240" s="19">
        <f t="shared" si="51"/>
        <v>238</v>
      </c>
      <c r="B240" s="19">
        <v>5500</v>
      </c>
      <c r="C240" s="19">
        <v>14</v>
      </c>
      <c r="D240" s="20">
        <v>2.5</v>
      </c>
      <c r="E240" s="20">
        <f>'1-Simulation'!F240*60/(2*PI()*'1-Specification &amp; Data'!B$14)</f>
        <v>231.63479416798654</v>
      </c>
      <c r="F240" s="20">
        <f>E240*(IF('1-Simulation'!J240=1,'1-Specification &amp; Data'!H$7,IF('1-Simulation'!J240=2,'1-Specification &amp; Data'!H$8,IF('1-Simulation'!J240=3,'1-Specification &amp; Data'!H$9))))</f>
        <v>2913.303896935648</v>
      </c>
      <c r="G240" s="20">
        <f>2*PI()*E240*'1-Simulation'!U240/(1000*60)</f>
        <v>-3.1638763325211543</v>
      </c>
      <c r="H240" s="20">
        <f t="shared" si="40"/>
        <v>0</v>
      </c>
      <c r="I240" s="20">
        <f t="shared" si="41"/>
        <v>0</v>
      </c>
      <c r="J240" s="20">
        <f>'1-Simulation'!U240/(IF('1-Simulation'!J240=1,'1-Specification &amp; Data'!H$7,IF('1-Simulation'!J240=2,'1-Specification &amp; Data'!H$8,IF('1-Simulation'!J240=3,'1-Specification &amp; Data'!H$9)))*0.8)</f>
        <v>-12.963286069688431</v>
      </c>
      <c r="K240" s="20">
        <f t="shared" si="39"/>
        <v>0</v>
      </c>
      <c r="L240" s="20">
        <f t="shared" si="42"/>
        <v>0</v>
      </c>
      <c r="M240" s="20">
        <f t="shared" si="43"/>
        <v>1.2017920971554952</v>
      </c>
      <c r="N240" s="20">
        <f t="shared" si="44"/>
        <v>2.5</v>
      </c>
      <c r="O240" s="20">
        <f t="shared" si="45"/>
        <v>3.7017920971554954</v>
      </c>
      <c r="P240" s="20">
        <f t="shared" si="46"/>
        <v>65.172396076681267</v>
      </c>
      <c r="Q240" s="20">
        <f t="shared" si="47"/>
        <v>0</v>
      </c>
      <c r="R240" s="20">
        <f t="shared" si="48"/>
        <v>0</v>
      </c>
      <c r="S240" s="20">
        <f t="shared" si="49"/>
        <v>0.55450628980080807</v>
      </c>
      <c r="T240" s="20">
        <f t="shared" si="50"/>
        <v>46.208857483400678</v>
      </c>
    </row>
    <row r="241" spans="1:20" x14ac:dyDescent="0.25">
      <c r="A241" s="19">
        <f t="shared" si="51"/>
        <v>239</v>
      </c>
      <c r="B241" s="19">
        <v>5500</v>
      </c>
      <c r="C241" s="19">
        <v>14</v>
      </c>
      <c r="D241" s="20">
        <v>2.5</v>
      </c>
      <c r="E241" s="20">
        <f>'1-Simulation'!F241*60/(2*PI()*'1-Specification &amp; Data'!B$14)</f>
        <v>202.68044489698821</v>
      </c>
      <c r="F241" s="20">
        <f>E241*(IF('1-Simulation'!J241=1,'1-Specification &amp; Data'!H$7,IF('1-Simulation'!J241=2,'1-Specification &amp; Data'!H$8,IF('1-Simulation'!J241=3,'1-Specification &amp; Data'!H$9))))</f>
        <v>2549.1409098186919</v>
      </c>
      <c r="G241" s="20">
        <f>2*PI()*E241*'1-Simulation'!U241/(1000*60)</f>
        <v>-2.8001439318624262</v>
      </c>
      <c r="H241" s="20">
        <f t="shared" si="40"/>
        <v>0</v>
      </c>
      <c r="I241" s="20">
        <f t="shared" si="41"/>
        <v>0</v>
      </c>
      <c r="J241" s="20">
        <f>'1-Simulation'!U241/(IF('1-Simulation'!J241=1,'1-Specification &amp; Data'!H$7,IF('1-Simulation'!J241=2,'1-Specification &amp; Data'!H$8,IF('1-Simulation'!J241=3,'1-Specification &amp; Data'!H$9)))*0.8)</f>
        <v>-13.111968812947394</v>
      </c>
      <c r="K241" s="20">
        <f t="shared" si="39"/>
        <v>0</v>
      </c>
      <c r="L241" s="20">
        <f t="shared" si="42"/>
        <v>0</v>
      </c>
      <c r="M241" s="20">
        <f t="shared" si="43"/>
        <v>1.0636290722300787</v>
      </c>
      <c r="N241" s="20">
        <f t="shared" si="44"/>
        <v>2.5</v>
      </c>
      <c r="O241" s="20">
        <f t="shared" si="45"/>
        <v>3.5636290722300785</v>
      </c>
      <c r="P241" s="20">
        <f t="shared" si="46"/>
        <v>62.739948454754909</v>
      </c>
      <c r="Q241" s="20">
        <f t="shared" si="47"/>
        <v>0</v>
      </c>
      <c r="R241" s="20">
        <f t="shared" si="48"/>
        <v>0</v>
      </c>
      <c r="S241" s="20">
        <f t="shared" si="49"/>
        <v>0.55549618676531642</v>
      </c>
      <c r="T241" s="20">
        <f t="shared" si="50"/>
        <v>46.291348897109707</v>
      </c>
    </row>
    <row r="242" spans="1:20" x14ac:dyDescent="0.25">
      <c r="A242" s="19">
        <f t="shared" si="51"/>
        <v>240</v>
      </c>
      <c r="B242" s="19">
        <v>5500</v>
      </c>
      <c r="C242" s="19">
        <v>14</v>
      </c>
      <c r="D242" s="20">
        <v>2.5</v>
      </c>
      <c r="E242" s="20">
        <f>'1-Simulation'!F242*60/(2*PI()*'1-Specification &amp; Data'!B$14)</f>
        <v>173.72609562598987</v>
      </c>
      <c r="F242" s="20">
        <f>E242*(IF('1-Simulation'!J242=1,'1-Specification &amp; Data'!H$7,IF('1-Simulation'!J242=2,'1-Specification &amp; Data'!H$8,IF('1-Simulation'!J242=3,'1-Specification &amp; Data'!H$9))))</f>
        <v>2184.9779227017357</v>
      </c>
      <c r="G242" s="20">
        <f>2*PI()*E242*'1-Simulation'!U242/(1000*60)</f>
        <v>-2.4237106748411201</v>
      </c>
      <c r="H242" s="20">
        <f t="shared" si="40"/>
        <v>0</v>
      </c>
      <c r="I242" s="20">
        <f t="shared" si="41"/>
        <v>0</v>
      </c>
      <c r="J242" s="20">
        <f>'1-Simulation'!U242/(IF('1-Simulation'!J242=1,'1-Specification &amp; Data'!H$7,IF('1-Simulation'!J242=2,'1-Specification &amp; Data'!H$8,IF('1-Simulation'!J242=3,'1-Specification &amp; Data'!H$9)))*0.8)</f>
        <v>-13.240827190438431</v>
      </c>
      <c r="K242" s="20">
        <f t="shared" si="39"/>
        <v>0</v>
      </c>
      <c r="L242" s="20">
        <f t="shared" si="42"/>
        <v>0</v>
      </c>
      <c r="M242" s="20">
        <f t="shared" si="43"/>
        <v>0.92064165241704976</v>
      </c>
      <c r="N242" s="20">
        <f t="shared" si="44"/>
        <v>2.5</v>
      </c>
      <c r="O242" s="20">
        <f t="shared" si="45"/>
        <v>3.42064165241705</v>
      </c>
      <c r="P242" s="20">
        <f t="shared" si="46"/>
        <v>60.222564303117082</v>
      </c>
      <c r="Q242" s="20">
        <f t="shared" si="47"/>
        <v>0</v>
      </c>
      <c r="R242" s="20">
        <f t="shared" si="48"/>
        <v>0</v>
      </c>
      <c r="S242" s="20">
        <f t="shared" si="49"/>
        <v>0.55644636500209899</v>
      </c>
      <c r="T242" s="20">
        <f t="shared" si="50"/>
        <v>46.370530416841582</v>
      </c>
    </row>
    <row r="243" spans="1:20" x14ac:dyDescent="0.25">
      <c r="A243" s="19">
        <f t="shared" si="51"/>
        <v>241</v>
      </c>
      <c r="B243" s="19">
        <v>5500</v>
      </c>
      <c r="C243" s="19">
        <v>14</v>
      </c>
      <c r="D243" s="20">
        <v>2.5</v>
      </c>
      <c r="E243" s="20">
        <f>'1-Simulation'!F243*60/(2*PI()*'1-Specification &amp; Data'!B$14)</f>
        <v>144.77174635499156</v>
      </c>
      <c r="F243" s="20">
        <f>E243*(IF('1-Simulation'!J243=1,'1-Specification &amp; Data'!H$7,IF('1-Simulation'!J243=2,'1-Specification &amp; Data'!H$8,IF('1-Simulation'!J243=3,'1-Specification &amp; Data'!H$9))))</f>
        <v>2563.0239562483698</v>
      </c>
      <c r="G243" s="20">
        <f>2*PI()*E243*'1-Simulation'!U243/(1000*60)</f>
        <v>-2.0658715722020293</v>
      </c>
      <c r="H243" s="20">
        <f t="shared" si="40"/>
        <v>0</v>
      </c>
      <c r="I243" s="20">
        <f t="shared" si="41"/>
        <v>0</v>
      </c>
      <c r="J243" s="20">
        <f>'1-Simulation'!U243/(IF('1-Simulation'!J243=1,'1-Specification &amp; Data'!H$7,IF('1-Simulation'!J243=2,'1-Specification &amp; Data'!H$8,IF('1-Simulation'!J243=3,'1-Specification &amp; Data'!H$9)))*0.8)</f>
        <v>-9.6212621727768752</v>
      </c>
      <c r="K243" s="20">
        <f t="shared" si="39"/>
        <v>0</v>
      </c>
      <c r="L243" s="20">
        <f t="shared" si="42"/>
        <v>0</v>
      </c>
      <c r="M243" s="20">
        <f t="shared" si="43"/>
        <v>0.78471718495779641</v>
      </c>
      <c r="N243" s="20">
        <f t="shared" si="44"/>
        <v>2.5</v>
      </c>
      <c r="O243" s="20">
        <f t="shared" si="45"/>
        <v>3.2847171849577963</v>
      </c>
      <c r="P243" s="20">
        <f t="shared" si="46"/>
        <v>57.829527904186556</v>
      </c>
      <c r="Q243" s="20">
        <f t="shared" si="47"/>
        <v>0</v>
      </c>
      <c r="R243" s="20">
        <f t="shared" si="48"/>
        <v>0</v>
      </c>
      <c r="S243" s="20">
        <f t="shared" si="49"/>
        <v>0.55735878644236503</v>
      </c>
      <c r="T243" s="20">
        <f t="shared" si="50"/>
        <v>46.446565536863751</v>
      </c>
    </row>
    <row r="244" spans="1:20" x14ac:dyDescent="0.25">
      <c r="A244" s="19">
        <f t="shared" si="51"/>
        <v>242</v>
      </c>
      <c r="B244" s="19">
        <v>5500</v>
      </c>
      <c r="C244" s="19">
        <v>14</v>
      </c>
      <c r="D244" s="20">
        <v>2.5</v>
      </c>
      <c r="E244" s="20">
        <f>'1-Simulation'!F244*60/(2*PI()*'1-Specification &amp; Data'!B$14)</f>
        <v>143.32402889144166</v>
      </c>
      <c r="F244" s="20">
        <f>E244*(IF('1-Simulation'!J244=1,'1-Specification &amp; Data'!H$7,IF('1-Simulation'!J244=2,'1-Specification &amp; Data'!H$8,IF('1-Simulation'!J244=3,'1-Specification &amp; Data'!H$9))))</f>
        <v>2537.3937166858864</v>
      </c>
      <c r="G244" s="20">
        <f>2*PI()*E244*'1-Simulation'!U244/(1000*60)</f>
        <v>0.36645329616390726</v>
      </c>
      <c r="H244" s="20">
        <f t="shared" si="40"/>
        <v>0.43112152489871441</v>
      </c>
      <c r="I244" s="20">
        <f t="shared" si="41"/>
        <v>8.9816984353898839</v>
      </c>
      <c r="J244" s="20">
        <f>'1-Simulation'!U244/(IF('1-Simulation'!J244=1,'1-Specification &amp; Data'!H$7,IF('1-Simulation'!J244=2,'1-Specification &amp; Data'!H$8,IF('1-Simulation'!J244=3,'1-Specification &amp; Data'!H$9)))*0.8)</f>
        <v>1.7239003878253119</v>
      </c>
      <c r="K244" s="20">
        <f t="shared" si="39"/>
        <v>0.50541796588360421</v>
      </c>
      <c r="L244" s="20">
        <f t="shared" si="42"/>
        <v>0.53201891145642555</v>
      </c>
      <c r="M244" s="20">
        <f t="shared" si="43"/>
        <v>0</v>
      </c>
      <c r="N244" s="20">
        <f t="shared" si="44"/>
        <v>1.9679810885435745</v>
      </c>
      <c r="O244" s="20">
        <f t="shared" si="45"/>
        <v>1.9945820341163958</v>
      </c>
      <c r="P244" s="20">
        <f t="shared" si="46"/>
        <v>35.115880882330913</v>
      </c>
      <c r="Q244" s="20">
        <f t="shared" si="47"/>
        <v>0</v>
      </c>
      <c r="R244" s="20">
        <f t="shared" si="48"/>
        <v>0</v>
      </c>
      <c r="S244" s="20">
        <f t="shared" si="49"/>
        <v>0.55791283700739736</v>
      </c>
      <c r="T244" s="20">
        <f t="shared" si="50"/>
        <v>46.492736417283112</v>
      </c>
    </row>
    <row r="245" spans="1:20" x14ac:dyDescent="0.25">
      <c r="A245" s="19">
        <f t="shared" si="51"/>
        <v>243</v>
      </c>
      <c r="B245" s="19">
        <v>5500</v>
      </c>
      <c r="C245" s="19">
        <v>14</v>
      </c>
      <c r="D245" s="20">
        <v>2.5</v>
      </c>
      <c r="E245" s="20">
        <f>'1-Simulation'!F245*60/(2*PI()*'1-Specification &amp; Data'!B$14)</f>
        <v>123.05598440174283</v>
      </c>
      <c r="F245" s="20">
        <f>E245*(IF('1-Simulation'!J245=1,'1-Specification &amp; Data'!H$7,IF('1-Simulation'!J245=2,'1-Specification &amp; Data'!H$8,IF('1-Simulation'!J245=3,'1-Specification &amp; Data'!H$9))))</f>
        <v>2178.5703628111146</v>
      </c>
      <c r="G245" s="20">
        <f>2*PI()*E245*'1-Simulation'!U245/(1000*60)</f>
        <v>-1.1108242633194874</v>
      </c>
      <c r="H245" s="20">
        <f t="shared" si="40"/>
        <v>0</v>
      </c>
      <c r="I245" s="20">
        <f t="shared" si="41"/>
        <v>0</v>
      </c>
      <c r="J245" s="20">
        <f>'1-Simulation'!U245/(IF('1-Simulation'!J245=1,'1-Specification &amp; Data'!H$7,IF('1-Simulation'!J245=2,'1-Specification &amp; Data'!H$8,IF('1-Simulation'!J245=3,'1-Specification &amp; Data'!H$9)))*0.8)</f>
        <v>-6.0863253064357581</v>
      </c>
      <c r="K245" s="20">
        <f t="shared" si="39"/>
        <v>0</v>
      </c>
      <c r="L245" s="20">
        <f t="shared" si="42"/>
        <v>0</v>
      </c>
      <c r="M245" s="20">
        <f t="shared" si="43"/>
        <v>0.42194437477338059</v>
      </c>
      <c r="N245" s="20">
        <f t="shared" si="44"/>
        <v>2.5</v>
      </c>
      <c r="O245" s="20">
        <f t="shared" si="45"/>
        <v>2.9219443747733806</v>
      </c>
      <c r="P245" s="20">
        <f t="shared" si="46"/>
        <v>51.442682654460931</v>
      </c>
      <c r="Q245" s="20">
        <f t="shared" si="47"/>
        <v>0</v>
      </c>
      <c r="R245" s="20">
        <f t="shared" si="48"/>
        <v>0</v>
      </c>
      <c r="S245" s="20">
        <f t="shared" si="49"/>
        <v>0.55872448822261223</v>
      </c>
      <c r="T245" s="20">
        <f t="shared" si="50"/>
        <v>46.560374018551016</v>
      </c>
    </row>
    <row r="246" spans="1:20" x14ac:dyDescent="0.25">
      <c r="A246" s="19">
        <f t="shared" si="51"/>
        <v>244</v>
      </c>
      <c r="B246" s="19">
        <v>5500</v>
      </c>
      <c r="C246" s="19">
        <v>14</v>
      </c>
      <c r="D246" s="20">
        <v>2.5</v>
      </c>
      <c r="E246" s="20">
        <f>'1-Simulation'!F246*60/(2*PI()*'1-Specification &amp; Data'!B$14)</f>
        <v>123.05598440174283</v>
      </c>
      <c r="F246" s="20">
        <f>E246*(IF('1-Simulation'!J246=1,'1-Specification &amp; Data'!H$7,IF('1-Simulation'!J246=2,'1-Specification &amp; Data'!H$8,IF('1-Simulation'!J246=3,'1-Specification &amp; Data'!H$9))))</f>
        <v>2178.5703628111146</v>
      </c>
      <c r="G246" s="20">
        <f>2*PI()*E246*'1-Simulation'!U246/(1000*60)</f>
        <v>0.41536867445877956</v>
      </c>
      <c r="H246" s="20">
        <f t="shared" si="40"/>
        <v>0.48866902877503482</v>
      </c>
      <c r="I246" s="20">
        <f t="shared" si="41"/>
        <v>10.180604766146558</v>
      </c>
      <c r="J246" s="20">
        <f>'1-Simulation'!U246/(IF('1-Simulation'!J246=1,'1-Specification &amp; Data'!H$7,IF('1-Simulation'!J246=2,'1-Specification &amp; Data'!H$8,IF('1-Simulation'!J246=3,'1-Specification &amp; Data'!H$9)))*0.8)</f>
        <v>2.2758495275431709</v>
      </c>
      <c r="K246" s="20">
        <f t="shared" si="39"/>
        <v>0.57288280043966566</v>
      </c>
      <c r="L246" s="20">
        <f t="shared" si="42"/>
        <v>0.60303452677859548</v>
      </c>
      <c r="M246" s="20">
        <f t="shared" si="43"/>
        <v>0</v>
      </c>
      <c r="N246" s="20">
        <f t="shared" si="44"/>
        <v>1.8969654732214045</v>
      </c>
      <c r="O246" s="20">
        <f t="shared" si="45"/>
        <v>1.9271171995603344</v>
      </c>
      <c r="P246" s="20">
        <f t="shared" si="46"/>
        <v>33.92811971056927</v>
      </c>
      <c r="Q246" s="20">
        <f t="shared" si="47"/>
        <v>0</v>
      </c>
      <c r="R246" s="20">
        <f t="shared" si="48"/>
        <v>0</v>
      </c>
      <c r="S246" s="20">
        <f t="shared" si="49"/>
        <v>0.55925979855582342</v>
      </c>
      <c r="T246" s="20">
        <f t="shared" si="50"/>
        <v>46.604983212985289</v>
      </c>
    </row>
    <row r="247" spans="1:20" x14ac:dyDescent="0.25">
      <c r="A247" s="19">
        <f t="shared" si="51"/>
        <v>245</v>
      </c>
      <c r="B247" s="19">
        <v>5500</v>
      </c>
      <c r="C247" s="19">
        <v>14</v>
      </c>
      <c r="D247" s="20">
        <v>2.5</v>
      </c>
      <c r="E247" s="20">
        <f>'1-Simulation'!F247*60/(2*PI()*'1-Specification &amp; Data'!B$14)</f>
        <v>123.05598440174283</v>
      </c>
      <c r="F247" s="20">
        <f>E247*(IF('1-Simulation'!J247=1,'1-Specification &amp; Data'!H$7,IF('1-Simulation'!J247=2,'1-Specification &amp; Data'!H$8,IF('1-Simulation'!J247=3,'1-Specification &amp; Data'!H$9))))</f>
        <v>2178.5703628111146</v>
      </c>
      <c r="G247" s="20">
        <f>2*PI()*E247*'1-Simulation'!U247/(1000*60)</f>
        <v>0.41536867445877956</v>
      </c>
      <c r="H247" s="20">
        <f t="shared" si="40"/>
        <v>0.48866902877503482</v>
      </c>
      <c r="I247" s="20">
        <f t="shared" si="41"/>
        <v>10.180604766146558</v>
      </c>
      <c r="J247" s="20">
        <f>'1-Simulation'!U247/(IF('1-Simulation'!J247=1,'1-Specification &amp; Data'!H$7,IF('1-Simulation'!J247=2,'1-Specification &amp; Data'!H$8,IF('1-Simulation'!J247=3,'1-Specification &amp; Data'!H$9)))*0.8)</f>
        <v>2.2758495275431709</v>
      </c>
      <c r="K247" s="20">
        <f t="shared" si="39"/>
        <v>0.57288280043966566</v>
      </c>
      <c r="L247" s="20">
        <f t="shared" si="42"/>
        <v>0.60303452677859548</v>
      </c>
      <c r="M247" s="20">
        <f t="shared" si="43"/>
        <v>0</v>
      </c>
      <c r="N247" s="20">
        <f t="shared" si="44"/>
        <v>1.8969654732214045</v>
      </c>
      <c r="O247" s="20">
        <f t="shared" si="45"/>
        <v>1.9271171995603344</v>
      </c>
      <c r="P247" s="20">
        <f t="shared" si="46"/>
        <v>33.92811971056927</v>
      </c>
      <c r="Q247" s="20">
        <f t="shared" si="47"/>
        <v>0</v>
      </c>
      <c r="R247" s="20">
        <f t="shared" si="48"/>
        <v>0</v>
      </c>
      <c r="S247" s="20">
        <f t="shared" si="49"/>
        <v>0.55979510888903461</v>
      </c>
      <c r="T247" s="20">
        <f t="shared" si="50"/>
        <v>46.649592407419554</v>
      </c>
    </row>
    <row r="248" spans="1:20" x14ac:dyDescent="0.25">
      <c r="A248" s="19">
        <f t="shared" si="51"/>
        <v>246</v>
      </c>
      <c r="B248" s="19">
        <v>5500</v>
      </c>
      <c r="C248" s="19">
        <v>14</v>
      </c>
      <c r="D248" s="20">
        <v>2.5</v>
      </c>
      <c r="E248" s="20">
        <f>'1-Simulation'!F248*60/(2*PI()*'1-Specification &amp; Data'!B$14)</f>
        <v>123.05598440174283</v>
      </c>
      <c r="F248" s="20">
        <f>E248*(IF('1-Simulation'!J248=1,'1-Specification &amp; Data'!H$7,IF('1-Simulation'!J248=2,'1-Specification &amp; Data'!H$8,IF('1-Simulation'!J248=3,'1-Specification &amp; Data'!H$9))))</f>
        <v>2178.5703628111146</v>
      </c>
      <c r="G248" s="20">
        <f>2*PI()*E248*'1-Simulation'!U248/(1000*60)</f>
        <v>0.41536867445877956</v>
      </c>
      <c r="H248" s="20">
        <f t="shared" si="40"/>
        <v>0.48866902877503482</v>
      </c>
      <c r="I248" s="20">
        <f t="shared" si="41"/>
        <v>10.180604766146558</v>
      </c>
      <c r="J248" s="20">
        <f>'1-Simulation'!U248/(IF('1-Simulation'!J248=1,'1-Specification &amp; Data'!H$7,IF('1-Simulation'!J248=2,'1-Specification &amp; Data'!H$8,IF('1-Simulation'!J248=3,'1-Specification &amp; Data'!H$9)))*0.8)</f>
        <v>2.2758495275431709</v>
      </c>
      <c r="K248" s="20">
        <f t="shared" si="39"/>
        <v>0.57288280043966566</v>
      </c>
      <c r="L248" s="20">
        <f t="shared" si="42"/>
        <v>0.60303452677859548</v>
      </c>
      <c r="M248" s="20">
        <f t="shared" si="43"/>
        <v>0</v>
      </c>
      <c r="N248" s="20">
        <f t="shared" si="44"/>
        <v>1.8969654732214045</v>
      </c>
      <c r="O248" s="20">
        <f t="shared" si="45"/>
        <v>1.9271171995603344</v>
      </c>
      <c r="P248" s="20">
        <f t="shared" si="46"/>
        <v>33.92811971056927</v>
      </c>
      <c r="Q248" s="20">
        <f t="shared" si="47"/>
        <v>0</v>
      </c>
      <c r="R248" s="20">
        <f t="shared" si="48"/>
        <v>0</v>
      </c>
      <c r="S248" s="20">
        <f t="shared" si="49"/>
        <v>0.5603304192222458</v>
      </c>
      <c r="T248" s="20">
        <f t="shared" si="50"/>
        <v>46.69420160185382</v>
      </c>
    </row>
    <row r="249" spans="1:20" x14ac:dyDescent="0.25">
      <c r="A249" s="19">
        <f t="shared" si="51"/>
        <v>247</v>
      </c>
      <c r="B249" s="19">
        <v>5500</v>
      </c>
      <c r="C249" s="19">
        <v>14</v>
      </c>
      <c r="D249" s="20">
        <v>2.5</v>
      </c>
      <c r="E249" s="20">
        <f>'1-Simulation'!F249*60/(2*PI()*'1-Specification &amp; Data'!B$14)</f>
        <v>123.05598440174283</v>
      </c>
      <c r="F249" s="20">
        <f>E249*(IF('1-Simulation'!J249=1,'1-Specification &amp; Data'!H$7,IF('1-Simulation'!J249=2,'1-Specification &amp; Data'!H$8,IF('1-Simulation'!J249=3,'1-Specification &amp; Data'!H$9))))</f>
        <v>2178.5703628111146</v>
      </c>
      <c r="G249" s="20">
        <f>2*PI()*E249*'1-Simulation'!U249/(1000*60)</f>
        <v>0.41536867445877956</v>
      </c>
      <c r="H249" s="20">
        <f t="shared" si="40"/>
        <v>0.48866902877503482</v>
      </c>
      <c r="I249" s="20">
        <f t="shared" si="41"/>
        <v>10.180604766146558</v>
      </c>
      <c r="J249" s="20">
        <f>'1-Simulation'!U249/(IF('1-Simulation'!J249=1,'1-Specification &amp; Data'!H$7,IF('1-Simulation'!J249=2,'1-Specification &amp; Data'!H$8,IF('1-Simulation'!J249=3,'1-Specification &amp; Data'!H$9)))*0.8)</f>
        <v>2.2758495275431709</v>
      </c>
      <c r="K249" s="20">
        <f t="shared" si="39"/>
        <v>0.57288280043966566</v>
      </c>
      <c r="L249" s="20">
        <f t="shared" si="42"/>
        <v>0.60303452677859548</v>
      </c>
      <c r="M249" s="20">
        <f t="shared" si="43"/>
        <v>0</v>
      </c>
      <c r="N249" s="20">
        <f t="shared" si="44"/>
        <v>1.8969654732214045</v>
      </c>
      <c r="O249" s="20">
        <f t="shared" si="45"/>
        <v>1.9271171995603344</v>
      </c>
      <c r="P249" s="20">
        <f t="shared" si="46"/>
        <v>33.92811971056927</v>
      </c>
      <c r="Q249" s="20">
        <f t="shared" si="47"/>
        <v>0</v>
      </c>
      <c r="R249" s="20">
        <f t="shared" si="48"/>
        <v>0</v>
      </c>
      <c r="S249" s="20">
        <f t="shared" si="49"/>
        <v>0.56086572955545699</v>
      </c>
      <c r="T249" s="20">
        <f t="shared" si="50"/>
        <v>46.738810796288085</v>
      </c>
    </row>
    <row r="250" spans="1:20" x14ac:dyDescent="0.25">
      <c r="A250" s="19">
        <f t="shared" si="51"/>
        <v>248</v>
      </c>
      <c r="B250" s="19">
        <v>5500</v>
      </c>
      <c r="C250" s="19">
        <v>14</v>
      </c>
      <c r="D250" s="20">
        <v>2.5</v>
      </c>
      <c r="E250" s="20">
        <f>'1-Simulation'!F250*60/(2*PI()*'1-Specification &amp; Data'!B$14)</f>
        <v>123.05598440174283</v>
      </c>
      <c r="F250" s="20">
        <f>E250*(IF('1-Simulation'!J250=1,'1-Specification &amp; Data'!H$7,IF('1-Simulation'!J250=2,'1-Specification &amp; Data'!H$8,IF('1-Simulation'!J250=3,'1-Specification &amp; Data'!H$9))))</f>
        <v>2178.5703628111146</v>
      </c>
      <c r="G250" s="20">
        <f>2*PI()*E250*'1-Simulation'!U250/(1000*60)</f>
        <v>0.41536867445877956</v>
      </c>
      <c r="H250" s="20">
        <f t="shared" si="40"/>
        <v>0.48866902877503482</v>
      </c>
      <c r="I250" s="20">
        <f t="shared" si="41"/>
        <v>10.180604766146558</v>
      </c>
      <c r="J250" s="20">
        <f>'1-Simulation'!U250/(IF('1-Simulation'!J250=1,'1-Specification &amp; Data'!H$7,IF('1-Simulation'!J250=2,'1-Specification &amp; Data'!H$8,IF('1-Simulation'!J250=3,'1-Specification &amp; Data'!H$9)))*0.8)</f>
        <v>2.2758495275431709</v>
      </c>
      <c r="K250" s="20">
        <f t="shared" si="39"/>
        <v>0.57288280043966566</v>
      </c>
      <c r="L250" s="20">
        <f t="shared" si="42"/>
        <v>0.60303452677859548</v>
      </c>
      <c r="M250" s="20">
        <f t="shared" si="43"/>
        <v>0</v>
      </c>
      <c r="N250" s="20">
        <f t="shared" si="44"/>
        <v>1.8969654732214045</v>
      </c>
      <c r="O250" s="20">
        <f t="shared" si="45"/>
        <v>1.9271171995603344</v>
      </c>
      <c r="P250" s="20">
        <f t="shared" si="46"/>
        <v>33.92811971056927</v>
      </c>
      <c r="Q250" s="20">
        <f t="shared" si="47"/>
        <v>0</v>
      </c>
      <c r="R250" s="20">
        <f t="shared" si="48"/>
        <v>0</v>
      </c>
      <c r="S250" s="20">
        <f t="shared" si="49"/>
        <v>0.56140103988866819</v>
      </c>
      <c r="T250" s="20">
        <f t="shared" si="50"/>
        <v>46.783419990722351</v>
      </c>
    </row>
    <row r="251" spans="1:20" x14ac:dyDescent="0.25">
      <c r="A251" s="19">
        <f t="shared" si="51"/>
        <v>249</v>
      </c>
      <c r="B251" s="19">
        <v>5500</v>
      </c>
      <c r="C251" s="19">
        <v>14</v>
      </c>
      <c r="D251" s="20">
        <v>2.5</v>
      </c>
      <c r="E251" s="20">
        <f>'1-Simulation'!F251*60/(2*PI()*'1-Specification &amp; Data'!B$14)</f>
        <v>123.05598440174283</v>
      </c>
      <c r="F251" s="20">
        <f>E251*(IF('1-Simulation'!J251=1,'1-Specification &amp; Data'!H$7,IF('1-Simulation'!J251=2,'1-Specification &amp; Data'!H$8,IF('1-Simulation'!J251=3,'1-Specification &amp; Data'!H$9))))</f>
        <v>2178.5703628111146</v>
      </c>
      <c r="G251" s="20">
        <f>2*PI()*E251*'1-Simulation'!U251/(1000*60)</f>
        <v>0.41536867445877956</v>
      </c>
      <c r="H251" s="20">
        <f t="shared" si="40"/>
        <v>0.48866902877503482</v>
      </c>
      <c r="I251" s="20">
        <f t="shared" si="41"/>
        <v>10.180604766146558</v>
      </c>
      <c r="J251" s="20">
        <f>'1-Simulation'!U251/(IF('1-Simulation'!J251=1,'1-Specification &amp; Data'!H$7,IF('1-Simulation'!J251=2,'1-Specification &amp; Data'!H$8,IF('1-Simulation'!J251=3,'1-Specification &amp; Data'!H$9)))*0.8)</f>
        <v>2.2758495275431709</v>
      </c>
      <c r="K251" s="20">
        <f t="shared" si="39"/>
        <v>0.57288280043966566</v>
      </c>
      <c r="L251" s="20">
        <f t="shared" si="42"/>
        <v>0.60303452677859548</v>
      </c>
      <c r="M251" s="20">
        <f t="shared" si="43"/>
        <v>0</v>
      </c>
      <c r="N251" s="20">
        <f t="shared" si="44"/>
        <v>1.8969654732214045</v>
      </c>
      <c r="O251" s="20">
        <f t="shared" si="45"/>
        <v>1.9271171995603344</v>
      </c>
      <c r="P251" s="20">
        <f t="shared" si="46"/>
        <v>33.92811971056927</v>
      </c>
      <c r="Q251" s="20">
        <f t="shared" si="47"/>
        <v>0</v>
      </c>
      <c r="R251" s="20">
        <f t="shared" si="48"/>
        <v>0</v>
      </c>
      <c r="S251" s="20">
        <f t="shared" si="49"/>
        <v>0.56193635022187938</v>
      </c>
      <c r="T251" s="20">
        <f t="shared" si="50"/>
        <v>46.828029185156616</v>
      </c>
    </row>
    <row r="252" spans="1:20" x14ac:dyDescent="0.25">
      <c r="A252" s="19">
        <f t="shared" si="51"/>
        <v>250</v>
      </c>
      <c r="B252" s="19">
        <v>5500</v>
      </c>
      <c r="C252" s="19">
        <v>14</v>
      </c>
      <c r="D252" s="20">
        <v>2.5</v>
      </c>
      <c r="E252" s="20">
        <f>'1-Simulation'!F252*60/(2*PI()*'1-Specification &amp; Data'!B$14)</f>
        <v>123.05598440174283</v>
      </c>
      <c r="F252" s="20">
        <f>E252*(IF('1-Simulation'!J252=1,'1-Specification &amp; Data'!H$7,IF('1-Simulation'!J252=2,'1-Specification &amp; Data'!H$8,IF('1-Simulation'!J252=3,'1-Specification &amp; Data'!H$9))))</f>
        <v>2178.5703628111146</v>
      </c>
      <c r="G252" s="20">
        <f>2*PI()*E252*'1-Simulation'!U252/(1000*60)</f>
        <v>0.41536867445877956</v>
      </c>
      <c r="H252" s="20">
        <f t="shared" si="40"/>
        <v>0.48866902877503482</v>
      </c>
      <c r="I252" s="20">
        <f t="shared" si="41"/>
        <v>10.180604766146558</v>
      </c>
      <c r="J252" s="20">
        <f>'1-Simulation'!U252/(IF('1-Simulation'!J252=1,'1-Specification &amp; Data'!H$7,IF('1-Simulation'!J252=2,'1-Specification &amp; Data'!H$8,IF('1-Simulation'!J252=3,'1-Specification &amp; Data'!H$9)))*0.8)</f>
        <v>2.2758495275431709</v>
      </c>
      <c r="K252" s="20">
        <f t="shared" si="39"/>
        <v>0.57288280043966566</v>
      </c>
      <c r="L252" s="20">
        <f t="shared" si="42"/>
        <v>0.60303452677859548</v>
      </c>
      <c r="M252" s="20">
        <f t="shared" si="43"/>
        <v>0</v>
      </c>
      <c r="N252" s="20">
        <f t="shared" si="44"/>
        <v>1.8969654732214045</v>
      </c>
      <c r="O252" s="20">
        <f t="shared" si="45"/>
        <v>1.9271171995603344</v>
      </c>
      <c r="P252" s="20">
        <f t="shared" si="46"/>
        <v>33.92811971056927</v>
      </c>
      <c r="Q252" s="20">
        <f t="shared" si="47"/>
        <v>0</v>
      </c>
      <c r="R252" s="20">
        <f t="shared" si="48"/>
        <v>0</v>
      </c>
      <c r="S252" s="20">
        <f t="shared" si="49"/>
        <v>0.56247166055509057</v>
      </c>
      <c r="T252" s="20">
        <f t="shared" si="50"/>
        <v>46.872638379590882</v>
      </c>
    </row>
    <row r="253" spans="1:20" x14ac:dyDescent="0.25">
      <c r="A253" s="19">
        <f t="shared" si="51"/>
        <v>251</v>
      </c>
      <c r="B253" s="19">
        <v>5500</v>
      </c>
      <c r="C253" s="19">
        <v>14</v>
      </c>
      <c r="D253" s="20">
        <v>2.5</v>
      </c>
      <c r="E253" s="20">
        <f>'1-Simulation'!F253*60/(2*PI()*'1-Specification &amp; Data'!B$14)</f>
        <v>123.05598440174283</v>
      </c>
      <c r="F253" s="20">
        <f>E253*(IF('1-Simulation'!J253=1,'1-Specification &amp; Data'!H$7,IF('1-Simulation'!J253=2,'1-Specification &amp; Data'!H$8,IF('1-Simulation'!J253=3,'1-Specification &amp; Data'!H$9))))</f>
        <v>2178.5703628111146</v>
      </c>
      <c r="G253" s="20">
        <f>2*PI()*E253*'1-Simulation'!U253/(1000*60)</f>
        <v>0.41536867445877956</v>
      </c>
      <c r="H253" s="20">
        <f t="shared" si="40"/>
        <v>0.48866902877503482</v>
      </c>
      <c r="I253" s="20">
        <f t="shared" si="41"/>
        <v>10.180604766146558</v>
      </c>
      <c r="J253" s="20">
        <f>'1-Simulation'!U253/(IF('1-Simulation'!J253=1,'1-Specification &amp; Data'!H$7,IF('1-Simulation'!J253=2,'1-Specification &amp; Data'!H$8,IF('1-Simulation'!J253=3,'1-Specification &amp; Data'!H$9)))*0.8)</f>
        <v>2.2758495275431709</v>
      </c>
      <c r="K253" s="20">
        <f t="shared" si="39"/>
        <v>0.57288280043966566</v>
      </c>
      <c r="L253" s="20">
        <f t="shared" si="42"/>
        <v>0.60303452677859548</v>
      </c>
      <c r="M253" s="20">
        <f t="shared" si="43"/>
        <v>0</v>
      </c>
      <c r="N253" s="20">
        <f t="shared" si="44"/>
        <v>1.8969654732214045</v>
      </c>
      <c r="O253" s="20">
        <f t="shared" si="45"/>
        <v>1.9271171995603344</v>
      </c>
      <c r="P253" s="20">
        <f t="shared" si="46"/>
        <v>33.92811971056927</v>
      </c>
      <c r="Q253" s="20">
        <f t="shared" si="47"/>
        <v>0</v>
      </c>
      <c r="R253" s="20">
        <f t="shared" si="48"/>
        <v>0</v>
      </c>
      <c r="S253" s="20">
        <f t="shared" si="49"/>
        <v>0.56300697088830176</v>
      </c>
      <c r="T253" s="20">
        <f t="shared" si="50"/>
        <v>46.917247574025147</v>
      </c>
    </row>
    <row r="254" spans="1:20" x14ac:dyDescent="0.25">
      <c r="A254" s="19">
        <f t="shared" si="51"/>
        <v>252</v>
      </c>
      <c r="B254" s="19">
        <v>5500</v>
      </c>
      <c r="C254" s="19">
        <v>14</v>
      </c>
      <c r="D254" s="20">
        <v>2.5</v>
      </c>
      <c r="E254" s="20">
        <f>'1-Simulation'!F254*60/(2*PI()*'1-Specification &amp; Data'!B$14)</f>
        <v>123.05598440174283</v>
      </c>
      <c r="F254" s="20">
        <f>E254*(IF('1-Simulation'!J254=1,'1-Specification &amp; Data'!H$7,IF('1-Simulation'!J254=2,'1-Specification &amp; Data'!H$8,IF('1-Simulation'!J254=3,'1-Specification &amp; Data'!H$9))))</f>
        <v>2178.5703628111146</v>
      </c>
      <c r="G254" s="20">
        <f>2*PI()*E254*'1-Simulation'!U254/(1000*60)</f>
        <v>0.41536867445877956</v>
      </c>
      <c r="H254" s="20">
        <f t="shared" si="40"/>
        <v>0.48866902877503482</v>
      </c>
      <c r="I254" s="20">
        <f t="shared" si="41"/>
        <v>10.180604766146558</v>
      </c>
      <c r="J254" s="20">
        <f>'1-Simulation'!U254/(IF('1-Simulation'!J254=1,'1-Specification &amp; Data'!H$7,IF('1-Simulation'!J254=2,'1-Specification &amp; Data'!H$8,IF('1-Simulation'!J254=3,'1-Specification &amp; Data'!H$9)))*0.8)</f>
        <v>2.2758495275431709</v>
      </c>
      <c r="K254" s="20">
        <f t="shared" si="39"/>
        <v>0.57288280043966566</v>
      </c>
      <c r="L254" s="20">
        <f t="shared" si="42"/>
        <v>0.60303452677859548</v>
      </c>
      <c r="M254" s="20">
        <f t="shared" si="43"/>
        <v>0</v>
      </c>
      <c r="N254" s="20">
        <f t="shared" si="44"/>
        <v>1.8969654732214045</v>
      </c>
      <c r="O254" s="20">
        <f t="shared" si="45"/>
        <v>1.9271171995603344</v>
      </c>
      <c r="P254" s="20">
        <f t="shared" si="46"/>
        <v>33.92811971056927</v>
      </c>
      <c r="Q254" s="20">
        <f t="shared" si="47"/>
        <v>0</v>
      </c>
      <c r="R254" s="20">
        <f t="shared" si="48"/>
        <v>0</v>
      </c>
      <c r="S254" s="20">
        <f t="shared" si="49"/>
        <v>0.56354228122151295</v>
      </c>
      <c r="T254" s="20">
        <f t="shared" si="50"/>
        <v>46.96185676845942</v>
      </c>
    </row>
    <row r="255" spans="1:20" x14ac:dyDescent="0.25">
      <c r="A255" s="19">
        <f t="shared" si="51"/>
        <v>253</v>
      </c>
      <c r="B255" s="19">
        <v>5500</v>
      </c>
      <c r="C255" s="19">
        <v>14</v>
      </c>
      <c r="D255" s="20">
        <v>2.5</v>
      </c>
      <c r="E255" s="20">
        <f>'1-Simulation'!F255*60/(2*PI()*'1-Specification &amp; Data'!B$14)</f>
        <v>130.29457171949241</v>
      </c>
      <c r="F255" s="20">
        <f>E255*(IF('1-Simulation'!J255=1,'1-Specification &amp; Data'!H$7,IF('1-Simulation'!J255=2,'1-Specification &amp; Data'!H$8,IF('1-Simulation'!J255=3,'1-Specification &amp; Data'!H$9))))</f>
        <v>2306.7215606235332</v>
      </c>
      <c r="G255" s="20">
        <f>2*PI()*E255*'1-Simulation'!U255/(1000*60)</f>
        <v>1.0199106723009692</v>
      </c>
      <c r="H255" s="20">
        <f t="shared" si="40"/>
        <v>1.1998949085893755</v>
      </c>
      <c r="I255" s="20">
        <f t="shared" si="41"/>
        <v>24.997810595611991</v>
      </c>
      <c r="J255" s="20">
        <f>'1-Simulation'!U255/(IF('1-Simulation'!J255=1,'1-Specification &amp; Data'!H$7,IF('1-Simulation'!J255=2,'1-Specification &amp; Data'!H$8,IF('1-Simulation'!J255=3,'1-Specification &amp; Data'!H$9)))*0.8)</f>
        <v>5.2777444332617938</v>
      </c>
      <c r="K255" s="20">
        <f t="shared" si="39"/>
        <v>1.4066763289441684</v>
      </c>
      <c r="L255" s="20">
        <f t="shared" si="42"/>
        <v>1.4807119252043879</v>
      </c>
      <c r="M255" s="20">
        <f t="shared" si="43"/>
        <v>0</v>
      </c>
      <c r="N255" s="20">
        <f t="shared" si="44"/>
        <v>1.0192880747956121</v>
      </c>
      <c r="O255" s="20">
        <f t="shared" si="45"/>
        <v>1.0933236710558316</v>
      </c>
      <c r="P255" s="20">
        <f t="shared" si="46"/>
        <v>19.248656180560417</v>
      </c>
      <c r="Q255" s="20">
        <f t="shared" si="47"/>
        <v>0</v>
      </c>
      <c r="R255" s="20">
        <f t="shared" si="48"/>
        <v>0</v>
      </c>
      <c r="S255" s="20">
        <f t="shared" si="49"/>
        <v>0.56384598224125071</v>
      </c>
      <c r="T255" s="20">
        <f t="shared" si="50"/>
        <v>46.987165186770895</v>
      </c>
    </row>
    <row r="256" spans="1:20" x14ac:dyDescent="0.25">
      <c r="A256" s="19">
        <f t="shared" si="51"/>
        <v>254</v>
      </c>
      <c r="B256" s="19">
        <v>5500</v>
      </c>
      <c r="C256" s="19">
        <v>14</v>
      </c>
      <c r="D256" s="20">
        <v>2.5</v>
      </c>
      <c r="E256" s="20">
        <f>'1-Simulation'!F256*60/(2*PI()*'1-Specification &amp; Data'!B$14)</f>
        <v>137.533159037242</v>
      </c>
      <c r="F256" s="20">
        <f>E256*(IF('1-Simulation'!J256=1,'1-Specification &amp; Data'!H$7,IF('1-Simulation'!J256=2,'1-Specification &amp; Data'!H$8,IF('1-Simulation'!J256=3,'1-Specification &amp; Data'!H$9))))</f>
        <v>2434.8727584359517</v>
      </c>
      <c r="G256" s="20">
        <f>2*PI()*E256*'1-Simulation'!U256/(1000*60)</f>
        <v>1.0798940660583429</v>
      </c>
      <c r="H256" s="20">
        <f t="shared" si="40"/>
        <v>1.2704636071274622</v>
      </c>
      <c r="I256" s="20">
        <f t="shared" si="41"/>
        <v>26.467991815155461</v>
      </c>
      <c r="J256" s="20">
        <f>'1-Simulation'!U256/(IF('1-Simulation'!J256=1,'1-Specification &amp; Data'!H$7,IF('1-Simulation'!J256=2,'1-Specification &amp; Data'!H$8,IF('1-Simulation'!J256=3,'1-Specification &amp; Data'!H$9)))*0.8)</f>
        <v>5.2940285493355486</v>
      </c>
      <c r="K256" s="20">
        <f t="shared" si="39"/>
        <v>1.4894063389536485</v>
      </c>
      <c r="L256" s="20">
        <f t="shared" si="42"/>
        <v>1.5677961462669985</v>
      </c>
      <c r="M256" s="20">
        <f t="shared" si="43"/>
        <v>0</v>
      </c>
      <c r="N256" s="20">
        <f t="shared" si="44"/>
        <v>0.93220385373300152</v>
      </c>
      <c r="O256" s="20">
        <f t="shared" si="45"/>
        <v>1.0105936610463515</v>
      </c>
      <c r="P256" s="20">
        <f t="shared" si="46"/>
        <v>17.792141919830133</v>
      </c>
      <c r="Q256" s="20">
        <f t="shared" si="47"/>
        <v>0</v>
      </c>
      <c r="R256" s="20">
        <f t="shared" si="48"/>
        <v>0</v>
      </c>
      <c r="S256" s="20">
        <f t="shared" si="49"/>
        <v>0.56412670270265253</v>
      </c>
      <c r="T256" s="20">
        <f t="shared" si="50"/>
        <v>47.010558558554379</v>
      </c>
    </row>
    <row r="257" spans="1:20" x14ac:dyDescent="0.25">
      <c r="A257" s="19">
        <f t="shared" si="51"/>
        <v>255</v>
      </c>
      <c r="B257" s="19">
        <v>5500</v>
      </c>
      <c r="C257" s="19">
        <v>14</v>
      </c>
      <c r="D257" s="20">
        <v>2.5</v>
      </c>
      <c r="E257" s="20">
        <f>'1-Simulation'!F257*60/(2*PI()*'1-Specification &amp; Data'!B$14)</f>
        <v>123.05598440174283</v>
      </c>
      <c r="F257" s="20">
        <f>E257*(IF('1-Simulation'!J257=1,'1-Specification &amp; Data'!H$7,IF('1-Simulation'!J257=2,'1-Specification &amp; Data'!H$8,IF('1-Simulation'!J257=3,'1-Specification &amp; Data'!H$9))))</f>
        <v>2178.5703628111146</v>
      </c>
      <c r="G257" s="20">
        <f>2*PI()*E257*'1-Simulation'!U257/(1000*60)</f>
        <v>-0.67476913823998175</v>
      </c>
      <c r="H257" s="20">
        <f t="shared" si="40"/>
        <v>0</v>
      </c>
      <c r="I257" s="20">
        <f t="shared" si="41"/>
        <v>0</v>
      </c>
      <c r="J257" s="20">
        <f>'1-Simulation'!U257/(IF('1-Simulation'!J257=1,'1-Specification &amp; Data'!H$7,IF('1-Simulation'!J257=2,'1-Specification &amp; Data'!H$8,IF('1-Simulation'!J257=3,'1-Specification &amp; Data'!H$9)))*0.8)</f>
        <v>-3.6971324967274888</v>
      </c>
      <c r="K257" s="20">
        <f t="shared" si="39"/>
        <v>0</v>
      </c>
      <c r="L257" s="20">
        <f t="shared" si="42"/>
        <v>0</v>
      </c>
      <c r="M257" s="20">
        <f t="shared" si="43"/>
        <v>0.25630970762218053</v>
      </c>
      <c r="N257" s="20">
        <f t="shared" si="44"/>
        <v>2.5</v>
      </c>
      <c r="O257" s="20">
        <f t="shared" si="45"/>
        <v>2.7563097076221803</v>
      </c>
      <c r="P257" s="20">
        <f t="shared" si="46"/>
        <v>48.52657935954543</v>
      </c>
      <c r="Q257" s="20">
        <f t="shared" si="47"/>
        <v>0</v>
      </c>
      <c r="R257" s="20">
        <f t="shared" si="48"/>
        <v>0</v>
      </c>
      <c r="S257" s="20">
        <f t="shared" si="49"/>
        <v>0.56489234428810309</v>
      </c>
      <c r="T257" s="20">
        <f t="shared" si="50"/>
        <v>47.074362024008593</v>
      </c>
    </row>
    <row r="258" spans="1:20" x14ac:dyDescent="0.25">
      <c r="A258" s="19">
        <f t="shared" si="51"/>
        <v>256</v>
      </c>
      <c r="B258" s="19">
        <v>5500</v>
      </c>
      <c r="C258" s="19">
        <v>14</v>
      </c>
      <c r="D258" s="20">
        <v>2.5</v>
      </c>
      <c r="E258" s="20">
        <f>'1-Simulation'!F258*60/(2*PI()*'1-Specification &amp; Data'!B$14)</f>
        <v>123.05598440174283</v>
      </c>
      <c r="F258" s="20">
        <f>E258*(IF('1-Simulation'!J258=1,'1-Specification &amp; Data'!H$7,IF('1-Simulation'!J258=2,'1-Specification &amp; Data'!H$8,IF('1-Simulation'!J258=3,'1-Specification &amp; Data'!H$9))))</f>
        <v>2178.5703628111146</v>
      </c>
      <c r="G258" s="20">
        <f>2*PI()*E258*'1-Simulation'!U258/(1000*60)</f>
        <v>0.41536867445877956</v>
      </c>
      <c r="H258" s="20">
        <f t="shared" si="40"/>
        <v>0.48866902877503482</v>
      </c>
      <c r="I258" s="20">
        <f t="shared" si="41"/>
        <v>10.180604766146558</v>
      </c>
      <c r="J258" s="20">
        <f>'1-Simulation'!U258/(IF('1-Simulation'!J258=1,'1-Specification &amp; Data'!H$7,IF('1-Simulation'!J258=2,'1-Specification &amp; Data'!H$8,IF('1-Simulation'!J258=3,'1-Specification &amp; Data'!H$9)))*0.8)</f>
        <v>2.2758495275431709</v>
      </c>
      <c r="K258" s="20">
        <f t="shared" ref="K258:K277" si="52">H258/0.853</f>
        <v>0.57288280043966566</v>
      </c>
      <c r="L258" s="20">
        <f t="shared" si="42"/>
        <v>0.60303452677859548</v>
      </c>
      <c r="M258" s="20">
        <f t="shared" si="43"/>
        <v>0</v>
      </c>
      <c r="N258" s="20">
        <f t="shared" si="44"/>
        <v>1.8969654732214045</v>
      </c>
      <c r="O258" s="20">
        <f t="shared" si="45"/>
        <v>1.9271171995603344</v>
      </c>
      <c r="P258" s="20">
        <f t="shared" si="46"/>
        <v>33.92811971056927</v>
      </c>
      <c r="Q258" s="20">
        <f t="shared" si="47"/>
        <v>0</v>
      </c>
      <c r="R258" s="20">
        <f t="shared" si="48"/>
        <v>0</v>
      </c>
      <c r="S258" s="20">
        <f t="shared" si="49"/>
        <v>0.56542765462131428</v>
      </c>
      <c r="T258" s="20">
        <f t="shared" si="50"/>
        <v>47.118971218442859</v>
      </c>
    </row>
    <row r="259" spans="1:20" x14ac:dyDescent="0.25">
      <c r="A259" s="19">
        <f t="shared" si="51"/>
        <v>257</v>
      </c>
      <c r="B259" s="19">
        <v>5500</v>
      </c>
      <c r="C259" s="19">
        <v>14</v>
      </c>
      <c r="D259" s="20">
        <v>2.5</v>
      </c>
      <c r="E259" s="20">
        <f>'1-Simulation'!F259*60/(2*PI()*'1-Specification &amp; Data'!B$14)</f>
        <v>123.05598440174283</v>
      </c>
      <c r="F259" s="20">
        <f>E259*(IF('1-Simulation'!J259=1,'1-Specification &amp; Data'!H$7,IF('1-Simulation'!J259=2,'1-Specification &amp; Data'!H$8,IF('1-Simulation'!J259=3,'1-Specification &amp; Data'!H$9))))</f>
        <v>2178.5703628111146</v>
      </c>
      <c r="G259" s="20">
        <f>2*PI()*E259*'1-Simulation'!U259/(1000*60)</f>
        <v>0.41536867445877956</v>
      </c>
      <c r="H259" s="20">
        <f t="shared" ref="H259:H277" si="53">IF(G259&gt;0,G259/0.85,0)</f>
        <v>0.48866902877503482</v>
      </c>
      <c r="I259" s="20">
        <f t="shared" ref="I259:I277" si="54">(H259*1000)/48</f>
        <v>10.180604766146558</v>
      </c>
      <c r="J259" s="20">
        <f>'1-Simulation'!U259/(IF('1-Simulation'!J259=1,'1-Specification &amp; Data'!H$7,IF('1-Simulation'!J259=2,'1-Specification &amp; Data'!H$8,IF('1-Simulation'!J259=3,'1-Specification &amp; Data'!H$9)))*0.8)</f>
        <v>2.2758495275431709</v>
      </c>
      <c r="K259" s="20">
        <f t="shared" si="52"/>
        <v>0.57288280043966566</v>
      </c>
      <c r="L259" s="20">
        <f t="shared" ref="L259:L277" si="55">K259/0.95</f>
        <v>0.60303452677859548</v>
      </c>
      <c r="M259" s="20">
        <f t="shared" ref="M259:M277" si="56">IF(G259&lt;0,-G259*0.6*0.8*0.85*0.95*0.98,0)</f>
        <v>0</v>
      </c>
      <c r="N259" s="20">
        <f t="shared" ref="N259:N277" si="57">IF(L259&lt;D259,D259-L259,0)</f>
        <v>1.8969654732214045</v>
      </c>
      <c r="O259" s="20">
        <f t="shared" ref="O259:O277" si="58">M259+(IF(L259&lt;D259,D259-K259,0))</f>
        <v>1.9271171995603344</v>
      </c>
      <c r="P259" s="20">
        <f t="shared" ref="P259:P277" si="59">(O259*1000)/56.8</f>
        <v>33.92811971056927</v>
      </c>
      <c r="Q259" s="20">
        <f t="shared" ref="Q259:Q277" si="60">IF(L259&gt;D259,K259-D259,0)</f>
        <v>0</v>
      </c>
      <c r="R259" s="20">
        <f t="shared" ref="R259:R277" si="61">(Q259*1000)/48</f>
        <v>0</v>
      </c>
      <c r="S259" s="20">
        <f t="shared" ref="S259:S277" si="62">S258+IF(O259&gt;0,O259/3600,-Q259/3600)</f>
        <v>0.56596296495452547</v>
      </c>
      <c r="T259" s="20">
        <f t="shared" ref="T259:T277" si="63">(100*S259)/1.2</f>
        <v>47.163580412877124</v>
      </c>
    </row>
    <row r="260" spans="1:20" x14ac:dyDescent="0.25">
      <c r="A260" s="19">
        <f t="shared" ref="A260:A277" si="64">1+A259</f>
        <v>258</v>
      </c>
      <c r="B260" s="19">
        <v>5500</v>
      </c>
      <c r="C260" s="19">
        <v>14</v>
      </c>
      <c r="D260" s="20">
        <v>2.5</v>
      </c>
      <c r="E260" s="20">
        <f>'1-Simulation'!F260*60/(2*PI()*'1-Specification &amp; Data'!B$14)</f>
        <v>123.05598440174283</v>
      </c>
      <c r="F260" s="20">
        <f>E260*(IF('1-Simulation'!J260=1,'1-Specification &amp; Data'!H$7,IF('1-Simulation'!J260=2,'1-Specification &amp; Data'!H$8,IF('1-Simulation'!J260=3,'1-Specification &amp; Data'!H$9))))</f>
        <v>2178.5703628111146</v>
      </c>
      <c r="G260" s="20">
        <f>2*PI()*E260*'1-Simulation'!U260/(1000*60)</f>
        <v>0.41536867445877956</v>
      </c>
      <c r="H260" s="20">
        <f t="shared" si="53"/>
        <v>0.48866902877503482</v>
      </c>
      <c r="I260" s="20">
        <f t="shared" si="54"/>
        <v>10.180604766146558</v>
      </c>
      <c r="J260" s="20">
        <f>'1-Simulation'!U260/(IF('1-Simulation'!J260=1,'1-Specification &amp; Data'!H$7,IF('1-Simulation'!J260=2,'1-Specification &amp; Data'!H$8,IF('1-Simulation'!J260=3,'1-Specification &amp; Data'!H$9)))*0.8)</f>
        <v>2.2758495275431709</v>
      </c>
      <c r="K260" s="20">
        <f t="shared" si="52"/>
        <v>0.57288280043966566</v>
      </c>
      <c r="L260" s="20">
        <f t="shared" si="55"/>
        <v>0.60303452677859548</v>
      </c>
      <c r="M260" s="20">
        <f t="shared" si="56"/>
        <v>0</v>
      </c>
      <c r="N260" s="20">
        <f t="shared" si="57"/>
        <v>1.8969654732214045</v>
      </c>
      <c r="O260" s="20">
        <f t="shared" si="58"/>
        <v>1.9271171995603344</v>
      </c>
      <c r="P260" s="20">
        <f t="shared" si="59"/>
        <v>33.92811971056927</v>
      </c>
      <c r="Q260" s="20">
        <f t="shared" si="60"/>
        <v>0</v>
      </c>
      <c r="R260" s="20">
        <f t="shared" si="61"/>
        <v>0</v>
      </c>
      <c r="S260" s="20">
        <f t="shared" si="62"/>
        <v>0.56649827528773666</v>
      </c>
      <c r="T260" s="20">
        <f t="shared" si="63"/>
        <v>47.20818960731139</v>
      </c>
    </row>
    <row r="261" spans="1:20" x14ac:dyDescent="0.25">
      <c r="A261" s="19">
        <f t="shared" si="64"/>
        <v>259</v>
      </c>
      <c r="B261" s="19">
        <v>5500</v>
      </c>
      <c r="C261" s="19">
        <v>14</v>
      </c>
      <c r="D261" s="20">
        <v>2.5</v>
      </c>
      <c r="E261" s="20">
        <f>'1-Simulation'!F261*60/(2*PI()*'1-Specification &amp; Data'!B$14)</f>
        <v>123.05598440174283</v>
      </c>
      <c r="F261" s="20">
        <f>E261*(IF('1-Simulation'!J261=1,'1-Specification &amp; Data'!H$7,IF('1-Simulation'!J261=2,'1-Specification &amp; Data'!H$8,IF('1-Simulation'!J261=3,'1-Specification &amp; Data'!H$9))))</f>
        <v>2178.5703628111146</v>
      </c>
      <c r="G261" s="20">
        <f>2*PI()*E261*'1-Simulation'!U261/(1000*60)</f>
        <v>0.41536867445877956</v>
      </c>
      <c r="H261" s="20">
        <f t="shared" si="53"/>
        <v>0.48866902877503482</v>
      </c>
      <c r="I261" s="20">
        <f t="shared" si="54"/>
        <v>10.180604766146558</v>
      </c>
      <c r="J261" s="20">
        <f>'1-Simulation'!U261/(IF('1-Simulation'!J261=1,'1-Specification &amp; Data'!H$7,IF('1-Simulation'!J261=2,'1-Specification &amp; Data'!H$8,IF('1-Simulation'!J261=3,'1-Specification &amp; Data'!H$9)))*0.8)</f>
        <v>2.2758495275431709</v>
      </c>
      <c r="K261" s="20">
        <f t="shared" si="52"/>
        <v>0.57288280043966566</v>
      </c>
      <c r="L261" s="20">
        <f t="shared" si="55"/>
        <v>0.60303452677859548</v>
      </c>
      <c r="M261" s="20">
        <f t="shared" si="56"/>
        <v>0</v>
      </c>
      <c r="N261" s="20">
        <f t="shared" si="57"/>
        <v>1.8969654732214045</v>
      </c>
      <c r="O261" s="20">
        <f t="shared" si="58"/>
        <v>1.9271171995603344</v>
      </c>
      <c r="P261" s="20">
        <f t="shared" si="59"/>
        <v>33.92811971056927</v>
      </c>
      <c r="Q261" s="20">
        <f t="shared" si="60"/>
        <v>0</v>
      </c>
      <c r="R261" s="20">
        <f t="shared" si="61"/>
        <v>0</v>
      </c>
      <c r="S261" s="20">
        <f t="shared" si="62"/>
        <v>0.56703358562094786</v>
      </c>
      <c r="T261" s="20">
        <f t="shared" si="63"/>
        <v>47.252798801745655</v>
      </c>
    </row>
    <row r="262" spans="1:20" x14ac:dyDescent="0.25">
      <c r="A262" s="19">
        <f t="shared" si="64"/>
        <v>260</v>
      </c>
      <c r="B262" s="19">
        <v>5500</v>
      </c>
      <c r="C262" s="19">
        <v>14</v>
      </c>
      <c r="D262" s="20">
        <v>2.5</v>
      </c>
      <c r="E262" s="20">
        <f>'1-Simulation'!F262*60/(2*PI()*'1-Specification &amp; Data'!B$14)</f>
        <v>123.05598440174283</v>
      </c>
      <c r="F262" s="20">
        <f>E262*(IF('1-Simulation'!J262=1,'1-Specification &amp; Data'!H$7,IF('1-Simulation'!J262=2,'1-Specification &amp; Data'!H$8,IF('1-Simulation'!J262=3,'1-Specification &amp; Data'!H$9))))</f>
        <v>2178.5703628111146</v>
      </c>
      <c r="G262" s="20">
        <f>2*PI()*E262*'1-Simulation'!U262/(1000*60)</f>
        <v>0.41536867445877956</v>
      </c>
      <c r="H262" s="20">
        <f t="shared" si="53"/>
        <v>0.48866902877503482</v>
      </c>
      <c r="I262" s="20">
        <f t="shared" si="54"/>
        <v>10.180604766146558</v>
      </c>
      <c r="J262" s="20">
        <f>'1-Simulation'!U262/(IF('1-Simulation'!J262=1,'1-Specification &amp; Data'!H$7,IF('1-Simulation'!J262=2,'1-Specification &amp; Data'!H$8,IF('1-Simulation'!J262=3,'1-Specification &amp; Data'!H$9)))*0.8)</f>
        <v>2.2758495275431709</v>
      </c>
      <c r="K262" s="20">
        <f t="shared" si="52"/>
        <v>0.57288280043966566</v>
      </c>
      <c r="L262" s="20">
        <f t="shared" si="55"/>
        <v>0.60303452677859548</v>
      </c>
      <c r="M262" s="20">
        <f t="shared" si="56"/>
        <v>0</v>
      </c>
      <c r="N262" s="20">
        <f t="shared" si="57"/>
        <v>1.8969654732214045</v>
      </c>
      <c r="O262" s="20">
        <f t="shared" si="58"/>
        <v>1.9271171995603344</v>
      </c>
      <c r="P262" s="20">
        <f t="shared" si="59"/>
        <v>33.92811971056927</v>
      </c>
      <c r="Q262" s="20">
        <f t="shared" si="60"/>
        <v>0</v>
      </c>
      <c r="R262" s="20">
        <f t="shared" si="61"/>
        <v>0</v>
      </c>
      <c r="S262" s="20">
        <f t="shared" si="62"/>
        <v>0.56756889595415905</v>
      </c>
      <c r="T262" s="20">
        <f t="shared" si="63"/>
        <v>47.297407996179921</v>
      </c>
    </row>
    <row r="263" spans="1:20" x14ac:dyDescent="0.25">
      <c r="A263" s="19">
        <f t="shared" si="64"/>
        <v>261</v>
      </c>
      <c r="B263" s="19">
        <v>5500</v>
      </c>
      <c r="C263" s="19">
        <v>14</v>
      </c>
      <c r="D263" s="20">
        <v>2.5</v>
      </c>
      <c r="E263" s="20">
        <f>'1-Simulation'!F263*60/(2*PI()*'1-Specification &amp; Data'!B$14)</f>
        <v>123.05598440174283</v>
      </c>
      <c r="F263" s="20">
        <f>E263*(IF('1-Simulation'!J263=1,'1-Specification &amp; Data'!H$7,IF('1-Simulation'!J263=2,'1-Specification &amp; Data'!H$8,IF('1-Simulation'!J263=3,'1-Specification &amp; Data'!H$9))))</f>
        <v>2178.5703628111146</v>
      </c>
      <c r="G263" s="20">
        <f>2*PI()*E263*'1-Simulation'!U263/(1000*60)</f>
        <v>0.41536867445877956</v>
      </c>
      <c r="H263" s="20">
        <f t="shared" si="53"/>
        <v>0.48866902877503482</v>
      </c>
      <c r="I263" s="20">
        <f t="shared" si="54"/>
        <v>10.180604766146558</v>
      </c>
      <c r="J263" s="20">
        <f>'1-Simulation'!U263/(IF('1-Simulation'!J263=1,'1-Specification &amp; Data'!H$7,IF('1-Simulation'!J263=2,'1-Specification &amp; Data'!H$8,IF('1-Simulation'!J263=3,'1-Specification &amp; Data'!H$9)))*0.8)</f>
        <v>2.2758495275431709</v>
      </c>
      <c r="K263" s="20">
        <f t="shared" si="52"/>
        <v>0.57288280043966566</v>
      </c>
      <c r="L263" s="20">
        <f t="shared" si="55"/>
        <v>0.60303452677859548</v>
      </c>
      <c r="M263" s="20">
        <f t="shared" si="56"/>
        <v>0</v>
      </c>
      <c r="N263" s="20">
        <f t="shared" si="57"/>
        <v>1.8969654732214045</v>
      </c>
      <c r="O263" s="20">
        <f t="shared" si="58"/>
        <v>1.9271171995603344</v>
      </c>
      <c r="P263" s="20">
        <f t="shared" si="59"/>
        <v>33.92811971056927</v>
      </c>
      <c r="Q263" s="20">
        <f t="shared" si="60"/>
        <v>0</v>
      </c>
      <c r="R263" s="20">
        <f t="shared" si="61"/>
        <v>0</v>
      </c>
      <c r="S263" s="20">
        <f t="shared" si="62"/>
        <v>0.56810420628737024</v>
      </c>
      <c r="T263" s="20">
        <f t="shared" si="63"/>
        <v>47.342017190614186</v>
      </c>
    </row>
    <row r="264" spans="1:20" x14ac:dyDescent="0.25">
      <c r="A264" s="19">
        <f t="shared" si="64"/>
        <v>262</v>
      </c>
      <c r="B264" s="19">
        <v>5500</v>
      </c>
      <c r="C264" s="19">
        <v>14</v>
      </c>
      <c r="D264" s="20">
        <v>2.5</v>
      </c>
      <c r="E264" s="20">
        <f>'1-Simulation'!F264*60/(2*PI()*'1-Specification &amp; Data'!B$14)</f>
        <v>123.05598440174283</v>
      </c>
      <c r="F264" s="20">
        <f>E264*(IF('1-Simulation'!J264=1,'1-Specification &amp; Data'!H$7,IF('1-Simulation'!J264=2,'1-Specification &amp; Data'!H$8,IF('1-Simulation'!J264=3,'1-Specification &amp; Data'!H$9))))</f>
        <v>2178.5703628111146</v>
      </c>
      <c r="G264" s="20">
        <f>2*PI()*E264*'1-Simulation'!U264/(1000*60)</f>
        <v>0.41536867445877956</v>
      </c>
      <c r="H264" s="20">
        <f t="shared" si="53"/>
        <v>0.48866902877503482</v>
      </c>
      <c r="I264" s="20">
        <f t="shared" si="54"/>
        <v>10.180604766146558</v>
      </c>
      <c r="J264" s="20">
        <f>'1-Simulation'!U264/(IF('1-Simulation'!J264=1,'1-Specification &amp; Data'!H$7,IF('1-Simulation'!J264=2,'1-Specification &amp; Data'!H$8,IF('1-Simulation'!J264=3,'1-Specification &amp; Data'!H$9)))*0.8)</f>
        <v>2.2758495275431709</v>
      </c>
      <c r="K264" s="20">
        <f t="shared" si="52"/>
        <v>0.57288280043966566</v>
      </c>
      <c r="L264" s="20">
        <f t="shared" si="55"/>
        <v>0.60303452677859548</v>
      </c>
      <c r="M264" s="20">
        <f t="shared" si="56"/>
        <v>0</v>
      </c>
      <c r="N264" s="20">
        <f t="shared" si="57"/>
        <v>1.8969654732214045</v>
      </c>
      <c r="O264" s="20">
        <f t="shared" si="58"/>
        <v>1.9271171995603344</v>
      </c>
      <c r="P264" s="20">
        <f t="shared" si="59"/>
        <v>33.92811971056927</v>
      </c>
      <c r="Q264" s="20">
        <f t="shared" si="60"/>
        <v>0</v>
      </c>
      <c r="R264" s="20">
        <f t="shared" si="61"/>
        <v>0</v>
      </c>
      <c r="S264" s="20">
        <f t="shared" si="62"/>
        <v>0.56863951662058143</v>
      </c>
      <c r="T264" s="20">
        <f t="shared" si="63"/>
        <v>47.386626385048451</v>
      </c>
    </row>
    <row r="265" spans="1:20" x14ac:dyDescent="0.25">
      <c r="A265" s="19">
        <f t="shared" si="64"/>
        <v>263</v>
      </c>
      <c r="B265" s="19">
        <v>5500</v>
      </c>
      <c r="C265" s="19">
        <v>14</v>
      </c>
      <c r="D265" s="20">
        <v>2.5</v>
      </c>
      <c r="E265" s="20">
        <f>'1-Simulation'!F265*60/(2*PI()*'1-Specification &amp; Data'!B$14)</f>
        <v>137.533159037242</v>
      </c>
      <c r="F265" s="20">
        <f>E265*(IF('1-Simulation'!J265=1,'1-Specification &amp; Data'!H$7,IF('1-Simulation'!J265=2,'1-Specification &amp; Data'!H$8,IF('1-Simulation'!J265=3,'1-Specification &amp; Data'!H$9))))</f>
        <v>2434.8727584359517</v>
      </c>
      <c r="G265" s="20">
        <f>2*PI()*E265*'1-Simulation'!U265/(1000*60)</f>
        <v>1.6890887260958911</v>
      </c>
      <c r="H265" s="20">
        <f t="shared" si="53"/>
        <v>1.9871632071716367</v>
      </c>
      <c r="I265" s="20">
        <f t="shared" si="54"/>
        <v>41.399233482742432</v>
      </c>
      <c r="J265" s="20">
        <f>'1-Simulation'!U265/(IF('1-Simulation'!J265=1,'1-Specification &amp; Data'!H$7,IF('1-Simulation'!J265=2,'1-Specification &amp; Data'!H$8,IF('1-Simulation'!J265=3,'1-Specification &amp; Data'!H$9)))*0.8)</f>
        <v>8.2805195614709017</v>
      </c>
      <c r="K265" s="20">
        <f t="shared" si="52"/>
        <v>2.329616890001919</v>
      </c>
      <c r="L265" s="20">
        <f t="shared" si="55"/>
        <v>2.4522283052651779</v>
      </c>
      <c r="M265" s="20">
        <f t="shared" si="56"/>
        <v>0</v>
      </c>
      <c r="N265" s="20">
        <f t="shared" si="57"/>
        <v>4.7771694734822123E-2</v>
      </c>
      <c r="O265" s="20">
        <f t="shared" si="58"/>
        <v>0.17038310999808104</v>
      </c>
      <c r="P265" s="20">
        <f t="shared" si="59"/>
        <v>2.9997026408112859</v>
      </c>
      <c r="Q265" s="20">
        <f t="shared" si="60"/>
        <v>0</v>
      </c>
      <c r="R265" s="20">
        <f t="shared" si="61"/>
        <v>0</v>
      </c>
      <c r="S265" s="20">
        <f t="shared" si="62"/>
        <v>0.56868684526224755</v>
      </c>
      <c r="T265" s="20">
        <f t="shared" si="63"/>
        <v>47.390570438520633</v>
      </c>
    </row>
    <row r="266" spans="1:20" x14ac:dyDescent="0.25">
      <c r="A266" s="19">
        <f t="shared" si="64"/>
        <v>264</v>
      </c>
      <c r="B266" s="19">
        <v>5500</v>
      </c>
      <c r="C266" s="19">
        <v>14</v>
      </c>
      <c r="D266" s="20">
        <v>2.5</v>
      </c>
      <c r="E266" s="20">
        <f>'1-Simulation'!F266*60/(2*PI()*'1-Specification &amp; Data'!B$14)</f>
        <v>144.77174635499156</v>
      </c>
      <c r="F266" s="20">
        <f>E266*(IF('1-Simulation'!J266=1,'1-Specification &amp; Data'!H$7,IF('1-Simulation'!J266=2,'1-Specification &amp; Data'!H$8,IF('1-Simulation'!J266=3,'1-Specification &amp; Data'!H$9))))</f>
        <v>2563.0239562483698</v>
      </c>
      <c r="G266" s="20">
        <f>2*PI()*E266*'1-Simulation'!U266/(1000*60)</f>
        <v>1.1404161122061007</v>
      </c>
      <c r="H266" s="20">
        <f t="shared" si="53"/>
        <v>1.3416660143601185</v>
      </c>
      <c r="I266" s="20">
        <f t="shared" si="54"/>
        <v>27.951375299169133</v>
      </c>
      <c r="J266" s="20">
        <f>'1-Simulation'!U266/(IF('1-Simulation'!J266=1,'1-Specification &amp; Data'!H$7,IF('1-Simulation'!J266=2,'1-Specification &amp; Data'!H$8,IF('1-Simulation'!J266=3,'1-Specification &amp; Data'!H$9)))*0.8)</f>
        <v>5.3111928878998134</v>
      </c>
      <c r="K266" s="20">
        <f t="shared" si="52"/>
        <v>1.5728792665417568</v>
      </c>
      <c r="L266" s="20">
        <f t="shared" si="55"/>
        <v>1.6556623858334283</v>
      </c>
      <c r="M266" s="20">
        <f t="shared" si="56"/>
        <v>0</v>
      </c>
      <c r="N266" s="20">
        <f t="shared" si="57"/>
        <v>0.84433761416657171</v>
      </c>
      <c r="O266" s="20">
        <f t="shared" si="58"/>
        <v>0.9271207334582432</v>
      </c>
      <c r="P266" s="20">
        <f t="shared" si="59"/>
        <v>16.322548124264845</v>
      </c>
      <c r="Q266" s="20">
        <f t="shared" si="60"/>
        <v>0</v>
      </c>
      <c r="R266" s="20">
        <f t="shared" si="61"/>
        <v>0</v>
      </c>
      <c r="S266" s="20">
        <f t="shared" si="62"/>
        <v>0.56894437879931925</v>
      </c>
      <c r="T266" s="20">
        <f t="shared" si="63"/>
        <v>47.41203156660994</v>
      </c>
    </row>
    <row r="267" spans="1:20" x14ac:dyDescent="0.25">
      <c r="A267" s="19">
        <f t="shared" si="64"/>
        <v>265</v>
      </c>
      <c r="B267" s="19">
        <v>5500</v>
      </c>
      <c r="C267" s="19">
        <v>14</v>
      </c>
      <c r="D267" s="20">
        <v>2.5</v>
      </c>
      <c r="E267" s="20">
        <f>'1-Simulation'!F267*60/(2*PI()*'1-Specification &amp; Data'!B$14)</f>
        <v>147.66718128209141</v>
      </c>
      <c r="F267" s="20">
        <f>E267*(IF('1-Simulation'!J267=1,'1-Specification &amp; Data'!H$7,IF('1-Simulation'!J267=2,'1-Specification &amp; Data'!H$8,IF('1-Simulation'!J267=3,'1-Specification &amp; Data'!H$9))))</f>
        <v>1857.2312342964756</v>
      </c>
      <c r="G267" s="20">
        <f>2*PI()*E267*'1-Simulation'!U267/(1000*60)</f>
        <v>0.76932546971645155</v>
      </c>
      <c r="H267" s="20">
        <f t="shared" si="53"/>
        <v>0.90508878790170777</v>
      </c>
      <c r="I267" s="20">
        <f t="shared" si="54"/>
        <v>18.85601641461891</v>
      </c>
      <c r="J267" s="20">
        <f>'1-Simulation'!U267/(IF('1-Simulation'!J267=1,'1-Specification &amp; Data'!H$7,IF('1-Simulation'!J267=2,'1-Specification &amp; Data'!H$8,IF('1-Simulation'!J267=3,'1-Specification &amp; Data'!H$9)))*0.8)</f>
        <v>4.9445358132094226</v>
      </c>
      <c r="K267" s="20">
        <f t="shared" si="52"/>
        <v>1.0610654019949681</v>
      </c>
      <c r="L267" s="20">
        <f t="shared" si="55"/>
        <v>1.1169109494683875</v>
      </c>
      <c r="M267" s="20">
        <f t="shared" si="56"/>
        <v>0</v>
      </c>
      <c r="N267" s="20">
        <f t="shared" si="57"/>
        <v>1.3830890505316125</v>
      </c>
      <c r="O267" s="20">
        <f t="shared" si="58"/>
        <v>1.4389345980050319</v>
      </c>
      <c r="P267" s="20">
        <f t="shared" si="59"/>
        <v>25.333355598680139</v>
      </c>
      <c r="Q267" s="20">
        <f t="shared" si="60"/>
        <v>0</v>
      </c>
      <c r="R267" s="20">
        <f t="shared" si="61"/>
        <v>0</v>
      </c>
      <c r="S267" s="20">
        <f t="shared" si="62"/>
        <v>0.5693440828543207</v>
      </c>
      <c r="T267" s="20">
        <f t="shared" si="63"/>
        <v>47.445340237860059</v>
      </c>
    </row>
    <row r="268" spans="1:20" x14ac:dyDescent="0.25">
      <c r="A268" s="19">
        <f t="shared" si="64"/>
        <v>266</v>
      </c>
      <c r="B268" s="19">
        <v>5500</v>
      </c>
      <c r="C268" s="19">
        <v>14</v>
      </c>
      <c r="D268" s="20">
        <v>2.5</v>
      </c>
      <c r="E268" s="20">
        <f>'1-Simulation'!F268*60/(2*PI()*'1-Specification &amp; Data'!B$14)</f>
        <v>173.72609562598987</v>
      </c>
      <c r="F268" s="20">
        <f>E268*(IF('1-Simulation'!J268=1,'1-Specification &amp; Data'!H$7,IF('1-Simulation'!J268=2,'1-Specification &amp; Data'!H$8,IF('1-Simulation'!J268=3,'1-Specification &amp; Data'!H$9))))</f>
        <v>2184.9779227017357</v>
      </c>
      <c r="G268" s="20">
        <f>2*PI()*E268*'1-Simulation'!U268/(1000*60)</f>
        <v>-1.6897131739480942</v>
      </c>
      <c r="H268" s="20">
        <f t="shared" si="53"/>
        <v>0</v>
      </c>
      <c r="I268" s="20">
        <f t="shared" si="54"/>
        <v>0</v>
      </c>
      <c r="J268" s="20">
        <f>'1-Simulation'!U268/(IF('1-Simulation'!J268=1,'1-Specification &amp; Data'!H$7,IF('1-Simulation'!J268=2,'1-Specification &amp; Data'!H$8,IF('1-Simulation'!J268=3,'1-Specification &amp; Data'!H$9)))*0.8)</f>
        <v>-9.2309698388899353</v>
      </c>
      <c r="K268" s="20">
        <f t="shared" si="52"/>
        <v>0</v>
      </c>
      <c r="L268" s="20">
        <f t="shared" si="55"/>
        <v>0</v>
      </c>
      <c r="M268" s="20">
        <f t="shared" si="56"/>
        <v>0.64183416969783558</v>
      </c>
      <c r="N268" s="20">
        <f t="shared" si="57"/>
        <v>2.5</v>
      </c>
      <c r="O268" s="20">
        <f t="shared" si="58"/>
        <v>3.1418341696978356</v>
      </c>
      <c r="P268" s="20">
        <f t="shared" si="59"/>
        <v>55.313981860877391</v>
      </c>
      <c r="Q268" s="20">
        <f t="shared" si="60"/>
        <v>0</v>
      </c>
      <c r="R268" s="20">
        <f t="shared" si="61"/>
        <v>0</v>
      </c>
      <c r="S268" s="20">
        <f t="shared" si="62"/>
        <v>0.57021681456812567</v>
      </c>
      <c r="T268" s="20">
        <f t="shared" si="63"/>
        <v>47.518067880677137</v>
      </c>
    </row>
    <row r="269" spans="1:20" x14ac:dyDescent="0.25">
      <c r="A269" s="19">
        <f t="shared" si="64"/>
        <v>267</v>
      </c>
      <c r="B269" s="19">
        <v>5500</v>
      </c>
      <c r="C269" s="19">
        <v>14</v>
      </c>
      <c r="D269" s="20">
        <v>2.5</v>
      </c>
      <c r="E269" s="20">
        <f>'1-Simulation'!F269*60/(2*PI()*'1-Specification &amp; Data'!B$14)</f>
        <v>217.15761953248733</v>
      </c>
      <c r="F269" s="20">
        <f>E269*(IF('1-Simulation'!J269=1,'1-Specification &amp; Data'!H$7,IF('1-Simulation'!J269=2,'1-Specification &amp; Data'!H$8,IF('1-Simulation'!J269=3,'1-Specification &amp; Data'!H$9))))</f>
        <v>2731.2224033771695</v>
      </c>
      <c r="G269" s="20">
        <f>2*PI()*E269*'1-Simulation'!U269/(1000*60)</f>
        <v>0.21578032672610817</v>
      </c>
      <c r="H269" s="20">
        <f t="shared" si="53"/>
        <v>0.25385920791306843</v>
      </c>
      <c r="I269" s="20">
        <f t="shared" si="54"/>
        <v>5.2887334981889254</v>
      </c>
      <c r="J269" s="20">
        <f>'1-Simulation'!U269/(IF('1-Simulation'!J269=1,'1-Specification &amp; Data'!H$7,IF('1-Simulation'!J269=2,'1-Specification &amp; Data'!H$8,IF('1-Simulation'!J269=3,'1-Specification &amp; Data'!H$9)))*0.8)</f>
        <v>0.94305316123230176</v>
      </c>
      <c r="K269" s="20">
        <f t="shared" si="52"/>
        <v>0.29760751220758314</v>
      </c>
      <c r="L269" s="20">
        <f t="shared" si="55"/>
        <v>0.3132710654816665</v>
      </c>
      <c r="M269" s="20">
        <f t="shared" si="56"/>
        <v>0</v>
      </c>
      <c r="N269" s="20">
        <f t="shared" si="57"/>
        <v>2.1867289345183334</v>
      </c>
      <c r="O269" s="20">
        <f t="shared" si="58"/>
        <v>2.2023924877924168</v>
      </c>
      <c r="P269" s="20">
        <f t="shared" si="59"/>
        <v>38.774515630148187</v>
      </c>
      <c r="Q269" s="20">
        <f t="shared" si="60"/>
        <v>0</v>
      </c>
      <c r="R269" s="20">
        <f t="shared" si="61"/>
        <v>0</v>
      </c>
      <c r="S269" s="20">
        <f t="shared" si="62"/>
        <v>0.57082859025917909</v>
      </c>
      <c r="T269" s="20">
        <f t="shared" si="63"/>
        <v>47.569049188264927</v>
      </c>
    </row>
    <row r="270" spans="1:20" x14ac:dyDescent="0.25">
      <c r="A270" s="19">
        <f t="shared" si="64"/>
        <v>268</v>
      </c>
      <c r="B270" s="19">
        <v>5500</v>
      </c>
      <c r="C270" s="19">
        <v>14</v>
      </c>
      <c r="D270" s="20">
        <v>2.5</v>
      </c>
      <c r="E270" s="20">
        <f>'1-Simulation'!F270*60/(2*PI()*'1-Specification &amp; Data'!B$14)</f>
        <v>260.58914343898482</v>
      </c>
      <c r="F270" s="20">
        <f>E270*(IF('1-Simulation'!J270=1,'1-Specification &amp; Data'!H$7,IF('1-Simulation'!J270=2,'1-Specification &amp; Data'!H$8,IF('1-Simulation'!J270=3,'1-Specification &amp; Data'!H$9))))</f>
        <v>3277.4668840526037</v>
      </c>
      <c r="G270" s="20">
        <f>2*PI()*E270*'1-Simulation'!U270/(1000*60)</f>
        <v>0.32629629099422192</v>
      </c>
      <c r="H270" s="20">
        <f t="shared" si="53"/>
        <v>0.38387798940496698</v>
      </c>
      <c r="I270" s="20">
        <f t="shared" si="54"/>
        <v>7.9974581126034785</v>
      </c>
      <c r="J270" s="20">
        <f>'1-Simulation'!U270/(IF('1-Simulation'!J270=1,'1-Specification &amp; Data'!H$7,IF('1-Simulation'!J270=2,'1-Specification &amp; Data'!H$8,IF('1-Simulation'!J270=3,'1-Specification &amp; Data'!H$9)))*0.8)</f>
        <v>1.1883796876095696</v>
      </c>
      <c r="K270" s="20">
        <f t="shared" si="52"/>
        <v>0.45003281290148534</v>
      </c>
      <c r="L270" s="20">
        <f t="shared" si="55"/>
        <v>0.47371875042261619</v>
      </c>
      <c r="M270" s="20">
        <f t="shared" si="56"/>
        <v>0</v>
      </c>
      <c r="N270" s="20">
        <f t="shared" si="57"/>
        <v>2.0262812495773836</v>
      </c>
      <c r="O270" s="20">
        <f t="shared" si="58"/>
        <v>2.0499671870985146</v>
      </c>
      <c r="P270" s="20">
        <f t="shared" si="59"/>
        <v>36.090971603847088</v>
      </c>
      <c r="Q270" s="20">
        <f t="shared" si="60"/>
        <v>0</v>
      </c>
      <c r="R270" s="20">
        <f t="shared" si="61"/>
        <v>0</v>
      </c>
      <c r="S270" s="20">
        <f t="shared" si="62"/>
        <v>0.57139802558892872</v>
      </c>
      <c r="T270" s="20">
        <f t="shared" si="63"/>
        <v>47.61650213241073</v>
      </c>
    </row>
    <row r="271" spans="1:20" x14ac:dyDescent="0.25">
      <c r="A271" s="19">
        <f t="shared" si="64"/>
        <v>269</v>
      </c>
      <c r="B271" s="19">
        <v>5500</v>
      </c>
      <c r="C271" s="19">
        <v>14</v>
      </c>
      <c r="D271" s="20">
        <v>2.5</v>
      </c>
      <c r="E271" s="20">
        <f>'1-Simulation'!F271*60/(2*PI()*'1-Specification &amp; Data'!B$14)</f>
        <v>289.54349270998313</v>
      </c>
      <c r="F271" s="20">
        <f>E271*(IF('1-Simulation'!J271=1,'1-Specification &amp; Data'!H$7,IF('1-Simulation'!J271=2,'1-Specification &amp; Data'!H$8,IF('1-Simulation'!J271=3,'1-Specification &amp; Data'!H$9))))</f>
        <v>3641.6298711695595</v>
      </c>
      <c r="G271" s="20">
        <f>2*PI()*E271*'1-Simulation'!U271/(1000*60)</f>
        <v>-2.1155418554220091</v>
      </c>
      <c r="H271" s="20">
        <f t="shared" si="53"/>
        <v>0</v>
      </c>
      <c r="I271" s="20">
        <f t="shared" si="54"/>
        <v>0</v>
      </c>
      <c r="J271" s="20">
        <f>'1-Simulation'!U271/(IF('1-Simulation'!J271=1,'1-Specification &amp; Data'!H$7,IF('1-Simulation'!J271=2,'1-Specification &amp; Data'!H$8,IF('1-Simulation'!J271=3,'1-Specification &amp; Data'!H$9)))*0.8)</f>
        <v>-6.9343732515314018</v>
      </c>
      <c r="K271" s="20">
        <f t="shared" si="52"/>
        <v>0</v>
      </c>
      <c r="L271" s="20">
        <f t="shared" si="55"/>
        <v>0</v>
      </c>
      <c r="M271" s="20">
        <f t="shared" si="56"/>
        <v>0.80358434269833923</v>
      </c>
      <c r="N271" s="20">
        <f t="shared" si="57"/>
        <v>2.5</v>
      </c>
      <c r="O271" s="20">
        <f t="shared" si="58"/>
        <v>3.3035843426983393</v>
      </c>
      <c r="P271" s="20">
        <f t="shared" si="59"/>
        <v>58.161696174266538</v>
      </c>
      <c r="Q271" s="20">
        <f t="shared" si="60"/>
        <v>0</v>
      </c>
      <c r="R271" s="20">
        <f t="shared" si="61"/>
        <v>0</v>
      </c>
      <c r="S271" s="20">
        <f t="shared" si="62"/>
        <v>0.57231568790634491</v>
      </c>
      <c r="T271" s="20">
        <f t="shared" si="63"/>
        <v>47.692973992195412</v>
      </c>
    </row>
    <row r="272" spans="1:20" x14ac:dyDescent="0.25">
      <c r="A272" s="19">
        <f t="shared" si="64"/>
        <v>270</v>
      </c>
      <c r="B272" s="19">
        <v>5500</v>
      </c>
      <c r="C272" s="19">
        <v>14</v>
      </c>
      <c r="D272" s="20">
        <v>2.5</v>
      </c>
      <c r="E272" s="20">
        <f>'1-Simulation'!F272*60/(2*PI()*'1-Specification &amp; Data'!B$14)</f>
        <v>260.58914343898482</v>
      </c>
      <c r="F272" s="20">
        <f>E272*(IF('1-Simulation'!J272=1,'1-Specification &amp; Data'!H$7,IF('1-Simulation'!J272=2,'1-Specification &amp; Data'!H$8,IF('1-Simulation'!J272=3,'1-Specification &amp; Data'!H$9))))</f>
        <v>3277.4668840526037</v>
      </c>
      <c r="G272" s="20">
        <f>2*PI()*E272*'1-Simulation'!U272/(1000*60)</f>
        <v>-11.083676660756653</v>
      </c>
      <c r="H272" s="20">
        <f t="shared" si="53"/>
        <v>0</v>
      </c>
      <c r="I272" s="20">
        <f t="shared" si="54"/>
        <v>0</v>
      </c>
      <c r="J272" s="20">
        <f>'1-Simulation'!U272/(IF('1-Simulation'!J272=1,'1-Specification &amp; Data'!H$7,IF('1-Simulation'!J272=2,'1-Specification &amp; Data'!H$8,IF('1-Simulation'!J272=3,'1-Specification &amp; Data'!H$9)))*0.8)</f>
        <v>-40.367042382068377</v>
      </c>
      <c r="K272" s="20">
        <f t="shared" si="52"/>
        <v>0</v>
      </c>
      <c r="L272" s="20">
        <f t="shared" si="55"/>
        <v>0</v>
      </c>
      <c r="M272" s="20">
        <f t="shared" si="56"/>
        <v>4.2101124122350937</v>
      </c>
      <c r="N272" s="20">
        <f t="shared" si="57"/>
        <v>2.5</v>
      </c>
      <c r="O272" s="20">
        <f t="shared" si="58"/>
        <v>6.7101124122350937</v>
      </c>
      <c r="P272" s="20">
        <f t="shared" si="59"/>
        <v>118.13578190554743</v>
      </c>
      <c r="Q272" s="20">
        <f t="shared" si="60"/>
        <v>0</v>
      </c>
      <c r="R272" s="20">
        <f t="shared" si="61"/>
        <v>0</v>
      </c>
      <c r="S272" s="20">
        <f t="shared" si="62"/>
        <v>0.57417960802085466</v>
      </c>
      <c r="T272" s="20">
        <f t="shared" si="63"/>
        <v>47.848300668404555</v>
      </c>
    </row>
    <row r="273" spans="1:20" x14ac:dyDescent="0.25">
      <c r="A273" s="19">
        <f t="shared" si="64"/>
        <v>271</v>
      </c>
      <c r="B273" s="19">
        <v>5500</v>
      </c>
      <c r="C273" s="19">
        <v>14</v>
      </c>
      <c r="D273" s="20">
        <v>2.5</v>
      </c>
      <c r="E273" s="20">
        <f>'1-Simulation'!F273*60/(2*PI()*'1-Specification &amp; Data'!B$14)</f>
        <v>231.63479416798654</v>
      </c>
      <c r="F273" s="20">
        <f>E273*(IF('1-Simulation'!J273=1,'1-Specification &amp; Data'!H$7,IF('1-Simulation'!J273=2,'1-Specification &amp; Data'!H$8,IF('1-Simulation'!J273=3,'1-Specification &amp; Data'!H$9))))</f>
        <v>2913.303896935648</v>
      </c>
      <c r="G273" s="20">
        <f>2*PI()*E273*'1-Simulation'!U273/(1000*60)</f>
        <v>-3.1638763325211543</v>
      </c>
      <c r="H273" s="20">
        <f t="shared" si="53"/>
        <v>0</v>
      </c>
      <c r="I273" s="20">
        <f t="shared" si="54"/>
        <v>0</v>
      </c>
      <c r="J273" s="20">
        <f>'1-Simulation'!U273/(IF('1-Simulation'!J273=1,'1-Specification &amp; Data'!H$7,IF('1-Simulation'!J273=2,'1-Specification &amp; Data'!H$8,IF('1-Simulation'!J273=3,'1-Specification &amp; Data'!H$9)))*0.8)</f>
        <v>-12.963286069688431</v>
      </c>
      <c r="K273" s="20">
        <f t="shared" si="52"/>
        <v>0</v>
      </c>
      <c r="L273" s="20">
        <f t="shared" si="55"/>
        <v>0</v>
      </c>
      <c r="M273" s="20">
        <f t="shared" si="56"/>
        <v>1.2017920971554952</v>
      </c>
      <c r="N273" s="20">
        <f t="shared" si="57"/>
        <v>2.5</v>
      </c>
      <c r="O273" s="20">
        <f t="shared" si="58"/>
        <v>3.7017920971554954</v>
      </c>
      <c r="P273" s="20">
        <f t="shared" si="59"/>
        <v>65.172396076681267</v>
      </c>
      <c r="Q273" s="20">
        <f t="shared" si="60"/>
        <v>0</v>
      </c>
      <c r="R273" s="20">
        <f t="shared" si="61"/>
        <v>0</v>
      </c>
      <c r="S273" s="20">
        <f t="shared" si="62"/>
        <v>0.57520788360339781</v>
      </c>
      <c r="T273" s="20">
        <f t="shared" si="63"/>
        <v>47.933990300283149</v>
      </c>
    </row>
    <row r="274" spans="1:20" x14ac:dyDescent="0.25">
      <c r="A274" s="19">
        <f t="shared" si="64"/>
        <v>272</v>
      </c>
      <c r="B274" s="19">
        <v>5500</v>
      </c>
      <c r="C274" s="19">
        <v>14</v>
      </c>
      <c r="D274" s="20">
        <v>2.5</v>
      </c>
      <c r="E274" s="20">
        <f>'1-Simulation'!F274*60/(2*PI()*'1-Specification &amp; Data'!B$14)</f>
        <v>202.68044489698821</v>
      </c>
      <c r="F274" s="20">
        <f>E274*(IF('1-Simulation'!J274=1,'1-Specification &amp; Data'!H$7,IF('1-Simulation'!J274=2,'1-Specification &amp; Data'!H$8,IF('1-Simulation'!J274=3,'1-Specification &amp; Data'!H$9))))</f>
        <v>2549.1409098186919</v>
      </c>
      <c r="G274" s="20">
        <f>2*PI()*E274*'1-Simulation'!U274/(1000*60)</f>
        <v>-2.8001439318624262</v>
      </c>
      <c r="H274" s="20">
        <f t="shared" si="53"/>
        <v>0</v>
      </c>
      <c r="I274" s="20">
        <f t="shared" si="54"/>
        <v>0</v>
      </c>
      <c r="J274" s="20">
        <f>'1-Simulation'!U274/(IF('1-Simulation'!J274=1,'1-Specification &amp; Data'!H$7,IF('1-Simulation'!J274=2,'1-Specification &amp; Data'!H$8,IF('1-Simulation'!J274=3,'1-Specification &amp; Data'!H$9)))*0.8)</f>
        <v>-13.111968812947394</v>
      </c>
      <c r="K274" s="20">
        <f t="shared" si="52"/>
        <v>0</v>
      </c>
      <c r="L274" s="20">
        <f t="shared" si="55"/>
        <v>0</v>
      </c>
      <c r="M274" s="20">
        <f t="shared" si="56"/>
        <v>1.0636290722300787</v>
      </c>
      <c r="N274" s="20">
        <f t="shared" si="57"/>
        <v>2.5</v>
      </c>
      <c r="O274" s="20">
        <f t="shared" si="58"/>
        <v>3.5636290722300785</v>
      </c>
      <c r="P274" s="20">
        <f t="shared" si="59"/>
        <v>62.739948454754909</v>
      </c>
      <c r="Q274" s="20">
        <f t="shared" si="60"/>
        <v>0</v>
      </c>
      <c r="R274" s="20">
        <f t="shared" si="61"/>
        <v>0</v>
      </c>
      <c r="S274" s="20">
        <f t="shared" si="62"/>
        <v>0.57619778056790616</v>
      </c>
      <c r="T274" s="20">
        <f t="shared" si="63"/>
        <v>48.016481713992178</v>
      </c>
    </row>
    <row r="275" spans="1:20" x14ac:dyDescent="0.25">
      <c r="A275" s="19">
        <f t="shared" si="64"/>
        <v>273</v>
      </c>
      <c r="B275" s="19">
        <v>5500</v>
      </c>
      <c r="C275" s="19">
        <v>14</v>
      </c>
      <c r="D275" s="20">
        <v>2.5</v>
      </c>
      <c r="E275" s="20">
        <f>'1-Simulation'!F275*60/(2*PI()*'1-Specification &amp; Data'!B$14)</f>
        <v>173.72609562598987</v>
      </c>
      <c r="F275" s="20">
        <f>E275*(IF('1-Simulation'!J275=1,'1-Specification &amp; Data'!H$7,IF('1-Simulation'!J275=2,'1-Specification &amp; Data'!H$8,IF('1-Simulation'!J275=3,'1-Specification &amp; Data'!H$9))))</f>
        <v>2184.9779227017357</v>
      </c>
      <c r="G275" s="20">
        <f>2*PI()*E275*'1-Simulation'!U275/(1000*60)</f>
        <v>-2.4237106748411201</v>
      </c>
      <c r="H275" s="20">
        <f t="shared" si="53"/>
        <v>0</v>
      </c>
      <c r="I275" s="20">
        <f t="shared" si="54"/>
        <v>0</v>
      </c>
      <c r="J275" s="20">
        <f>'1-Simulation'!U275/(IF('1-Simulation'!J275=1,'1-Specification &amp; Data'!H$7,IF('1-Simulation'!J275=2,'1-Specification &amp; Data'!H$8,IF('1-Simulation'!J275=3,'1-Specification &amp; Data'!H$9)))*0.8)</f>
        <v>-13.240827190438431</v>
      </c>
      <c r="K275" s="20">
        <f t="shared" si="52"/>
        <v>0</v>
      </c>
      <c r="L275" s="20">
        <f t="shared" si="55"/>
        <v>0</v>
      </c>
      <c r="M275" s="20">
        <f t="shared" si="56"/>
        <v>0.92064165241704976</v>
      </c>
      <c r="N275" s="20">
        <f t="shared" si="57"/>
        <v>2.5</v>
      </c>
      <c r="O275" s="20">
        <f t="shared" si="58"/>
        <v>3.42064165241705</v>
      </c>
      <c r="P275" s="20">
        <f t="shared" si="59"/>
        <v>60.222564303117082</v>
      </c>
      <c r="Q275" s="20">
        <f t="shared" si="60"/>
        <v>0</v>
      </c>
      <c r="R275" s="20">
        <f t="shared" si="61"/>
        <v>0</v>
      </c>
      <c r="S275" s="20">
        <f t="shared" si="62"/>
        <v>0.57714795880468872</v>
      </c>
      <c r="T275" s="20">
        <f t="shared" si="63"/>
        <v>48.095663233724061</v>
      </c>
    </row>
    <row r="276" spans="1:20" x14ac:dyDescent="0.25">
      <c r="A276" s="19">
        <f t="shared" si="64"/>
        <v>274</v>
      </c>
      <c r="B276" s="19">
        <v>5500</v>
      </c>
      <c r="C276" s="19">
        <v>14</v>
      </c>
      <c r="D276" s="20">
        <v>2.5</v>
      </c>
      <c r="E276" s="20">
        <f>'1-Simulation'!F276*60/(2*PI()*'1-Specification &amp; Data'!B$14)</f>
        <v>144.77174635499156</v>
      </c>
      <c r="F276" s="20">
        <f>E276*(IF('1-Simulation'!J276=1,'1-Specification &amp; Data'!H$7,IF('1-Simulation'!J276=2,'1-Specification &amp; Data'!H$8,IF('1-Simulation'!J276=3,'1-Specification &amp; Data'!H$9))))</f>
        <v>2563.0239562483698</v>
      </c>
      <c r="G276" s="20">
        <f>2*PI()*E276*'1-Simulation'!U276/(1000*60)</f>
        <v>-2.0658715722020293</v>
      </c>
      <c r="H276" s="20">
        <f t="shared" si="53"/>
        <v>0</v>
      </c>
      <c r="I276" s="20">
        <f t="shared" si="54"/>
        <v>0</v>
      </c>
      <c r="J276" s="20">
        <f>'1-Simulation'!U276/(IF('1-Simulation'!J276=1,'1-Specification &amp; Data'!H$7,IF('1-Simulation'!J276=2,'1-Specification &amp; Data'!H$8,IF('1-Simulation'!J276=3,'1-Specification &amp; Data'!H$9)))*0.8)</f>
        <v>-9.6212621727768752</v>
      </c>
      <c r="K276" s="20">
        <f t="shared" si="52"/>
        <v>0</v>
      </c>
      <c r="L276" s="20">
        <f t="shared" si="55"/>
        <v>0</v>
      </c>
      <c r="M276" s="20">
        <f t="shared" si="56"/>
        <v>0.78471718495779641</v>
      </c>
      <c r="N276" s="20">
        <f t="shared" si="57"/>
        <v>2.5</v>
      </c>
      <c r="O276" s="20">
        <f t="shared" si="58"/>
        <v>3.2847171849577963</v>
      </c>
      <c r="P276" s="20">
        <f t="shared" si="59"/>
        <v>57.829527904186556</v>
      </c>
      <c r="Q276" s="20">
        <f t="shared" si="60"/>
        <v>0</v>
      </c>
      <c r="R276" s="20">
        <f t="shared" si="61"/>
        <v>0</v>
      </c>
      <c r="S276" s="20">
        <f t="shared" si="62"/>
        <v>0.57806038024495476</v>
      </c>
      <c r="T276" s="20">
        <f t="shared" si="63"/>
        <v>48.171698353746237</v>
      </c>
    </row>
    <row r="277" spans="1:20" x14ac:dyDescent="0.25">
      <c r="A277" s="19">
        <f t="shared" si="64"/>
        <v>275</v>
      </c>
      <c r="B277" s="19">
        <v>5500</v>
      </c>
      <c r="C277" s="19">
        <v>14</v>
      </c>
      <c r="D277" s="20">
        <v>2.5</v>
      </c>
      <c r="E277" s="20">
        <f>'1-Simulation'!F277*60/(2*PI()*'1-Specification &amp; Data'!B$14)</f>
        <v>141.87631142789175</v>
      </c>
      <c r="F277" s="20">
        <f>E277*(IF('1-Simulation'!J277=1,'1-Specification &amp; Data'!H$7,IF('1-Simulation'!J277=2,'1-Specification &amp; Data'!H$8,IF('1-Simulation'!J277=3,'1-Specification &amp; Data'!H$9))))</f>
        <v>2511.7634771234029</v>
      </c>
      <c r="G277" s="20">
        <f>2*PI()*E277*'1-Simulation'!U277/(1000*60)</f>
        <v>0.23633550045051321</v>
      </c>
      <c r="H277" s="20">
        <f t="shared" si="53"/>
        <v>0.27804176523589791</v>
      </c>
      <c r="I277" s="20">
        <f t="shared" si="54"/>
        <v>5.7925367757478732</v>
      </c>
      <c r="J277" s="20">
        <f>'1-Simulation'!U277/(IF('1-Simulation'!J277=1,'1-Specification &amp; Data'!H$7,IF('1-Simulation'!J277=2,'1-Specification &amp; Data'!H$8,IF('1-Simulation'!J277=3,'1-Specification &amp; Data'!H$9)))*0.8)</f>
        <v>1.1231341087857949</v>
      </c>
      <c r="K277" s="20">
        <f t="shared" si="52"/>
        <v>0.32595752079237739</v>
      </c>
      <c r="L277" s="20">
        <f t="shared" si="55"/>
        <v>0.3431131797814499</v>
      </c>
      <c r="M277" s="20">
        <f t="shared" si="56"/>
        <v>0</v>
      </c>
      <c r="N277" s="20">
        <f t="shared" si="57"/>
        <v>2.15688682021855</v>
      </c>
      <c r="O277" s="20">
        <f t="shared" si="58"/>
        <v>2.1740424792076225</v>
      </c>
      <c r="P277" s="20">
        <f t="shared" si="59"/>
        <v>38.275395760697577</v>
      </c>
      <c r="Q277" s="20">
        <f t="shared" si="60"/>
        <v>0</v>
      </c>
      <c r="R277" s="20">
        <f t="shared" si="61"/>
        <v>0</v>
      </c>
      <c r="S277" s="20">
        <f t="shared" si="62"/>
        <v>0.57866428093362354</v>
      </c>
      <c r="T277" s="20">
        <f t="shared" si="63"/>
        <v>48.222023411135297</v>
      </c>
    </row>
    <row r="279" spans="1:20" x14ac:dyDescent="0.25">
      <c r="F279" s="20">
        <f>MAX(F2:F277)</f>
        <v>3641.6298711695595</v>
      </c>
      <c r="H279" s="20">
        <f>MAX(H2:H277)</f>
        <v>11.697406905424803</v>
      </c>
      <c r="I279" s="20">
        <f>MAX(I2:I277)</f>
        <v>243.69597719635007</v>
      </c>
      <c r="P279" s="20">
        <f>MAX(P2:P277)</f>
        <v>118.13578190554743</v>
      </c>
      <c r="Q279" s="20">
        <f>MAX(Q2:Q277)</f>
        <v>11.213255457707858</v>
      </c>
      <c r="R279" s="20">
        <f>MAX(R2:R277)</f>
        <v>233.60948870224703</v>
      </c>
    </row>
    <row r="280" spans="1:20" x14ac:dyDescent="0.25">
      <c r="H280" s="20">
        <f>SUM(H2:H277)</f>
        <v>691.22720611023396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E21"/>
  <sheetViews>
    <sheetView tabSelected="1" workbookViewId="0">
      <selection activeCell="D28" sqref="D28"/>
    </sheetView>
  </sheetViews>
  <sheetFormatPr defaultRowHeight="15.75" x14ac:dyDescent="0.25"/>
  <cols>
    <col min="1" max="1" width="67.28515625" style="23" bestFit="1" customWidth="1"/>
    <col min="2" max="2" width="17.28515625" style="23" bestFit="1" customWidth="1"/>
    <col min="3" max="3" width="9.140625" style="23"/>
    <col min="4" max="4" width="47.5703125" style="23" bestFit="1" customWidth="1"/>
    <col min="5" max="5" width="14" style="23" customWidth="1"/>
    <col min="6" max="16384" width="9.140625" style="23"/>
  </cols>
  <sheetData>
    <row r="3" spans="1:5" x14ac:dyDescent="0.25">
      <c r="A3"/>
      <c r="B3"/>
      <c r="D3"/>
      <c r="E3"/>
    </row>
    <row r="4" spans="1:5" x14ac:dyDescent="0.25">
      <c r="A4" s="23" t="s">
        <v>168</v>
      </c>
      <c r="B4" s="23">
        <v>2.5</v>
      </c>
      <c r="D4" s="23" t="s">
        <v>174</v>
      </c>
      <c r="E4" s="23">
        <v>7.8</v>
      </c>
    </row>
    <row r="5" spans="1:5" x14ac:dyDescent="0.25">
      <c r="A5" s="23" t="s">
        <v>171</v>
      </c>
      <c r="B5" s="23">
        <f>276*B4</f>
        <v>690</v>
      </c>
      <c r="D5" s="23" t="s">
        <v>175</v>
      </c>
      <c r="E5" s="23">
        <f>100/E4</f>
        <v>12.820512820512821</v>
      </c>
    </row>
    <row r="6" spans="1:5" x14ac:dyDescent="0.25">
      <c r="A6" s="23" t="s">
        <v>172</v>
      </c>
      <c r="B6" s="23">
        <f>B5/3600</f>
        <v>0.19166666666666668</v>
      </c>
      <c r="D6" s="23" t="s">
        <v>181</v>
      </c>
      <c r="E6" s="23">
        <f>E5*1.97</f>
        <v>25.256410256410259</v>
      </c>
    </row>
    <row r="7" spans="1:5" x14ac:dyDescent="0.25">
      <c r="A7" s="23" t="s">
        <v>169</v>
      </c>
      <c r="B7" s="23">
        <f>B6*297.2</f>
        <v>56.963333333333338</v>
      </c>
      <c r="D7" s="23" t="s">
        <v>176</v>
      </c>
      <c r="E7" s="23">
        <v>3500</v>
      </c>
    </row>
    <row r="8" spans="1:5" x14ac:dyDescent="0.25">
      <c r="A8" s="23" t="s">
        <v>170</v>
      </c>
      <c r="B8" s="23">
        <f>89.7568-B7</f>
        <v>32.79346666666666</v>
      </c>
    </row>
    <row r="9" spans="1:5" x14ac:dyDescent="0.25">
      <c r="A9" s="23" t="s">
        <v>173</v>
      </c>
      <c r="B9" s="23">
        <f>B8/(1000*0.748)</f>
        <v>4.3841532976827087E-2</v>
      </c>
    </row>
    <row r="10" spans="1:5" x14ac:dyDescent="0.25">
      <c r="A10" s="23" t="s">
        <v>184</v>
      </c>
      <c r="B10" s="23">
        <f>(B9*B21)/1.97</f>
        <v>7767.2547951658271</v>
      </c>
    </row>
    <row r="11" spans="1:5" x14ac:dyDescent="0.25">
      <c r="D11"/>
      <c r="E11"/>
    </row>
    <row r="12" spans="1:5" x14ac:dyDescent="0.25">
      <c r="D12" s="25" t="s">
        <v>187</v>
      </c>
      <c r="E12" s="25" t="s">
        <v>186</v>
      </c>
    </row>
    <row r="13" spans="1:5" x14ac:dyDescent="0.25">
      <c r="D13" s="23" t="s">
        <v>185</v>
      </c>
      <c r="E13" s="23">
        <f>4*1400</f>
        <v>5600</v>
      </c>
    </row>
    <row r="14" spans="1:5" x14ac:dyDescent="0.25">
      <c r="D14" s="23" t="s">
        <v>188</v>
      </c>
      <c r="E14" s="23">
        <v>550</v>
      </c>
    </row>
    <row r="15" spans="1:5" x14ac:dyDescent="0.25">
      <c r="A15"/>
      <c r="B15"/>
      <c r="D15" s="23" t="s">
        <v>139</v>
      </c>
      <c r="E15" s="23">
        <v>550</v>
      </c>
    </row>
    <row r="16" spans="1:5" x14ac:dyDescent="0.25">
      <c r="A16" s="23" t="s">
        <v>177</v>
      </c>
      <c r="B16" s="23">
        <f>(48*216)/1000</f>
        <v>10.368</v>
      </c>
      <c r="D16" s="23" t="s">
        <v>140</v>
      </c>
      <c r="E16" s="23">
        <v>500</v>
      </c>
    </row>
    <row r="17" spans="1:5" x14ac:dyDescent="0.25">
      <c r="A17" s="23" t="s">
        <v>178</v>
      </c>
      <c r="B17" s="23">
        <f>SUM('2-Simulaation'!H2:H277)/3600</f>
        <v>0.19200755725284277</v>
      </c>
      <c r="D17" s="23" t="s">
        <v>189</v>
      </c>
      <c r="E17" s="23">
        <v>250</v>
      </c>
    </row>
    <row r="18" spans="1:5" x14ac:dyDescent="0.25">
      <c r="A18" s="23" t="s">
        <v>179</v>
      </c>
      <c r="B18" s="23">
        <f>(B16*0.7)/B17</f>
        <v>37.798512224406458</v>
      </c>
      <c r="D18" s="23" t="s">
        <v>190</v>
      </c>
      <c r="E18" s="23">
        <v>200</v>
      </c>
    </row>
    <row r="19" spans="1:5" x14ac:dyDescent="0.25">
      <c r="A19" s="23" t="s">
        <v>180</v>
      </c>
      <c r="B19" s="23">
        <f>B18*1.97</f>
        <v>74.463069082080722</v>
      </c>
      <c r="D19" s="23" t="s">
        <v>191</v>
      </c>
      <c r="E19" s="23">
        <f>SUM(E13:E18)</f>
        <v>7650</v>
      </c>
    </row>
    <row r="20" spans="1:5" x14ac:dyDescent="0.25">
      <c r="A20" s="23" t="s">
        <v>182</v>
      </c>
      <c r="B20" s="23">
        <f>B19+E6</f>
        <v>99.719479338490984</v>
      </c>
      <c r="D20" s="23" t="s">
        <v>192</v>
      </c>
      <c r="E20" s="23">
        <f>B10*1.5</f>
        <v>11650.882192748741</v>
      </c>
    </row>
    <row r="21" spans="1:5" x14ac:dyDescent="0.25">
      <c r="A21" s="23" t="s">
        <v>183</v>
      </c>
      <c r="B21" s="23">
        <f>B20*E7</f>
        <v>349018.17768471845</v>
      </c>
      <c r="D21" s="23" t="s">
        <v>193</v>
      </c>
      <c r="E21" s="23">
        <f>E20-E19</f>
        <v>4000.8821927487406</v>
      </c>
    </row>
  </sheetData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3C2EEDB3FECD489FE6CB8E237B85C0" ma:contentTypeVersion="13" ma:contentTypeDescription="Create a new document." ma:contentTypeScope="" ma:versionID="b749f9fcf73bb3aa5d89a616c732ce23">
  <xsd:schema xmlns:xsd="http://www.w3.org/2001/XMLSchema" xmlns:xs="http://www.w3.org/2001/XMLSchema" xmlns:p="http://schemas.microsoft.com/office/2006/metadata/properties" xmlns:ns3="95817cb9-f0eb-4f4d-892c-47ab9f8957c0" xmlns:ns4="9823f8e4-81f3-4a59-a026-c1a9717271fd" targetNamespace="http://schemas.microsoft.com/office/2006/metadata/properties" ma:root="true" ma:fieldsID="ab615b5137423a513ee8fcf24b09bb61" ns3:_="" ns4:_="">
    <xsd:import namespace="95817cb9-f0eb-4f4d-892c-47ab9f8957c0"/>
    <xsd:import namespace="9823f8e4-81f3-4a59-a026-c1a9717271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817cb9-f0eb-4f4d-892c-47ab9f8957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f8e4-81f3-4a59-a026-c1a9717271f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9E1E7B-5559-4569-A204-9136DF76DA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B305FFA-C56A-4811-A82A-29372338343B}">
  <ds:schemaRefs>
    <ds:schemaRef ds:uri="95817cb9-f0eb-4f4d-892c-47ab9f8957c0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dcmitype/"/>
    <ds:schemaRef ds:uri="http://purl.org/dc/elements/1.1/"/>
    <ds:schemaRef ds:uri="9823f8e4-81f3-4a59-a026-c1a9717271fd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98C825C-213F-4C7D-9B9D-F49F106C69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817cb9-f0eb-4f4d-892c-47ab9f8957c0"/>
    <ds:schemaRef ds:uri="9823f8e4-81f3-4a59-a026-c1a9717271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1-Specification &amp; Data</vt:lpstr>
      <vt:lpstr>1-Simulation</vt:lpstr>
      <vt:lpstr>2- Specification Data</vt:lpstr>
      <vt:lpstr>2-Simulaation</vt:lpstr>
      <vt:lpstr>2-Result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Linux</dc:creator>
  <cp:keywords/>
  <dc:description/>
  <cp:lastModifiedBy>Jaimishkumar Navadiya (2109787)</cp:lastModifiedBy>
  <cp:revision/>
  <dcterms:created xsi:type="dcterms:W3CDTF">2021-12-24T01:52:21Z</dcterms:created>
  <dcterms:modified xsi:type="dcterms:W3CDTF">2022-05-18T17:34:29Z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0x0101002F3C2EEDB3FECD489FE6CB8E237B85C0</vt:lpwstr>
  </property>
</Properties>
</file>