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F:\Anthony's Folder\"/>
    </mc:Choice>
  </mc:AlternateContent>
  <xr:revisionPtr revIDLastSave="0" documentId="13_ncr:1_{E6A69819-4032-4E76-8EE0-3D25F605B75C}" xr6:coauthVersionLast="45" xr6:coauthVersionMax="45" xr10:uidLastSave="{00000000-0000-0000-0000-000000000000}"/>
  <bookViews>
    <workbookView xWindow="14625" yWindow="255" windowWidth="13890" windowHeight="15315" activeTab="1" xr2:uid="{E8D0185D-1755-44DC-9F14-B4B361DCFB7C}"/>
  </bookViews>
  <sheets>
    <sheet name="FF COG Calculation" sheetId="20" r:id="rId1"/>
    <sheet name="Comparison I C &amp; DI" sheetId="22" r:id="rId2"/>
    <sheet name="Clutch &amp; Perf Calculation" sheetId="23" r:id="rId3"/>
    <sheet name="Yaw Rate Calculation" sheetId="25" r:id="rId4"/>
    <sheet name="Gear Ratio Calculation" sheetId="26" r:id="rId5"/>
    <sheet name="Rival Data" sheetId="29" r:id="rId6"/>
    <sheet name="Sibling Data" sheetId="27" r:id="rId7"/>
    <sheet name="EngineMass Data" sheetId="28" r:id="rId8"/>
    <sheet name="Friction Coef Data" sheetId="30" r:id="rId9"/>
    <sheet name="SUV Data" sheetId="31" r:id="rId10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23" i="28" l="1"/>
  <c r="E22" i="28"/>
  <c r="D10" i="27"/>
  <c r="E43" i="29"/>
  <c r="M33" i="25" l="1"/>
  <c r="K33" i="25"/>
  <c r="O33" i="25" s="1"/>
  <c r="M30" i="25"/>
  <c r="O30" i="25" s="1"/>
  <c r="K30" i="25"/>
  <c r="M27" i="25"/>
  <c r="M28" i="25" s="1"/>
  <c r="M29" i="25" s="1"/>
  <c r="K27" i="25"/>
  <c r="K28" i="25" s="1"/>
  <c r="O24" i="25"/>
  <c r="M24" i="25"/>
  <c r="K23" i="25"/>
  <c r="E33" i="25"/>
  <c r="C33" i="25"/>
  <c r="E30" i="25"/>
  <c r="C30" i="25"/>
  <c r="G24" i="25"/>
  <c r="E24" i="25"/>
  <c r="C29" i="25"/>
  <c r="C32" i="25" s="1"/>
  <c r="C28" i="25"/>
  <c r="C27" i="25"/>
  <c r="E27" i="25"/>
  <c r="E28" i="25" s="1"/>
  <c r="E29" i="25" s="1"/>
  <c r="E32" i="25" s="1"/>
  <c r="K29" i="25" l="1"/>
  <c r="M32" i="25"/>
  <c r="M31" i="25"/>
  <c r="L27" i="25"/>
  <c r="L28" i="25" s="1"/>
  <c r="L29" i="25" s="1"/>
  <c r="L32" i="25" s="1"/>
  <c r="N27" i="25"/>
  <c r="N28" i="25" s="1"/>
  <c r="N29" i="25" s="1"/>
  <c r="N32" i="25" s="1"/>
  <c r="D40" i="23"/>
  <c r="C23" i="25"/>
  <c r="F27" i="25"/>
  <c r="F28" i="25" s="1"/>
  <c r="F29" i="25" s="1"/>
  <c r="F32" i="25" s="1"/>
  <c r="E34" i="25" s="1"/>
  <c r="F38" i="26"/>
  <c r="G38" i="26" s="1"/>
  <c r="F37" i="26"/>
  <c r="G37" i="26" s="1"/>
  <c r="F36" i="26"/>
  <c r="G36" i="26" s="1"/>
  <c r="F35" i="26"/>
  <c r="G35" i="26" s="1"/>
  <c r="H35" i="26" s="1"/>
  <c r="F34" i="26"/>
  <c r="G34" i="26" s="1"/>
  <c r="F33" i="26"/>
  <c r="G33" i="26" s="1"/>
  <c r="H33" i="26" s="1"/>
  <c r="F32" i="26"/>
  <c r="G32" i="26" s="1"/>
  <c r="D17" i="26"/>
  <c r="F17" i="26" s="1"/>
  <c r="E16" i="26"/>
  <c r="G16" i="26" s="1"/>
  <c r="H24" i="26" s="1"/>
  <c r="D16" i="26"/>
  <c r="F16" i="26" s="1"/>
  <c r="G8" i="26"/>
  <c r="E31" i="25" l="1"/>
  <c r="E17" i="26"/>
  <c r="H17" i="26" s="1"/>
  <c r="G27" i="26" s="1"/>
  <c r="F27" i="26" s="1"/>
  <c r="M34" i="25"/>
  <c r="O28" i="25"/>
  <c r="O27" i="25"/>
  <c r="K31" i="25"/>
  <c r="O31" i="25" s="1"/>
  <c r="O29" i="25"/>
  <c r="K32" i="25"/>
  <c r="D27" i="25"/>
  <c r="D28" i="25" s="1"/>
  <c r="D29" i="25" s="1"/>
  <c r="J33" i="26"/>
  <c r="H32" i="26"/>
  <c r="K33" i="26"/>
  <c r="I33" i="26"/>
  <c r="I32" i="26" s="1"/>
  <c r="I24" i="26"/>
  <c r="J35" i="26"/>
  <c r="H34" i="26"/>
  <c r="I35" i="26"/>
  <c r="I34" i="26" s="1"/>
  <c r="K35" i="26"/>
  <c r="G17" i="26"/>
  <c r="G24" i="26" s="1"/>
  <c r="F24" i="26" s="1"/>
  <c r="D32" i="25" l="1"/>
  <c r="C34" i="25" s="1"/>
  <c r="C31" i="25"/>
  <c r="K34" i="25"/>
  <c r="O34" i="25" s="1"/>
  <c r="O32" i="25"/>
  <c r="G27" i="25"/>
  <c r="J24" i="26"/>
  <c r="J34" i="26"/>
  <c r="K34" i="26"/>
  <c r="K32" i="26"/>
  <c r="J32" i="26"/>
  <c r="G28" i="25" l="1"/>
  <c r="G29" i="25" l="1"/>
  <c r="G30" i="25"/>
  <c r="G31" i="25"/>
  <c r="C35" i="20"/>
  <c r="C34" i="20"/>
  <c r="C25" i="20"/>
  <c r="G32" i="25" l="1"/>
  <c r="G34" i="25"/>
  <c r="G33" i="25"/>
  <c r="G43" i="23"/>
  <c r="F43" i="23"/>
  <c r="E43" i="23"/>
  <c r="E44" i="23" s="1"/>
  <c r="D46" i="23"/>
  <c r="E46" i="23" s="1"/>
  <c r="F46" i="23" s="1"/>
  <c r="D43" i="23"/>
  <c r="D44" i="23" s="1"/>
  <c r="E40" i="23"/>
  <c r="G25" i="23"/>
  <c r="D25" i="23" s="1"/>
  <c r="D27" i="23" s="1"/>
  <c r="D28" i="23" s="1"/>
  <c r="D29" i="23" s="1"/>
  <c r="G14" i="23"/>
  <c r="D47" i="23" l="1"/>
  <c r="G46" i="23"/>
  <c r="G47" i="23" s="1"/>
  <c r="F47" i="23"/>
  <c r="E47" i="23"/>
  <c r="F40" i="23"/>
  <c r="E41" i="23"/>
  <c r="E42" i="23" s="1"/>
  <c r="D41" i="23"/>
  <c r="D42" i="23" s="1"/>
  <c r="C25" i="23"/>
  <c r="C27" i="23" s="1"/>
  <c r="G40" i="23" l="1"/>
  <c r="G41" i="23" s="1"/>
  <c r="G42" i="23" s="1"/>
  <c r="F41" i="23"/>
  <c r="F42" i="23" s="1"/>
  <c r="C28" i="23"/>
  <c r="D45" i="23" s="1"/>
  <c r="F25" i="23"/>
  <c r="F27" i="23" s="1"/>
  <c r="F28" i="23" s="1"/>
  <c r="F29" i="23" s="1"/>
  <c r="E25" i="23"/>
  <c r="E27" i="23" s="1"/>
  <c r="E28" i="23" s="1"/>
  <c r="E29" i="23" s="1"/>
  <c r="E45" i="23" l="1"/>
  <c r="D48" i="23"/>
  <c r="D49" i="23" s="1"/>
  <c r="D50" i="23" s="1"/>
  <c r="G44" i="23"/>
  <c r="F44" i="23"/>
  <c r="C29" i="23"/>
  <c r="G29" i="23" s="1"/>
  <c r="G28" i="23"/>
  <c r="G27" i="23"/>
  <c r="C26" i="23"/>
  <c r="D26" i="23"/>
  <c r="E26" i="23"/>
  <c r="F26" i="23"/>
  <c r="F45" i="23" l="1"/>
  <c r="G45" i="23" s="1"/>
  <c r="E48" i="23"/>
  <c r="E49" i="23" s="1"/>
  <c r="E50" i="23" s="1"/>
  <c r="F48" i="23"/>
  <c r="F49" i="23" s="1"/>
  <c r="F50" i="23" s="1"/>
  <c r="G48" i="23"/>
  <c r="G49" i="23" s="1"/>
  <c r="G50" i="23" s="1"/>
  <c r="C17" i="23"/>
  <c r="F17" i="23"/>
  <c r="D17" i="23"/>
  <c r="G17" i="23"/>
  <c r="G26" i="23"/>
  <c r="I17" i="22"/>
  <c r="I18" i="22" s="1"/>
  <c r="I15" i="22"/>
  <c r="I16" i="22" s="1"/>
  <c r="H17" i="22"/>
  <c r="H18" i="22" s="1"/>
  <c r="G17" i="22"/>
  <c r="G15" i="22"/>
  <c r="G16" i="22" s="1"/>
  <c r="H15" i="22"/>
  <c r="H16" i="22" s="1"/>
  <c r="G28" i="22" l="1"/>
  <c r="G18" i="22"/>
  <c r="G29" i="22" s="1"/>
  <c r="G30" i="22" s="1"/>
  <c r="I29" i="22"/>
  <c r="I28" i="22"/>
  <c r="I30" i="22" s="1"/>
  <c r="I31" i="22" l="1"/>
  <c r="I35" i="22"/>
  <c r="G35" i="22"/>
  <c r="G31" i="22"/>
  <c r="I36" i="22" l="1"/>
  <c r="I33" i="22"/>
  <c r="I37" i="22"/>
  <c r="I34" i="22" s="1"/>
  <c r="G37" i="22"/>
  <c r="G34" i="22" s="1"/>
  <c r="G19" i="22" s="1"/>
  <c r="G20" i="22" s="1"/>
  <c r="G33" i="22"/>
  <c r="G36" i="22"/>
  <c r="H28" i="22"/>
  <c r="H29" i="22"/>
  <c r="I19" i="22" l="1"/>
  <c r="I20" i="22" s="1"/>
  <c r="I22" i="22" s="1"/>
  <c r="G21" i="22"/>
  <c r="G41" i="22" s="1"/>
  <c r="G23" i="22"/>
  <c r="G22" i="22"/>
  <c r="H30" i="22"/>
  <c r="H35" i="22" s="1"/>
  <c r="I21" i="22" l="1"/>
  <c r="I41" i="22" s="1"/>
  <c r="I23" i="22"/>
  <c r="H31" i="22"/>
  <c r="H37" i="22" s="1"/>
  <c r="H34" i="22" s="1"/>
  <c r="H36" i="22"/>
  <c r="D33" i="22"/>
  <c r="C33" i="22"/>
  <c r="B33" i="22"/>
  <c r="B17" i="22"/>
  <c r="C17" i="22"/>
  <c r="D17" i="22"/>
  <c r="E17" i="22"/>
  <c r="F17" i="22"/>
  <c r="F28" i="22" l="1"/>
  <c r="F18" i="22"/>
  <c r="F29" i="22" s="1"/>
  <c r="F30" i="22" s="1"/>
  <c r="F31" i="22" s="1"/>
  <c r="C28" i="22"/>
  <c r="C18" i="22"/>
  <c r="C29" i="22" s="1"/>
  <c r="B28" i="22"/>
  <c r="B18" i="22"/>
  <c r="B29" i="22" s="1"/>
  <c r="B30" i="22" s="1"/>
  <c r="E28" i="22"/>
  <c r="E18" i="22"/>
  <c r="E29" i="22" s="1"/>
  <c r="H33" i="22"/>
  <c r="D28" i="22"/>
  <c r="D18" i="22"/>
  <c r="D29" i="22" s="1"/>
  <c r="D30" i="22" s="1"/>
  <c r="D31" i="22" s="1"/>
  <c r="D37" i="22" s="1"/>
  <c r="D34" i="22" s="1"/>
  <c r="H19" i="22"/>
  <c r="H20" i="22" s="1"/>
  <c r="H21" i="22" s="1"/>
  <c r="H41" i="22" s="1"/>
  <c r="E30" i="22" l="1"/>
  <c r="E31" i="22" s="1"/>
  <c r="C30" i="22"/>
  <c r="H22" i="22"/>
  <c r="H23" i="22"/>
  <c r="D35" i="22"/>
  <c r="E35" i="22"/>
  <c r="E33" i="22"/>
  <c r="E37" i="22"/>
  <c r="E34" i="22" s="1"/>
  <c r="F33" i="22"/>
  <c r="F37" i="22"/>
  <c r="F34" i="22" s="1"/>
  <c r="F35" i="22"/>
  <c r="B31" i="22"/>
  <c r="B37" i="22" s="1"/>
  <c r="B34" i="22" s="1"/>
  <c r="B35" i="22"/>
  <c r="C49" i="20"/>
  <c r="D36" i="22" l="1"/>
  <c r="D19" i="22" s="1"/>
  <c r="D20" i="22" s="1"/>
  <c r="C35" i="22"/>
  <c r="C36" i="22" s="1"/>
  <c r="C31" i="22"/>
  <c r="C37" i="22" s="1"/>
  <c r="C34" i="22" s="1"/>
  <c r="B36" i="22"/>
  <c r="B19" i="22" s="1"/>
  <c r="B20" i="22" s="1"/>
  <c r="F36" i="22"/>
  <c r="F19" i="22" s="1"/>
  <c r="F20" i="22" s="1"/>
  <c r="E36" i="22"/>
  <c r="E19" i="22" s="1"/>
  <c r="E20" i="22" s="1"/>
  <c r="C18" i="20"/>
  <c r="E18" i="20" s="1"/>
  <c r="C17" i="20"/>
  <c r="E17" i="20" s="1"/>
  <c r="C21" i="20" s="1"/>
  <c r="C10" i="20"/>
  <c r="C7" i="20"/>
  <c r="C6" i="20"/>
  <c r="D23" i="22" l="1"/>
  <c r="D22" i="22"/>
  <c r="D21" i="22"/>
  <c r="D41" i="22" s="1"/>
  <c r="C19" i="22"/>
  <c r="C20" i="22" s="1"/>
  <c r="E21" i="22"/>
  <c r="E41" i="22" s="1"/>
  <c r="E23" i="22"/>
  <c r="E22" i="22"/>
  <c r="B21" i="22"/>
  <c r="B41" i="22" s="1"/>
  <c r="B23" i="22"/>
  <c r="B22" i="22"/>
  <c r="F21" i="22"/>
  <c r="F41" i="22" s="1"/>
  <c r="F22" i="22"/>
  <c r="F23" i="22"/>
  <c r="C45" i="20"/>
  <c r="G28" i="20"/>
  <c r="E28" i="20"/>
  <c r="C48" i="20"/>
  <c r="C46" i="20" s="1"/>
  <c r="C44" i="20"/>
  <c r="E8" i="20"/>
  <c r="E12" i="20"/>
  <c r="E15" i="20"/>
  <c r="E14" i="20"/>
  <c r="G9" i="20"/>
  <c r="G12" i="20"/>
  <c r="G8" i="20"/>
  <c r="E11" i="20"/>
  <c r="E9" i="20"/>
  <c r="G11" i="20"/>
  <c r="C21" i="22" l="1"/>
  <c r="C41" i="22" s="1"/>
  <c r="C22" i="22"/>
  <c r="C23" i="22"/>
  <c r="C47" i="20"/>
  <c r="C60" i="20" s="1"/>
  <c r="C61" i="20" s="1"/>
  <c r="C62" i="20" s="1"/>
  <c r="C65" i="20"/>
  <c r="C66" i="20" s="1"/>
  <c r="C67" i="20" s="1"/>
  <c r="E29" i="20"/>
  <c r="E33" i="20" s="1"/>
  <c r="C33" i="20" s="1"/>
  <c r="C51" i="20" l="1"/>
  <c r="C55" i="20"/>
  <c r="C52" i="20"/>
  <c r="E30" i="20"/>
  <c r="E31" i="20" s="1"/>
  <c r="E32" i="20"/>
  <c r="C53" i="20" l="1"/>
  <c r="C54" i="20"/>
  <c r="C69" i="20" l="1"/>
  <c r="C70" i="20" s="1"/>
  <c r="C71" i="20" s="1"/>
</calcChain>
</file>

<file path=xl/sharedStrings.xml><?xml version="1.0" encoding="utf-8"?>
<sst xmlns="http://schemas.openxmlformats.org/spreadsheetml/2006/main" count="1819" uniqueCount="1523">
  <si>
    <t>WF</t>
  </si>
  <si>
    <t>WR</t>
  </si>
  <si>
    <t>EP</t>
  </si>
  <si>
    <t>a</t>
  </si>
  <si>
    <t>b</t>
  </si>
  <si>
    <t>c</t>
  </si>
  <si>
    <t>d</t>
  </si>
  <si>
    <t>e</t>
  </si>
  <si>
    <t>Curb Weight (Whole Vehicle)</t>
  </si>
  <si>
    <t>a + b</t>
  </si>
  <si>
    <t>b + e</t>
  </si>
  <si>
    <t>a - e</t>
  </si>
  <si>
    <t>e = a - 1.5545</t>
  </si>
  <si>
    <t>e = 1.4355 - b</t>
  </si>
  <si>
    <t>WB</t>
  </si>
  <si>
    <t>Comments</t>
  </si>
  <si>
    <t>PA</t>
  </si>
  <si>
    <t>PC</t>
  </si>
  <si>
    <t>f</t>
  </si>
  <si>
    <t>g</t>
  </si>
  <si>
    <t>Looking at Action &amp; Reaction at Moment about the Front and Rear axles</t>
  </si>
  <si>
    <t>WT~</t>
  </si>
  <si>
    <t>WT</t>
  </si>
  <si>
    <t>WF.(a+b) = WB.(b+e) + EP.(a+b-c) - GU.d</t>
  </si>
  <si>
    <t>WR.(a+b) = WB.(a-e) + EP.c + GU.(a+b+d)</t>
  </si>
  <si>
    <t>EP.c = WR.(a+b) - WB.(a-e) - GU.(a+b+d)</t>
  </si>
  <si>
    <t>c = (WR.(a+b) - WB.(a-e) - GU.(a+b+d)) / EP</t>
  </si>
  <si>
    <t>GU</t>
  </si>
  <si>
    <t>EP = (WF.(a+b) - WB.(b+e) + GU.d) / (a+b-c)</t>
  </si>
  <si>
    <t>EP = (WR.(a+b) - WB.(a-e) - GU.(a+b+d)) / c</t>
  </si>
  <si>
    <t>d = (WB.(b+e) + EP.(a+b-c) - WF(a+b)) / GU</t>
  </si>
  <si>
    <t>GU = (WB.(b+e) + EP.(a+b-c) - WF(a+b)) / d</t>
  </si>
  <si>
    <t>GU = (WR.(a+b) - WB.(a-e) - EP.c) / (a+b+d)</t>
  </si>
  <si>
    <t>a = (WR.(a+b) - GU.(a+b+d) - EP.c) / WB + e</t>
  </si>
  <si>
    <t>b = (EP.c - EP.(a+b) + WF.(a+b) + GU.d) / WB - e</t>
  </si>
  <si>
    <t>COG to Front Axle (53%)</t>
  </si>
  <si>
    <t>COG to Rear Axle (47%)</t>
  </si>
  <si>
    <t>New COG (with Children) to Original COG</t>
  </si>
  <si>
    <t>New Weight (Vehicle added Adults and Children)</t>
  </si>
  <si>
    <t xml:space="preserve">- EP.(a+b-c) = WB.(b+e) - GU.d - WF.(a+b) </t>
  </si>
  <si>
    <t>EP.c = WB.(b+e) - GU.d - WF.(a+b) + EP.(a+b)</t>
  </si>
  <si>
    <t>c = (WB.(b+e) - GU.d - WF.(a+b)) / EP + (a+b)</t>
  </si>
  <si>
    <t>GU.(a+b+d) = WR.(a+b) - WB.(a-e) - EP.c</t>
  </si>
  <si>
    <t>GU.d = WB.(b+e) + EP.(a+b-c) -WF.(a+b)</t>
  </si>
  <si>
    <t>d = (WR.(a+b) - WB.(a-e) - EP.c) / GU - (a+b)</t>
  </si>
  <si>
    <t>Reaction at Front axle = Total Weight by Length to Rear</t>
  </si>
  <si>
    <t>Calculation of the Longitudinal COG Position</t>
  </si>
  <si>
    <t>WF~.(a+b) = WB.(b+e) + EP.(a+b-c) + PA.b + PC.g - GU.d</t>
  </si>
  <si>
    <t>WF~= (WB.(b+e) + EP.(a+b-c) + PA.b + PC.g - GU.d) / (a+b)</t>
  </si>
  <si>
    <t>Reaction at Rear axle = Total Weight by Length to Front</t>
  </si>
  <si>
    <t>WR~.(a+b) = WB.(a-e) + EP.c + PA.a + PC.(a+b-g) + GU.(a+b+d)</t>
  </si>
  <si>
    <t>WR~ = (WB.(a-e) + EP.c + PA.a + PC.(a+b-g) + GU.(a+b+d)) / (a+b)</t>
  </si>
  <si>
    <r>
      <t xml:space="preserve">Taking moment </t>
    </r>
    <r>
      <rPr>
        <b/>
        <sz val="10"/>
        <color theme="1"/>
        <rFont val="Calibri"/>
        <family val="2"/>
        <scheme val="minor"/>
      </rPr>
      <t>at the Rear</t>
    </r>
  </si>
  <si>
    <r>
      <t>Taking moment</t>
    </r>
    <r>
      <rPr>
        <b/>
        <sz val="10"/>
        <color theme="1"/>
        <rFont val="Calibri"/>
        <family val="2"/>
        <scheme val="minor"/>
      </rPr>
      <t xml:space="preserve"> at the Front</t>
    </r>
  </si>
  <si>
    <r>
      <t xml:space="preserve">Weight Exerted on Front Axle </t>
    </r>
    <r>
      <rPr>
        <sz val="10"/>
        <color rgb="FFFF0000"/>
        <rFont val="Calibri"/>
        <family val="2"/>
        <scheme val="minor"/>
      </rPr>
      <t>(47%)</t>
    </r>
  </si>
  <si>
    <r>
      <t xml:space="preserve">Weight Exerted on Rear Axle </t>
    </r>
    <r>
      <rPr>
        <sz val="10"/>
        <color rgb="FFFF0000"/>
        <rFont val="Calibri"/>
        <family val="2"/>
        <scheme val="minor"/>
      </rPr>
      <t>(53%)</t>
    </r>
  </si>
  <si>
    <r>
      <t xml:space="preserve">Weight of Engine &amp; PTU </t>
    </r>
    <r>
      <rPr>
        <sz val="10"/>
        <color theme="4"/>
        <rFont val="Calibri"/>
        <family val="2"/>
        <scheme val="minor"/>
      </rPr>
      <t>Estimated</t>
    </r>
  </si>
  <si>
    <r>
      <t xml:space="preserve">Weight of Gear Transmission </t>
    </r>
    <r>
      <rPr>
        <sz val="10"/>
        <color theme="4"/>
        <rFont val="Calibri"/>
        <family val="2"/>
        <scheme val="minor"/>
      </rPr>
      <t>Estimated</t>
    </r>
  </si>
  <si>
    <r>
      <t xml:space="preserve">Weight of Car Body Only </t>
    </r>
    <r>
      <rPr>
        <sz val="10"/>
        <color rgb="FFFF0000"/>
        <rFont val="Calibri"/>
        <family val="2"/>
        <scheme val="minor"/>
      </rPr>
      <t>Calculated</t>
    </r>
  </si>
  <si>
    <r>
      <t xml:space="preserve">Body Only COG to Rear Axle </t>
    </r>
    <r>
      <rPr>
        <sz val="10"/>
        <color rgb="FFFF0000"/>
        <rFont val="Calibri"/>
        <family val="2"/>
        <scheme val="minor"/>
      </rPr>
      <t>Calculated</t>
    </r>
  </si>
  <si>
    <r>
      <t xml:space="preserve">Body Only COG to Front Axle </t>
    </r>
    <r>
      <rPr>
        <sz val="10"/>
        <color rgb="FFFF0000"/>
        <rFont val="Calibri"/>
        <family val="2"/>
        <scheme val="minor"/>
      </rPr>
      <t>Calculated</t>
    </r>
  </si>
  <si>
    <r>
      <t>Engine &amp; PTU COG to Front Axle</t>
    </r>
    <r>
      <rPr>
        <sz val="10"/>
        <color rgb="FFC00000"/>
        <rFont val="Calibri"/>
        <family val="2"/>
        <scheme val="minor"/>
      </rPr>
      <t xml:space="preserve"> </t>
    </r>
    <r>
      <rPr>
        <sz val="10"/>
        <color rgb="FF00B050"/>
        <rFont val="Calibri"/>
        <family val="2"/>
        <scheme val="minor"/>
      </rPr>
      <t>Derived</t>
    </r>
  </si>
  <si>
    <r>
      <t xml:space="preserve">Gear Transmission COG to Rear Axle </t>
    </r>
    <r>
      <rPr>
        <sz val="10"/>
        <color rgb="FF00B050"/>
        <rFont val="Calibri"/>
        <family val="2"/>
        <scheme val="minor"/>
      </rPr>
      <t>Derived</t>
    </r>
  </si>
  <si>
    <r>
      <t xml:space="preserve">COG to Car Body COG </t>
    </r>
    <r>
      <rPr>
        <sz val="10"/>
        <color rgb="FFFF0000"/>
        <rFont val="Calibri"/>
        <family val="2"/>
        <scheme val="minor"/>
      </rPr>
      <t>Calculated</t>
    </r>
  </si>
  <si>
    <r>
      <t>Children Passenger COG to Rear Axle</t>
    </r>
    <r>
      <rPr>
        <sz val="10"/>
        <color rgb="FFC00000"/>
        <rFont val="Calibri"/>
        <family val="2"/>
        <scheme val="minor"/>
      </rPr>
      <t xml:space="preserve"> Estimate</t>
    </r>
  </si>
  <si>
    <t>WT~ Sum</t>
  </si>
  <si>
    <t>Variation to WT</t>
  </si>
  <si>
    <t>Variation in Percentage</t>
  </si>
  <si>
    <t xml:space="preserve">f = (WT~.b – WF~.(a+b)) / WT~ </t>
  </si>
  <si>
    <t>f = (WR~.(a+b) – WT~.a)) / WT~</t>
  </si>
  <si>
    <t>l</t>
  </si>
  <si>
    <t>Car Length</t>
  </si>
  <si>
    <t>Car Width</t>
  </si>
  <si>
    <t>w</t>
  </si>
  <si>
    <t>Wheel Base &gt;&gt;&gt;</t>
  </si>
  <si>
    <t>u</t>
  </si>
  <si>
    <t>v</t>
  </si>
  <si>
    <t>rx1</t>
  </si>
  <si>
    <t>mx1</t>
  </si>
  <si>
    <t>Mass of Inner Car Body(1) = WB - mx1</t>
  </si>
  <si>
    <t>Area of Inner Car Body(1) = (l - 2e) x w</t>
  </si>
  <si>
    <r>
      <t>(rb1)</t>
    </r>
    <r>
      <rPr>
        <sz val="10"/>
        <color theme="1"/>
        <rFont val="Arial"/>
        <family val="2"/>
      </rPr>
      <t>²</t>
    </r>
  </si>
  <si>
    <t>mb1</t>
  </si>
  <si>
    <t>COG to COG of the Adult Passengers = w / 4</t>
  </si>
  <si>
    <t>C = I / ((WT+PA) * a)</t>
  </si>
  <si>
    <t>DI = C / b</t>
  </si>
  <si>
    <t>Ab1</t>
  </si>
  <si>
    <t>Calculation of Vehicle Moment of Inertia, Inertial Conjugate and Dynamic Index</t>
  </si>
  <si>
    <t>Vehicle with only Adult Passengers :</t>
  </si>
  <si>
    <t>Vehicle with Adult and Children Passengers :</t>
  </si>
  <si>
    <t>rx2</t>
  </si>
  <si>
    <t>mx2</t>
  </si>
  <si>
    <t>COG~ to Outter Car Body bit(2) = a+u-e-f</t>
  </si>
  <si>
    <t>Mass of Outter Car Body bit(2) = 2(e+f) / l x WB</t>
  </si>
  <si>
    <t>SYM</t>
  </si>
  <si>
    <t>Discription</t>
  </si>
  <si>
    <t>mb2</t>
  </si>
  <si>
    <t>Ab2</t>
  </si>
  <si>
    <r>
      <t>(rb2)</t>
    </r>
    <r>
      <rPr>
        <sz val="10"/>
        <color theme="1"/>
        <rFont val="Arial"/>
        <family val="2"/>
      </rPr>
      <t>²</t>
    </r>
  </si>
  <si>
    <t>rPA</t>
  </si>
  <si>
    <t>DI = C / (b-f)</t>
  </si>
  <si>
    <t>C = I / ((WT+PA+PC) * (a+f))</t>
  </si>
  <si>
    <t>Mass of Outer Car Body bit(1) = 2e / l x WB</t>
  </si>
  <si>
    <t>COG to Outer Car Body bit(1) = a+u-e</t>
  </si>
  <si>
    <r>
      <t xml:space="preserve">Radius of DISK Inner Car Body(1) = Ab1 / </t>
    </r>
    <r>
      <rPr>
        <sz val="10"/>
        <color theme="1"/>
        <rFont val="Calibri"/>
        <family val="2"/>
      </rPr>
      <t>π</t>
    </r>
    <r>
      <rPr>
        <sz val="10"/>
        <color theme="1"/>
        <rFont val="Calibri"/>
        <family val="2"/>
        <scheme val="minor"/>
      </rPr>
      <t xml:space="preserve"> </t>
    </r>
  </si>
  <si>
    <r>
      <t xml:space="preserve">Radius of DISK Inner Car Body(2) = Ab2 / </t>
    </r>
    <r>
      <rPr>
        <sz val="10"/>
        <color theme="1"/>
        <rFont val="Calibri"/>
        <family val="2"/>
      </rPr>
      <t>π</t>
    </r>
    <r>
      <rPr>
        <sz val="10"/>
        <color theme="1"/>
        <rFont val="Calibri"/>
        <family val="2"/>
        <scheme val="minor"/>
      </rPr>
      <t xml:space="preserve"> </t>
    </r>
  </si>
  <si>
    <t>Weight of two Adult Passengers</t>
  </si>
  <si>
    <t>Weight of two Child Passengers</t>
  </si>
  <si>
    <t>Vehicle without Passengers :</t>
  </si>
  <si>
    <t>C = I / ((WT) * a)</t>
  </si>
  <si>
    <t>Vector Drawing</t>
  </si>
  <si>
    <t>Picture</t>
  </si>
  <si>
    <t>52/48</t>
  </si>
  <si>
    <t>41/59</t>
  </si>
  <si>
    <t>43/57</t>
  </si>
  <si>
    <t>50/50</t>
  </si>
  <si>
    <t>Car Front to Front Axle</t>
  </si>
  <si>
    <t>Car Rear to Rear Axle</t>
  </si>
  <si>
    <t>47/53</t>
  </si>
  <si>
    <t>Vehicle Length (m)</t>
  </si>
  <si>
    <t>Vehicle Width (m)</t>
  </si>
  <si>
    <t>Wheel Base (m)</t>
  </si>
  <si>
    <t>Kerb Weight (kg)</t>
  </si>
  <si>
    <t>Front &amp; Rear Ratio (%/%)</t>
  </si>
  <si>
    <t>Car Front to Front Axle (m)</t>
  </si>
  <si>
    <t>Car Rear to Rear Axle (m)</t>
  </si>
  <si>
    <t>a   (m)</t>
  </si>
  <si>
    <t>b   (m)</t>
  </si>
  <si>
    <t xml:space="preserve">Source : </t>
  </si>
  <si>
    <t>https://drawingdatabase.com/</t>
  </si>
  <si>
    <t>https://www.ultimatespecs.com/car-specs/Ferrari/</t>
  </si>
  <si>
    <t>Inertial Conjugate (m)</t>
  </si>
  <si>
    <t>Calculation Here :</t>
  </si>
  <si>
    <t>Mass of Inner Car Body(2) = WB - mx2</t>
  </si>
  <si>
    <t>Area of Inner Car Body(2) = (l - 2e - 2f) x w</t>
  </si>
  <si>
    <t>a + u</t>
  </si>
  <si>
    <t>b + v</t>
  </si>
  <si>
    <t>rx1 = (a+u) If (a+u) &lt; (b+v), otherwise = (b+v)</t>
  </si>
  <si>
    <t>Mass of Outer Car Body bit</t>
  </si>
  <si>
    <t>I</t>
  </si>
  <si>
    <t>C</t>
  </si>
  <si>
    <t>a+b</t>
  </si>
  <si>
    <t>Ratio</t>
  </si>
  <si>
    <t>DI</t>
  </si>
  <si>
    <t>a+u</t>
  </si>
  <si>
    <t>b+v</t>
  </si>
  <si>
    <t>Mass of Inner Car Body bit</t>
  </si>
  <si>
    <t>mx1 = ABS((a+u)-(b+v)) / l x WT</t>
  </si>
  <si>
    <t>mb1 = WT - mx1</t>
  </si>
  <si>
    <t>Length of OB bit = ABS((a+u)-(b+u))</t>
  </si>
  <si>
    <t>Length of Outer Body bit</t>
  </si>
  <si>
    <t>Length of Inner Body bit</t>
  </si>
  <si>
    <t>COG to Outer Car Body bit COG</t>
  </si>
  <si>
    <t>lob</t>
  </si>
  <si>
    <t>lib</t>
  </si>
  <si>
    <t>Length of IB bit = l - lob</t>
  </si>
  <si>
    <t>rx1 = l / 2</t>
  </si>
  <si>
    <t>Radius of DISK Inner Car Body</t>
  </si>
  <si>
    <t>Area of Inner Car Body bit</t>
  </si>
  <si>
    <t>Ab1 = lib x w</t>
  </si>
  <si>
    <t>COG to Car Front</t>
  </si>
  <si>
    <t>COG to Car Rear</t>
  </si>
  <si>
    <r>
      <t>(rb1)</t>
    </r>
    <r>
      <rPr>
        <sz val="10"/>
        <color rgb="FFC00000"/>
        <rFont val="Arial"/>
        <family val="2"/>
      </rPr>
      <t>²</t>
    </r>
  </si>
  <si>
    <t>I = mx1*(rx1)²+(mb1*(rb1)²)/2</t>
  </si>
  <si>
    <t>Base Car</t>
  </si>
  <si>
    <r>
      <t>I = EP.(a-c)</t>
    </r>
    <r>
      <rPr>
        <sz val="10"/>
        <color rgb="FFC00000"/>
        <rFont val="Arial"/>
        <family val="2"/>
      </rPr>
      <t>²</t>
    </r>
    <r>
      <rPr>
        <sz val="10"/>
        <color rgb="FFC00000"/>
        <rFont val="Calibri"/>
        <family val="2"/>
        <scheme val="minor"/>
      </rPr>
      <t xml:space="preserve"> + mx1.(rx1)</t>
    </r>
    <r>
      <rPr>
        <sz val="10"/>
        <color rgb="FFC00000"/>
        <rFont val="Arial"/>
        <family val="2"/>
      </rPr>
      <t>²</t>
    </r>
    <r>
      <rPr>
        <sz val="10"/>
        <color rgb="FFC00000"/>
        <rFont val="Calibri"/>
        <family val="2"/>
        <scheme val="minor"/>
      </rPr>
      <t xml:space="preserve"> + mb1.(rb1)</t>
    </r>
    <r>
      <rPr>
        <sz val="10"/>
        <color rgb="FFC00000"/>
        <rFont val="Arial"/>
        <family val="2"/>
      </rPr>
      <t>²/2 + GU.(b+d)²</t>
    </r>
  </si>
  <si>
    <r>
      <t>I = EP.(a-c)</t>
    </r>
    <r>
      <rPr>
        <sz val="10"/>
        <color rgb="FFC00000"/>
        <rFont val="Arial"/>
        <family val="2"/>
      </rPr>
      <t>²</t>
    </r>
    <r>
      <rPr>
        <sz val="10"/>
        <color rgb="FFC00000"/>
        <rFont val="Calibri"/>
        <family val="2"/>
        <scheme val="minor"/>
      </rPr>
      <t xml:space="preserve"> + mx1.(rx1)</t>
    </r>
    <r>
      <rPr>
        <sz val="10"/>
        <color rgb="FFC00000"/>
        <rFont val="Arial"/>
        <family val="2"/>
      </rPr>
      <t>²</t>
    </r>
    <r>
      <rPr>
        <sz val="10"/>
        <color rgb="FFC00000"/>
        <rFont val="Calibri"/>
        <family val="2"/>
        <scheme val="minor"/>
      </rPr>
      <t xml:space="preserve"> + mb1.(rb1)</t>
    </r>
    <r>
      <rPr>
        <sz val="10"/>
        <color rgb="FFC00000"/>
        <rFont val="Arial"/>
        <family val="2"/>
      </rPr>
      <t>²/2 + PA.(rPA)² + GU.(b+d)²</t>
    </r>
  </si>
  <si>
    <r>
      <t>I = EP.(a-c+f)</t>
    </r>
    <r>
      <rPr>
        <sz val="10"/>
        <color rgb="FFC00000"/>
        <rFont val="Arial"/>
        <family val="2"/>
      </rPr>
      <t>²</t>
    </r>
    <r>
      <rPr>
        <sz val="10"/>
        <color rgb="FFC00000"/>
        <rFont val="Calibri"/>
        <family val="2"/>
        <scheme val="minor"/>
      </rPr>
      <t xml:space="preserve"> + mx2.(rx2)</t>
    </r>
    <r>
      <rPr>
        <sz val="10"/>
        <color rgb="FFC00000"/>
        <rFont val="Arial"/>
        <family val="2"/>
      </rPr>
      <t>²</t>
    </r>
    <r>
      <rPr>
        <sz val="10"/>
        <color rgb="FFC00000"/>
        <rFont val="Calibri"/>
        <family val="2"/>
        <scheme val="minor"/>
      </rPr>
      <t xml:space="preserve"> + mb2.(rb2)</t>
    </r>
    <r>
      <rPr>
        <sz val="10"/>
        <color rgb="FFC00000"/>
        <rFont val="Arial"/>
        <family val="2"/>
      </rPr>
      <t>²/2 + PA.(rPA)² + PC.(b-f-g)² + GU.(b+d-f)²</t>
    </r>
  </si>
  <si>
    <r>
      <t xml:space="preserve">(rb1)² = Ab1 / </t>
    </r>
    <r>
      <rPr>
        <sz val="10"/>
        <color theme="9" tint="-0.249977111117893"/>
        <rFont val="Calibri"/>
        <family val="2"/>
      </rPr>
      <t>π</t>
    </r>
    <r>
      <rPr>
        <sz val="10"/>
        <color theme="9" tint="-0.249977111117893"/>
        <rFont val="Calibri"/>
        <family val="2"/>
        <scheme val="minor"/>
      </rPr>
      <t xml:space="preserve"> </t>
    </r>
  </si>
  <si>
    <t>Dynamic Index (dimension less)</t>
  </si>
  <si>
    <r>
      <t>Inertia (kgm</t>
    </r>
    <r>
      <rPr>
        <sz val="10"/>
        <color theme="1"/>
        <rFont val="Arial"/>
        <family val="2"/>
      </rPr>
      <t>²</t>
    </r>
    <r>
      <rPr>
        <sz val="10"/>
        <color theme="1"/>
        <rFont val="Calibri"/>
        <family val="2"/>
      </rPr>
      <t>)</t>
    </r>
  </si>
  <si>
    <t>DI Location (to rear axle)</t>
  </si>
  <si>
    <t>Centre of Percussion to Rear Axle (m)</t>
  </si>
  <si>
    <t>Ferrari 250</t>
  </si>
  <si>
    <t>Ferrari 355</t>
  </si>
  <si>
    <t>Ferrari 430</t>
  </si>
  <si>
    <t>Ferrari 550</t>
  </si>
  <si>
    <t>Ferrari FF</t>
  </si>
  <si>
    <t>Porsche Panamera 970</t>
  </si>
  <si>
    <t>b = a+b - a</t>
  </si>
  <si>
    <t>Bentley Continental GT Mark II</t>
  </si>
  <si>
    <t>55/45</t>
  </si>
  <si>
    <t>Bentley Continental GT SPEED</t>
  </si>
  <si>
    <t>Maximum of 20% total Torque to Front.</t>
  </si>
  <si>
    <t>Maximum Torque and Power:</t>
  </si>
  <si>
    <t>So front clutch pack always operate with some slipage for front and rear wheelspeeds to match!</t>
  </si>
  <si>
    <t>Front spin is 6% more than back.</t>
  </si>
  <si>
    <t>No frontbox engagement.</t>
  </si>
  <si>
    <t>To Rearbox rpm</t>
  </si>
  <si>
    <t>To FrontBox rpm</t>
  </si>
  <si>
    <t>Front Wheel</t>
  </si>
  <si>
    <t>Rear Wheel</t>
  </si>
  <si>
    <t>Circumference</t>
  </si>
  <si>
    <t>245/35 ZR20</t>
  </si>
  <si>
    <t>295/35 ZR20</t>
  </si>
  <si>
    <t>Diameter</t>
  </si>
  <si>
    <t>@ rpm &gt;&gt;&gt;</t>
  </si>
  <si>
    <t>Rear Drive Overall Ratio</t>
  </si>
  <si>
    <t>Tyre type</t>
  </si>
  <si>
    <t>Front Drive Overall Ratio</t>
  </si>
  <si>
    <t>Front spin is 6% more than back.  Max Power @8000rpm</t>
  </si>
  <si>
    <t>No frontbox engagement. Max poer @8000rpm</t>
  </si>
  <si>
    <t>Nm</t>
  </si>
  <si>
    <t>kW</t>
  </si>
  <si>
    <t>Front Left</t>
  </si>
  <si>
    <t>Front Right</t>
  </si>
  <si>
    <t>Rear Left</t>
  </si>
  <si>
    <t xml:space="preserve"> Rear Right</t>
  </si>
  <si>
    <t>Total</t>
  </si>
  <si>
    <t>Assume:</t>
  </si>
  <si>
    <t>N</t>
  </si>
  <si>
    <t xml:space="preserve">r (m) = </t>
  </si>
  <si>
    <t>Rear Gear Ratio</t>
  </si>
  <si>
    <t>Ferrari FF Calculations</t>
  </si>
  <si>
    <t>Drive Force = Torque x radius of car wheel</t>
  </si>
  <si>
    <r>
      <t xml:space="preserve">Power = Torque x </t>
    </r>
    <r>
      <rPr>
        <sz val="11"/>
        <color theme="1"/>
        <rFont val="Calibri"/>
        <family val="2"/>
      </rPr>
      <t>ω</t>
    </r>
  </si>
  <si>
    <r>
      <rPr>
        <sz val="11"/>
        <color theme="1"/>
        <rFont val="Calibri"/>
        <family val="2"/>
      </rPr>
      <t>ω is the Angular Velocity</t>
    </r>
  </si>
  <si>
    <t>radius</t>
  </si>
  <si>
    <t>Units</t>
  </si>
  <si>
    <t>With Front Passenger</t>
  </si>
  <si>
    <t xml:space="preserve">z = </t>
  </si>
  <si>
    <r>
      <t>Tc = z.</t>
    </r>
    <r>
      <rPr>
        <sz val="11"/>
        <color rgb="FFC00000"/>
        <rFont val="Vivaldi"/>
        <family val="4"/>
      </rPr>
      <t>µ.</t>
    </r>
    <r>
      <rPr>
        <sz val="11"/>
        <color rgb="FFC00000"/>
        <rFont val="Calibri"/>
        <family val="2"/>
      </rPr>
      <t>F.r</t>
    </r>
  </si>
  <si>
    <r>
      <rPr>
        <sz val="11"/>
        <color rgb="FFC00000"/>
        <rFont val="Vivaldi"/>
        <family val="4"/>
      </rPr>
      <t>µ</t>
    </r>
    <r>
      <rPr>
        <sz val="11"/>
        <color rgb="FFC00000"/>
        <rFont val="Calibri"/>
        <family val="2"/>
      </rPr>
      <t xml:space="preserve"> = </t>
    </r>
  </si>
  <si>
    <t>F Vs R rpm difference %</t>
  </si>
  <si>
    <t>Engine to Shaft ratio</t>
  </si>
  <si>
    <t>Gear Number</t>
  </si>
  <si>
    <t>F = m.a</t>
  </si>
  <si>
    <t>Torque Capacity = Number of plates x coefficient of friction of wet clutch x Normal (or Clamp) force x mean radius of clutch plate (of gyration)</t>
  </si>
  <si>
    <t>Mass</t>
  </si>
  <si>
    <t>CF1</t>
  </si>
  <si>
    <t>CF2</t>
  </si>
  <si>
    <t>With Front &amp; Rear Passenger</t>
  </si>
  <si>
    <r>
      <t xml:space="preserve"> m/s</t>
    </r>
    <r>
      <rPr>
        <sz val="11"/>
        <color theme="1"/>
        <rFont val="Arial"/>
        <family val="2"/>
      </rPr>
      <t>²</t>
    </r>
  </si>
  <si>
    <t xml:space="preserve"> kg</t>
  </si>
  <si>
    <t>Ferrari FF can do 100km/hr in 3.5s</t>
  </si>
  <si>
    <t xml:space="preserve">Check Calculation : </t>
  </si>
  <si>
    <r>
      <t>V</t>
    </r>
    <r>
      <rPr>
        <sz val="11"/>
        <color theme="1"/>
        <rFont val="Calibri"/>
        <family val="2"/>
        <scheme val="minor"/>
      </rPr>
      <t>¹ = 27.22 m/s</t>
    </r>
  </si>
  <si>
    <r>
      <t>V</t>
    </r>
    <r>
      <rPr>
        <sz val="11"/>
        <color theme="1"/>
        <rFont val="Calibri"/>
        <family val="2"/>
        <scheme val="minor"/>
      </rPr>
      <t>º = 0 m/s</t>
    </r>
  </si>
  <si>
    <t>t = 3.5s</t>
  </si>
  <si>
    <t>So Acceleration (a) =</t>
  </si>
  <si>
    <t>that is after 3.5 s the velocity = 27.22 m/s</t>
  </si>
  <si>
    <t>Acceleration Improvement calculation :</t>
  </si>
  <si>
    <t>Clutch Pack Torque Capacity and Acceleration findings :</t>
  </si>
  <si>
    <t>http://hpwizard.com/tire-friction-coefficient.html</t>
  </si>
  <si>
    <t>Regular Tyre</t>
  </si>
  <si>
    <t>Ice</t>
  </si>
  <si>
    <t>Acceleration</t>
  </si>
  <si>
    <t>Source of Coefficient figures :</t>
  </si>
  <si>
    <t>Dry Asphalt</t>
  </si>
  <si>
    <t>Hard Packed Snow</t>
  </si>
  <si>
    <t>Gravel/Wet Asphalt</t>
  </si>
  <si>
    <t>Traction Coefficient</t>
  </si>
  <si>
    <t>Traction Coefficient = Max Traction force / Normal Force</t>
  </si>
  <si>
    <r>
      <rPr>
        <sz val="11"/>
        <color theme="1"/>
        <rFont val="Vivaldi"/>
        <family val="4"/>
      </rPr>
      <t>µ</t>
    </r>
    <r>
      <rPr>
        <sz val="11"/>
        <color theme="1"/>
        <rFont val="Calibri"/>
        <family val="2"/>
      </rPr>
      <t xml:space="preserve"> = F</t>
    </r>
    <r>
      <rPr>
        <sz val="11"/>
        <color theme="1"/>
        <rFont val="Symbol"/>
        <family val="1"/>
        <charset val="2"/>
      </rPr>
      <t>k</t>
    </r>
    <r>
      <rPr>
        <sz val="11"/>
        <color theme="1"/>
        <rFont val="Calibri"/>
        <family val="2"/>
      </rPr>
      <t>/ N</t>
    </r>
  </si>
  <si>
    <t>Rear Wheel Drive</t>
  </si>
  <si>
    <t>Normal Force</t>
  </si>
  <si>
    <t>Traction force</t>
  </si>
  <si>
    <t xml:space="preserve"> kg with Two Adult passengers at front.</t>
  </si>
  <si>
    <t xml:space="preserve">Weight = </t>
  </si>
  <si>
    <t>4WD</t>
  </si>
  <si>
    <t>Normal Force = Weight = m.g</t>
  </si>
  <si>
    <t>Front N Force</t>
  </si>
  <si>
    <t>Front Fk Force</t>
  </si>
  <si>
    <t>Rear N Force</t>
  </si>
  <si>
    <t>Rear Fk Force</t>
  </si>
  <si>
    <t>Total Fk Force</t>
  </si>
  <si>
    <t xml:space="preserve">Assume coefficient of Traction is = </t>
  </si>
  <si>
    <t>Available Front Clamping force</t>
  </si>
  <si>
    <t>Performance Improvement :</t>
  </si>
  <si>
    <t>b-f</t>
  </si>
  <si>
    <t>a+f</t>
  </si>
  <si>
    <t>Introduced to Market</t>
  </si>
  <si>
    <t>Max Torque to  Each Wheel (Nm)</t>
  </si>
  <si>
    <t>Torque (Nm) [15% lost to Slip]</t>
  </si>
  <si>
    <t>Clamping Force Needed (N)</t>
  </si>
  <si>
    <t>Clamping Force (N) [6% lost to front]</t>
  </si>
  <si>
    <t>Clamping Force (N) [further 15% lost to slip]</t>
  </si>
  <si>
    <t>Dim.less</t>
  </si>
  <si>
    <t xml:space="preserve"> m/s²</t>
  </si>
  <si>
    <t>%</t>
  </si>
  <si>
    <t>The frontbox, first gear is 6% taller than the second gear in the rear gearbox.</t>
  </si>
  <si>
    <t>The frontbox, second gear is 6% taller than the fourth gear in the rear gearbox.</t>
  </si>
  <si>
    <t>With Front Passengers</t>
  </si>
  <si>
    <t>Front+Rear Passengers</t>
  </si>
  <si>
    <t>Acceleration = V¹ - Vº / t</t>
  </si>
  <si>
    <t>Applying CF1 condition only (6% lost of force at front axle)</t>
  </si>
  <si>
    <t>Front Weight =</t>
  </si>
  <si>
    <t>Rear Weight =</t>
  </si>
  <si>
    <r>
      <rPr>
        <b/>
        <sz val="11"/>
        <color theme="1"/>
        <rFont val="Calibri"/>
        <family val="2"/>
      </rPr>
      <t xml:space="preserve">F Vs R </t>
    </r>
    <r>
      <rPr>
        <b/>
        <sz val="11"/>
        <color theme="1"/>
        <rFont val="Calibri"/>
        <family val="2"/>
        <scheme val="minor"/>
      </rPr>
      <t>rpm difference</t>
    </r>
  </si>
  <si>
    <r>
      <t xml:space="preserve">Power = Torque X </t>
    </r>
    <r>
      <rPr>
        <sz val="11"/>
        <color theme="1"/>
        <rFont val="Calibri"/>
        <family val="2"/>
      </rPr>
      <t>ω</t>
    </r>
  </si>
  <si>
    <r>
      <rPr>
        <sz val="11"/>
        <color theme="1"/>
        <rFont val="Calibri"/>
        <family val="2"/>
      </rPr>
      <t>ω is the Angular Velocity</t>
    </r>
    <r>
      <rPr>
        <sz val="11"/>
        <color theme="1"/>
        <rFont val="Calibri"/>
        <family val="2"/>
        <scheme val="minor"/>
      </rPr>
      <t xml:space="preserve"> = P/T =</t>
    </r>
  </si>
  <si>
    <t>Looking at the problem via the Max Speed of vehicle engaged at its 4th gear.</t>
  </si>
  <si>
    <t>Assume Max Speed = 180kmph</t>
  </si>
  <si>
    <t xml:space="preserve">(Wheel) </t>
  </si>
  <si>
    <t>or at mpm</t>
  </si>
  <si>
    <t>Looking at the problem via the Max Speed of vehicle engaged at its 7th gear.</t>
  </si>
  <si>
    <t>Assume Max Speed = 335kmph</t>
  </si>
  <si>
    <t>rpm at wheel (at 180kmph)</t>
  </si>
  <si>
    <t>rpm at wheel (at 335kmph)</t>
  </si>
  <si>
    <r>
      <rPr>
        <b/>
        <sz val="11"/>
        <color theme="1"/>
        <rFont val="Calibri"/>
        <family val="2"/>
      </rPr>
      <t xml:space="preserve">∆ </t>
    </r>
    <r>
      <rPr>
        <b/>
        <sz val="11"/>
        <color theme="1"/>
        <rFont val="Calibri"/>
        <family val="2"/>
        <scheme val="minor"/>
      </rPr>
      <t>rpm % (frontVrear)</t>
    </r>
  </si>
  <si>
    <t>Percentage %</t>
  </si>
  <si>
    <t>Yaw Rate Increase findings :</t>
  </si>
  <si>
    <r>
      <t xml:space="preserve">Derived from </t>
    </r>
    <r>
      <rPr>
        <b/>
        <sz val="14"/>
        <color rgb="FFC00000"/>
        <rFont val="Calibri"/>
        <family val="2"/>
        <scheme val="minor"/>
      </rPr>
      <t xml:space="preserve"> Max Speed</t>
    </r>
    <r>
      <rPr>
        <b/>
        <sz val="14"/>
        <color theme="1"/>
        <rFont val="Calibri"/>
        <family val="2"/>
        <scheme val="minor"/>
      </rPr>
      <t xml:space="preserve">  above  :  Purpose to Check Sum.</t>
    </r>
  </si>
  <si>
    <t>For there is still the consideration of ROLLING RESISTANCE + AERO RESISTANCE + OTHER RESISTANCE(e.g. Gradient) = DRIVE FORCE</t>
  </si>
  <si>
    <t>Which is closed to the found figures &gt;&gt;&gt;</t>
  </si>
  <si>
    <t>mpm = meter per minute</t>
  </si>
  <si>
    <t>At Maximum Torques of 8000rpm  (below FF Gear Ratio figures are actuals, found from Internet)</t>
  </si>
  <si>
    <t>Yaw Rate</t>
  </si>
  <si>
    <t>Gear Ratio findings :</t>
  </si>
  <si>
    <t>Table copy from Clutch and Performance Calculation SpreadSheet</t>
  </si>
  <si>
    <t>Balance</t>
  </si>
  <si>
    <t xml:space="preserve">Front Track : </t>
  </si>
  <si>
    <t xml:space="preserve">Rear Track : </t>
  </si>
  <si>
    <t xml:space="preserve">Left Wheel : </t>
  </si>
  <si>
    <t xml:space="preserve">Right Wheel = </t>
  </si>
  <si>
    <t>Force Diverted : Left and Right</t>
  </si>
  <si>
    <t>Force [6% lost to front]</t>
  </si>
  <si>
    <t>Torque Table</t>
  </si>
  <si>
    <t>Force[further 15% lost to slip]</t>
  </si>
  <si>
    <t>Max Force to  Each Wheel (N)</t>
  </si>
  <si>
    <t xml:space="preserve">Front Track r : </t>
  </si>
  <si>
    <t xml:space="preserve">Rear Track r : </t>
  </si>
  <si>
    <t>T = rF</t>
  </si>
  <si>
    <t>Car Body Inertia, Approximate!</t>
  </si>
  <si>
    <r>
      <t>I = MR</t>
    </r>
    <r>
      <rPr>
        <sz val="11"/>
        <color theme="1"/>
        <rFont val="Arial"/>
        <family val="2"/>
      </rPr>
      <t>²</t>
    </r>
    <r>
      <rPr>
        <sz val="11"/>
        <color theme="1"/>
        <rFont val="Calibri"/>
        <family val="2"/>
      </rPr>
      <t>/2</t>
    </r>
  </si>
  <si>
    <r>
      <t>T = I</t>
    </r>
    <r>
      <rPr>
        <sz val="11"/>
        <color theme="1"/>
        <rFont val="Arial"/>
        <family val="2"/>
      </rPr>
      <t>α</t>
    </r>
  </si>
  <si>
    <t>Yaw Rate = Torque / Monment of Inertia</t>
  </si>
  <si>
    <t>Torque = radius x Force</t>
  </si>
  <si>
    <t xml:space="preserve">Car Width : </t>
  </si>
  <si>
    <t>Moment</t>
  </si>
  <si>
    <t>Ferrari Comparison Table and the calculation of :</t>
  </si>
  <si>
    <t>Inertia, Inertia Conjugate and Dynamic Index figures.</t>
  </si>
  <si>
    <t>Ferrari FF Calculation</t>
  </si>
  <si>
    <t xml:space="preserve"> https://www.carfolio.com/specifications/models/car/</t>
  </si>
  <si>
    <t>Porsche Panamera Turbo (970)</t>
  </si>
  <si>
    <t>Bentley Continental GT SPEED Mark II</t>
  </si>
  <si>
    <t>Year</t>
  </si>
  <si>
    <t>2011 - 2016</t>
  </si>
  <si>
    <t>2009 - 2017</t>
  </si>
  <si>
    <t>2011 - 2018</t>
  </si>
  <si>
    <t>2012 - date</t>
  </si>
  <si>
    <t>Class</t>
  </si>
  <si>
    <t>GT - Coupe</t>
  </si>
  <si>
    <t>Super Saloon</t>
  </si>
  <si>
    <t>GT - Coupe/Convertible</t>
  </si>
  <si>
    <t>Body type</t>
  </si>
  <si>
    <t>2 Door 4 Seat</t>
  </si>
  <si>
    <t>4 Door 4 Seat</t>
  </si>
  <si>
    <t>2 Door 2+2 Seat</t>
  </si>
  <si>
    <t>Engine position</t>
  </si>
  <si>
    <t>front</t>
  </si>
  <si>
    <t>Drive wheels</t>
  </si>
  <si>
    <t>4 Wheel Drive</t>
  </si>
  <si>
    <t>Transmission</t>
  </si>
  <si>
    <t>7 Speed Dual Clutch</t>
  </si>
  <si>
    <t>7 speed automatic</t>
  </si>
  <si>
    <t>6 speed automatic</t>
  </si>
  <si>
    <t>8 speed automatic</t>
  </si>
  <si>
    <t>Dimensions</t>
  </si>
  <si>
    <t>Wheelbase</t>
  </si>
  <si>
    <t>2990 </t>
  </si>
  <si>
    <t>2920 </t>
  </si>
  <si>
    <t>2746 </t>
  </si>
  <si>
    <t>Length</t>
  </si>
  <si>
    <t>4907 </t>
  </si>
  <si>
    <t>4970 </t>
  </si>
  <si>
    <t>4806 </t>
  </si>
  <si>
    <t>Width</t>
  </si>
  <si>
    <t>1953 </t>
  </si>
  <si>
    <t>1931 </t>
  </si>
  <si>
    <t>1943 </t>
  </si>
  <si>
    <t>1944 </t>
  </si>
  <si>
    <t>Height</t>
  </si>
  <si>
    <t>1379 </t>
  </si>
  <si>
    <t>1418 </t>
  </si>
  <si>
    <t>1403 </t>
  </si>
  <si>
    <t>1394 </t>
  </si>
  <si>
    <t>Kerb weight</t>
  </si>
  <si>
    <t>1880 kg</t>
  </si>
  <si>
    <t>1995 kg</t>
  </si>
  <si>
    <t>2495 kg</t>
  </si>
  <si>
    <t>2320 kg</t>
  </si>
  <si>
    <t>Engine</t>
  </si>
  <si>
    <t>Cylinders</t>
  </si>
  <si>
    <t>V 12 in 65° vee</t>
  </si>
  <si>
    <t>V 8</t>
  </si>
  <si>
    <t>W 12 in 15° vee</t>
  </si>
  <si>
    <t>Capacity</t>
  </si>
  <si>
    <t>6262 cc</t>
  </si>
  <si>
    <t>4806 cc</t>
  </si>
  <si>
    <t>5998 cc</t>
  </si>
  <si>
    <t>Max Power</t>
  </si>
  <si>
    <t>660 PS (650.5 bhp) (485 kW) @8000rpm </t>
  </si>
  <si>
    <t>550 PS (542.5 bhp) (405 kW) @6000rpm </t>
  </si>
  <si>
    <t>575 PS (567 bhp) (423 kW) @6000rpm </t>
  </si>
  <si>
    <t>625 PS (616.2 bhp) (460 kW) @5900rpm </t>
  </si>
  <si>
    <t>Max Torque</t>
  </si>
  <si>
    <t>683 Nm (504 ft·lb) (69.6 kgm) @6000rpm </t>
  </si>
  <si>
    <t>800 Nm (590 ft·lb) (81.6 kgm) @3000rpm </t>
  </si>
  <si>
    <t>700 Nm (516 ft·lb) (71.4 kgm) @1700rpm </t>
  </si>
  <si>
    <t>800 Nm (590 ft·lb) (81.6 kgm) @2000rpm </t>
  </si>
  <si>
    <t>Top Speed</t>
  </si>
  <si>
    <t>335 km/h (208 mph)</t>
  </si>
  <si>
    <t>306 km/h (190 mph)</t>
  </si>
  <si>
    <t>314 km/h (195 mph)</t>
  </si>
  <si>
    <t>330 km/h (205 mph)</t>
  </si>
  <si>
    <t>0 - 60 mph</t>
  </si>
  <si>
    <t>3.5 s</t>
  </si>
  <si>
    <t>3.7 s</t>
  </si>
  <si>
    <t>4.4 s</t>
  </si>
  <si>
    <t>3.9 s</t>
  </si>
  <si>
    <t>Wheels</t>
  </si>
  <si>
    <t>Wheel size front</t>
  </si>
  <si>
    <t>8½J x 20</t>
  </si>
  <si>
    <t>9½J x 20</t>
  </si>
  <si>
    <t>9½J x 21</t>
  </si>
  <si>
    <t>Wheel size rear</t>
  </si>
  <si>
    <t>10½J x 20</t>
  </si>
  <si>
    <t>11J x 20</t>
  </si>
  <si>
    <t>Tyres front</t>
  </si>
  <si>
    <t>245/45 ZR 20</t>
  </si>
  <si>
    <t>255/40 ZR 20</t>
  </si>
  <si>
    <t>275/40 ZR 20</t>
  </si>
  <si>
    <t>275/35 ZR 21</t>
  </si>
  <si>
    <t>Tyres rear</t>
  </si>
  <si>
    <t>295/35 ZR 20</t>
  </si>
  <si>
    <t>Front brake diameter</t>
  </si>
  <si>
    <t>398 mm</t>
  </si>
  <si>
    <t>390 mm</t>
  </si>
  <si>
    <t>405 mm</t>
  </si>
  <si>
    <t>Rear brake diameter</t>
  </si>
  <si>
    <t>360 mm</t>
  </si>
  <si>
    <t>350 mm</t>
  </si>
  <si>
    <t>335 mm</t>
  </si>
  <si>
    <t>Sales Figure Researched:</t>
  </si>
  <si>
    <t>USD75,000 to 100,000</t>
  </si>
  <si>
    <t>USD175,000 to 200,000</t>
  </si>
  <si>
    <t>All Porsche Panamera</t>
  </si>
  <si>
    <t>Bentley</t>
  </si>
  <si>
    <t>All ontinental GT / GTC</t>
  </si>
  <si>
    <t>N/A</t>
  </si>
  <si>
    <t>Total :</t>
  </si>
  <si>
    <t xml:space="preserve"> </t>
  </si>
  <si>
    <t xml:space="preserve">https://www.continentalautosports.com/ferrari-information/ferrari-car-history/  </t>
  </si>
  <si>
    <t>Model</t>
  </si>
  <si>
    <t>Number Produced</t>
  </si>
  <si>
    <t>Start</t>
  </si>
  <si>
    <t>End</t>
  </si>
  <si>
    <t>Max PS</t>
  </si>
  <si>
    <t>Top Speed (MPH)</t>
  </si>
  <si>
    <t>Zero-60 (s)</t>
  </si>
  <si>
    <t>V12</t>
  </si>
  <si>
    <t>V8</t>
  </si>
  <si>
    <t>612 Scaglietti</t>
  </si>
  <si>
    <t>--</t>
  </si>
  <si>
    <t>Research Data</t>
  </si>
  <si>
    <t>Mass (kg)</t>
  </si>
  <si>
    <t>Combined System</t>
  </si>
  <si>
    <t>Small Car</t>
  </si>
  <si>
    <t>modern aluminum four cylinder engine</t>
  </si>
  <si>
    <t>Medium Car</t>
  </si>
  <si>
    <t>V8 in General</t>
  </si>
  <si>
    <t>McLaren F1</t>
  </si>
  <si>
    <t>F1 Tx is especially light, not comparable to commercial Saloon Car.</t>
  </si>
  <si>
    <t>Porsche 996 Carrera</t>
  </si>
  <si>
    <t>Porsche 996 Turbo</t>
  </si>
  <si>
    <t>Mercedes 5.8L -- V12</t>
  </si>
  <si>
    <t>BMW 5.0 -- V12</t>
  </si>
  <si>
    <t>Jaguar 5.3 -- V12</t>
  </si>
  <si>
    <t>Ferrari 456GT -- V12</t>
  </si>
  <si>
    <t>Ferrari F50 -- V12 (titanium rods)</t>
  </si>
  <si>
    <t>(titanium rods)</t>
  </si>
  <si>
    <t>Ferrari F430</t>
  </si>
  <si>
    <t>Ferrari 360 Modena</t>
  </si>
  <si>
    <t>Ferrari F355</t>
  </si>
  <si>
    <t>Ferrari “250” V12</t>
  </si>
  <si>
    <t>Converter &gt;&gt;&gt;</t>
  </si>
  <si>
    <t>Lbs</t>
  </si>
  <si>
    <t>kgs</t>
  </si>
  <si>
    <t>From  Pound(s)  to  Kilogram(s)</t>
  </si>
  <si>
    <t>From  Kilogram(s)  to  Pound(s)</t>
  </si>
  <si>
    <t>In General</t>
  </si>
  <si>
    <t>130 to 350</t>
  </si>
  <si>
    <t>40 to 136</t>
  </si>
  <si>
    <t>(5 Speed) - Rear Wheel Drive</t>
  </si>
  <si>
    <t>GM 4WD (5 Speed) Transmission</t>
  </si>
  <si>
    <t>85 to 133</t>
  </si>
  <si>
    <t>ENGINE WEIGHT – A COMPREHENSIVE LIST</t>
  </si>
  <si>
    <t>Written By Editor on 2014-04-14,</t>
  </si>
  <si>
    <t>http://blogs.youwheel.com/2014/04/14/engine-weight-a-comprehensive-list/</t>
  </si>
  <si>
    <t>Since the data comes from different sources, there may be duplications or conflicts in the list.</t>
  </si>
  <si>
    <t>Following data in kg:</t>
  </si>
  <si>
    <t>Bugatti Veyron: 400kg</t>
  </si>
  <si>
    <t>Cadillac Sixteen: 316kg</t>
  </si>
  <si>
    <t>Chrysler Viper GTS: 295kg</t>
  </si>
  <si>
    <t>Chevrolet Corvette C4: 281kg</t>
  </si>
  <si>
    <t>McLaren F1: 266kg</t>
  </si>
  <si>
    <t>Porsche 996 Turbo: 260kg</t>
  </si>
  <si>
    <t>Porsche 928: 260kg</t>
  </si>
  <si>
    <t>Ferrari Enzo</t>
  </si>
  <si>
    <t>Mercedes-Benz SL65/CL65 AMG: 253kg</t>
  </si>
  <si>
    <t>Pagani Zonda F: 250kg</t>
  </si>
  <si>
    <t>BMW E60 M5: 240kg</t>
  </si>
  <si>
    <t>Porsche 964C4: 238kg</t>
  </si>
  <si>
    <t>Ferrari 456GT: 235kg</t>
  </si>
  <si>
    <t>Maserati MC12: 232kg</t>
  </si>
  <si>
    <t>Mercedes-Benz SLR McLaren: 232kg</t>
  </si>
  <si>
    <t>Ferrari Enzo: 225kg</t>
  </si>
  <si>
    <t>Audi S8 5.2: 220kg</t>
  </si>
  <si>
    <t>655ci V8 From Indy: 220kg</t>
  </si>
  <si>
    <t>Koenigsegg CCR: 215kg</t>
  </si>
  <si>
    <t>Lexus LS400 (94): 210kg</t>
  </si>
  <si>
    <t>BMW 740i (92): 210kg</t>
  </si>
  <si>
    <t>Porsche Carrera GT: 205kg</t>
  </si>
  <si>
    <t>Porsche 996 Carrera: 204kg</t>
  </si>
  <si>
    <t>Porsche 997 Carrera S: 201kg</t>
  </si>
  <si>
    <t>Chevrolet Corvette C6: 201kg</t>
  </si>
  <si>
    <t>Chevrolet Corvette C6 Z06: 200kg</t>
  </si>
  <si>
    <t>Mercedes-Benz E63 AMG: 199kg</t>
  </si>
  <si>
    <t>Ferrari F50: 198kg</t>
  </si>
  <si>
    <t>Audi S4 4.2: 195kg</t>
  </si>
  <si>
    <t>Jaguar XJ220: 194kg</t>
  </si>
  <si>
    <t>BMW 335i: 190kg</t>
  </si>
  <si>
    <t>Ferrari F430: 188kg</t>
  </si>
  <si>
    <t>Maserati GranSport: 184kg</t>
  </si>
  <si>
    <t>Ferrari 360 Modena: 184kg</t>
  </si>
  <si>
    <t>Porsche Boxster MK1: 182kg</t>
  </si>
  <si>
    <t>Chevrolet Corvette C5: 177kg</t>
  </si>
  <si>
    <t>Honda S2000: 175kg</t>
  </si>
  <si>
    <t>Ferrari 360 Challenge Stradale: 173kg</t>
  </si>
  <si>
    <t>Audi A4 3.2 V6: 170kg</t>
  </si>
  <si>
    <t>Ferrari F355: 168kg</t>
  </si>
  <si>
    <t>Mercedes-Benz C55 AMG: 167kg</t>
  </si>
  <si>
    <t>BMW 330i (M54): 162kg</t>
  </si>
  <si>
    <t>Lotus Exige Sport: 157kg</t>
  </si>
  <si>
    <t>Audi S3 07: 152kg</t>
  </si>
  <si>
    <t>TVR Cerbera 4.5: 121kg</t>
  </si>
  <si>
    <t>Lotus Elise MK2: 115kg</t>
  </si>
  <si>
    <t>Powertec 2.6 V8, RSR8: 88kg</t>
  </si>
  <si>
    <t>Supercharged RST V8: 86kg</t>
  </si>
  <si>
    <t>RST V8 (Catherham: 74kg</t>
  </si>
  <si>
    <t>BMW N20: 138kg</t>
  </si>
  <si>
    <t>BMW N54: 178kg</t>
  </si>
  <si>
    <t>BMW N55: 177kg</t>
  </si>
  <si>
    <t>BMW N63: 228kg</t>
  </si>
  <si>
    <t xml:space="preserve"> The following data is in pounds:</t>
  </si>
  <si>
    <t>Alfa Romeo SOHC V6   375</t>
  </si>
  <si>
    <t>Alfa Romeo 1600       261    (with cams, generator, distributer, oil, etc but no manifolds or carbs)</t>
  </si>
  <si>
    <t>AMC V8      540         (late design V8s)</t>
  </si>
  <si>
    <t>AMC V8      600         (early design V8s)</t>
  </si>
  <si>
    <t>AMC 6        500         (early design six – 199)</t>
  </si>
  <si>
    <t>Audi 2.0 L4             335</t>
  </si>
  <si>
    <t>Audi 5                 364     (non-turbo)</t>
  </si>
  <si>
    <t>Audi 80 1300            230</t>
  </si>
  <si>
    <t>Audi 100 1500           240</t>
  </si>
  <si>
    <t>Audi V6 2.8             354</t>
  </si>
  <si>
    <t>BMW M52 3.3,3.5 Big Six 500</t>
  </si>
  <si>
    <t>BMW M60 B 40 4.0 V8     468</t>
  </si>
  <si>
    <t>BMW M60 Small Six       388</t>
  </si>
  <si>
    <t>BMW slant-6 turbodiesel 430</t>
  </si>
  <si>
    <t>BMW 5.0 V12             529     “fully dressed”</t>
  </si>
  <si>
    <t>BMW 3.0,4.0 V8          462     all aluminum</t>
  </si>
  <si>
    <t>BMW 2.3 turbo Diesel    408   iron block, alum head, “complete”</t>
  </si>
  <si>
    <t>BMW S14 four            350     318i motor</t>
  </si>
  <si>
    <t>Buick 3.0 V6 1985-up     350</t>
  </si>
  <si>
    <t>Buick even-fire 3.8     380</t>
  </si>
  <si>
    <t>Buick 4.1 V6            410</t>
  </si>
  <si>
    <t>Buick 3.0 V6            377</t>
  </si>
  <si>
    <t>Buick/Rover 215 V8      318         (and Olds)</t>
  </si>
  <si>
    <t>Buick 350 V8            450     “lightest of GMs iron V8s”</t>
  </si>
  <si>
    <t>Buick 430-455 V8        600   (one ref showed 640) (10 – 600)</t>
  </si>
  <si>
    <t>Cadillac V8 390         720     (1959)</t>
  </si>
  <si>
    <t>Cadillac V8 472-500     625</t>
  </si>
  <si>
    <t>Cadillac Northstar V8   464     (dressed)</t>
  </si>
  <si>
    <t>Cadillac 4.9L (300 ci)  360    1991 DeVille, w/alt &amp; flexplate</t>
  </si>
  <si>
    <t>Chevy Sprint 993cc L3   147     (Suzuki mfr)</t>
  </si>
  <si>
    <t>Chevy 1.8-2.0 L4        302     “J car” pushrod</t>
  </si>
  <si>
    <t>Chevy Chevette 1.6 SOHC 300     (also Opel)</t>
  </si>
  <si>
    <t>Chevy Vega L4           285</t>
  </si>
  <si>
    <t>Chevy II 153 L4         350</t>
  </si>
  <si>
    <t>Chevy Corvair flat 6    300</t>
  </si>
  <si>
    <t>Chevy L6 194-250        440</t>
  </si>
  <si>
    <t>Chevy L6 216/235        630</t>
  </si>
  <si>
    <t>Chevy V6-90 229-4.3    425</t>
  </si>
  <si>
    <t>Chevy V6-60 2.8, 3.1    350</t>
  </si>
  <si>
    <t>Chevy small block V8    575   (generic for 1960s-1970s motors)</t>
  </si>
  <si>
    <t>Chevy small block V8    535     (1959 Corvette 283 w/alum. intake)</t>
  </si>
  <si>
    <t>Chevy small block LS1   460</t>
  </si>
  <si>
    <t>Chevy LT-5 L98 5.7 V8        600</t>
  </si>
  <si>
    <t>Chevy V8 348/408        655</t>
  </si>
  <si>
    <t>Chevy big block V8      685    Mark IV</t>
  </si>
  <si>
    <t>Chevy 7.4L V8         656    iron, no intake, exh, carb, starter</t>
  </si>
  <si>
    <t>Chevy 427 ZL-1         550  all-aluminum, “20# lighter than SB”</t>
  </si>
  <si>
    <t>Chevy 6.5L Diesel V8    644</t>
  </si>
  <si>
    <t>Chevy 400 SB         470   aluminum heads and intake, no acc. or wp</t>
  </si>
  <si>
    <t>Chevy 396 BB         610    iron heads, alum. wp and intake, no acc.</t>
  </si>
  <si>
    <t>Chrysler 2.2, 2.5 L4    276</t>
  </si>
  <si>
    <t>Chrysler 413 wedge    640   (1959 300-E)</t>
  </si>
  <si>
    <t>Chrysler 331 Hemi     745   1955</t>
  </si>
  <si>
    <t>Citroen 2.0 Douvrin 4   263</t>
  </si>
  <si>
    <t>Cosworth HB Series 6    286     75 deg V8  595mmL</t>
  </si>
  <si>
    <t>Cosworth DFR V8         308     90 degree bank angle</t>
  </si>
  <si>
    <t>Cosworth V8             370     1967, with clutch and injection</t>
  </si>
  <si>
    <t>Dodge Colt (Japanese)   212     also Plymouth Champ, 1.4, 1.6L four</t>
  </si>
  <si>
    <t>Dodge V8             645     (241-325 CID, 1950s)</t>
  </si>
  <si>
    <t>Dodge Viper V10         716     with accessories</t>
  </si>
  <si>
    <t>Dodge Viper V10 (1997)   648</t>
  </si>
  <si>
    <t>Dodge truck V10         816</t>
  </si>
  <si>
    <t>Ferrari “250” V12       382</t>
  </si>
  <si>
    <t>Ferrari 456 V12         517     65 degree, 5.5L, 1992</t>
  </si>
  <si>
    <t>Ferrari F50 4.7L V12    432     iron block, titanium rods</t>
  </si>
  <si>
    <t>FIAT/Ferrari Dino V6    285</t>
  </si>
  <si>
    <t>Fiat Twin Cam           272     four cyl, from Fiat 128</t>
  </si>
  <si>
    <t>Ford 1600 CVH           282  (US Escort)</t>
  </si>
  <si>
    <t>Ford 2.3 Lima/Pinto L4  450  (turbo)</t>
  </si>
  <si>
    <t>Ford 2.3 L4 Turbo     380     Turbo T-Bird engine w/turbo, flywheel</t>
  </si>
  <si>
    <t>Ford Zetec              238</t>
  </si>
  <si>
    <t>Ford Capri/Pinto V6     365     2.6, 2.8L Cologne</t>
  </si>
  <si>
    <t>Ford England Essex V6   379     (3 liter)</t>
  </si>
  <si>
    <t>Ford 3.8 V6-90          298     “complete”</t>
  </si>
  <si>
    <t>Ford Duratec 2.5/3.0 V6 360     (“fully dressed”)</t>
  </si>
  <si>
    <t>Ford/Mazda Mondeo V6    225    60 deg, all aluminum, 4v</t>
  </si>
  <si>
    <t>Ford Taurus SHO 3.0/3.2 465     Taurus SHO V6</t>
  </si>
  <si>
    <t>Ford 170-250 L6         385   (except Australian w/aluminum head)</t>
  </si>
  <si>
    <t>Ford 4.2 V6     488   flexplate and front dress, no A/C compressor. Shipping wt w/skid</t>
  </si>
  <si>
    <t>Ford 3.8L V6            376     1998 Mustang, dressed (dry)</t>
  </si>
  <si>
    <t>Ford flathead V8     569     (1953 239 CID)</t>
  </si>
  <si>
    <t>Ford 255 Windsor   468</t>
  </si>
  <si>
    <t>Ford 289/302 V8     460     (late 5.0s are a bit lighter)</t>
  </si>
  <si>
    <t>Ford 5.0 V8             411     89 Mustang 5.0 GT (dry) inc: manifold, Not inc: acc.</t>
  </si>
  <si>
    <t>Ford BOSS 302       500</t>
  </si>
  <si>
    <t>Ford 351 Cleveland 550     (includes BOSS and Australian 302-C)</t>
  </si>
  <si>
    <t>Ford 351 Windsor   510</t>
  </si>
  <si>
    <t>Ford 351M-400      575</t>
  </si>
  <si>
    <t>Ford Y block V8    625 (272-312 CID)</t>
  </si>
  <si>
    <t>Ford FE big block 650  (332-428 CID)</t>
  </si>
  <si>
    <t>Ford 427 SOHC   680</t>
  </si>
  <si>
    <t>Ford 429/460 V8  640</t>
  </si>
  <si>
    <t>Ford 429-460      720</t>
  </si>
  <si>
    <t>Ford 4.6 SOHC   530    iron block, aluminum heads</t>
  </si>
  <si>
    <t>Ford 4.6 DOHC  521  aluminum block and heads</t>
  </si>
  <si>
    <t>Ford Taurus SHO 3.2 V8  390  Taurus SHO V8, no accessories</t>
  </si>
  <si>
    <t>Ford Triton V10         635     “dressed”</t>
  </si>
  <si>
    <t>Honda RA168E F1 V6      329     80 deg, 1500cc</t>
  </si>
  <si>
    <t>Honda 24V V6            491     Acura Legend motor</t>
  </si>
  <si>
    <t>Honda B18B four         326     1995 Civic</t>
  </si>
  <si>
    <t>Honda B20B four         318     1997 Civic</t>
  </si>
  <si>
    <t>Honda Civic 1200        161      1974 Civic, excluding clutch and radiator</t>
  </si>
  <si>
    <t>Honda Civic 1500        205     1974 Civic, as above</t>
  </si>
  <si>
    <t>Infiniti Q45 V8   509 “45 pounds heavier than Ford DOHC”</t>
  </si>
  <si>
    <t>Isuzu 1.8 Diesel L4     384     (4)</t>
  </si>
  <si>
    <t>Isuzu 1.8 gas L4        311     (4)</t>
  </si>
  <si>
    <t>Jaguar V12              680</t>
  </si>
  <si>
    <t>Jaguar/Orbital 3.2 V6   359     supercharged two stroke</t>
  </si>
  <si>
    <t>Jaguar 4.2L six         604</t>
  </si>
  <si>
    <t>Jaguar XJ220 V6         427    complete w/turbos, wiring</t>
  </si>
  <si>
    <t>Jaguar AJ6 4.0L         531</t>
  </si>
  <si>
    <t>Jaguar AJV8 4.0L        441     “fully dressed”</t>
  </si>
  <si>
    <t>Jaguar 3.4-liter XK     576     flywheel, electrical equipment, and exhaust manifolds.</t>
  </si>
  <si>
    <t>Jaguar 3.8 six          592     dress as above</t>
  </si>
  <si>
    <t>Jaguar 4.2 six          605     dress as above</t>
  </si>
  <si>
    <t>Jaguar 5.3 V12          612     dress as above</t>
  </si>
  <si>
    <t>Jaguar 3.6 six          430     “test bed condition”</t>
  </si>
  <si>
    <t>Lotus 907 (Esprit)      275     inc. alt. &amp; starter, no clutch</t>
  </si>
  <si>
    <t>Mazda 12A and 13B       260</t>
  </si>
  <si>
    <t>Mazda 10A rotary        268     (R100) (bare)</t>
  </si>
  <si>
    <t>Mazda 12A rotary        356     (Japanese model turbo, EFI)</t>
  </si>
  <si>
    <t>Mazda 13G 3-rotor race  319     3-rotor race motor, with accessories</t>
  </si>
  <si>
    <t>Mazda 13B FI         337    1986-1992 160hp (w/oil and water)</t>
  </si>
  <si>
    <t>Mercedes SOHC V8 alum.  452</t>
  </si>
  <si>
    <t>Mercedes SOHC V8 iron   540</t>
  </si>
  <si>
    <t>Mercedes 5.6L V8        467</t>
  </si>
  <si>
    <t>Mercedes OM 615 Diesel  447</t>
  </si>
  <si>
    <t>Mercedes 2.8/4.2 V6     331     1997, SOHC 3V, “shipped for assembly”</t>
  </si>
  <si>
    <t>Mercedes 3.2L V6        330     1997 SOHC, 90 deg, 3 valve</t>
  </si>
  <si>
    <t>Mercedes 5.8L V12       490     1997, 3 valve</t>
  </si>
  <si>
    <t>Mopar Slant Six         475</t>
  </si>
  <si>
    <t>Mopar 273-340 “A” V8    525</t>
  </si>
  <si>
    <t>Mopar 360 “A”           550</t>
  </si>
  <si>
    <t>Mopar 361-383-400 V8    620</t>
  </si>
  <si>
    <t>Mopar 413-426W-440 V8   670</t>
  </si>
  <si>
    <t>Mopar Street Hemi       765         (690 bare)</t>
  </si>
  <si>
    <t>Nissan CA20 FWD         269     belt cam</t>
  </si>
  <si>
    <t>Nissan Z20 NAPS-Z 2.0   346     RWD chain cam</t>
  </si>
  <si>
    <t>Nissan Maxima V6 3.0    264     60 deg, racing SR2</t>
  </si>
  <si>
    <t>Nissan VG33 3.3L        433     un-dressed, SOHC V6</t>
  </si>
  <si>
    <t>Nissan L series         265     1.6 and 1.8, and NAPS-Z</t>
  </si>
  <si>
    <t>Nissan 3.0 V6         360     300ZX, Maxima, and pickup. SOHC</t>
  </si>
  <si>
    <t>Olds 304 “Rocket” V8  671     first Olds V8, 1949</t>
  </si>
  <si>
    <t>Olds 330 J2         700         (first generation V8)</t>
  </si>
  <si>
    <t>Olds 330-400      560     low deck, w/accessories, no flywheel</t>
  </si>
  <si>
    <t>Olds 371, 394      760</t>
  </si>
  <si>
    <t>Olds 400-455      620     high deck w/accessories, no flywheel</t>
  </si>
  <si>
    <t>Olds 262 V6 Diesel   590     (from GM SAE paper)</t>
  </si>
  <si>
    <t>Opel 2.8-3.0 CIH L6     395</t>
  </si>
  <si>
    <t>Peugeot Douvrin 2.0 4   263</t>
  </si>
  <si>
    <t>Peugeot 104 1400        260     includes transaxle</t>
  </si>
  <si>
    <t>Peugeot Indenor XD-90   415    Diesel, aluminum head and sump</t>
  </si>
  <si>
    <t>Peugeot 16 valve        316</t>
  </si>
  <si>
    <t>Peugeot ES9 J4 3.0L     473     fully dressed, all alloy 24V, 60 deg. V6</t>
  </si>
  <si>
    <t>Pontiac L4             350         Iron Duke, Tech IV</t>
  </si>
  <si>
    <t>Pontiac Tempest slant 4 470</t>
  </si>
  <si>
    <t>Pontiac SOHC 6          450</t>
  </si>
  <si>
    <t>Pontiac 389 V8          650</t>
  </si>
  <si>
    <t>Pontiac 301 V8          452</t>
  </si>
  <si>
    <t>Porsche 914/4      265</t>
  </si>
  <si>
    <t>Porsche 912         210   1582cc</t>
  </si>
  <si>
    <t>Porsche 914 1980cc   311</t>
  </si>
  <si>
    <t>Porsche 4.7 SOHC V8 574</t>
  </si>
  <si>
    <t>Porsche 901 6       401 (1963)</t>
  </si>
  <si>
    <t>Rambler 327 V8  600</t>
  </si>
  <si>
    <t>Renault 2.0 4 Douvrin   263</t>
  </si>
  <si>
    <t>Renault 2.8 V6          375  (also DeLorean, Peugeot, Volvo)</t>
  </si>
  <si>
    <t>Renault E-series 1.2L   238</t>
  </si>
  <si>
    <t>Rover 3.0 SOHC L6   432</t>
  </si>
  <si>
    <t>Rover 2000 four         312   1960s engine</t>
  </si>
  <si>
    <t>Rover KV-6 2.5L       335     “fully equipped”</t>
  </si>
  <si>
    <t>Subaru 2.2L             269     aero conversion</t>
  </si>
  <si>
    <t>Subaru 1.8L four        188     pushrod, 1781cc</t>
  </si>
  <si>
    <t>Toyota 22RE 318</t>
  </si>
  <si>
    <t>Toyota 5M-GE 340</t>
  </si>
  <si>
    <t>Toyota 7M-GTE 420</t>
  </si>
  <si>
    <t>Toyota 1UZ-FE 395</t>
  </si>
  <si>
    <t>Toyota 1JZ/2JZ 450</t>
  </si>
  <si>
    <t>Toyota 1G-GTE 385</t>
  </si>
  <si>
    <t>Toyota 1G-EU 2.6 L6     340     with oil and coolant (SOHC)</t>
  </si>
  <si>
    <t>Toyota 1G-GEU 2.0 L6    355     with oil and coolant (DOHC)</t>
  </si>
  <si>
    <t>Toyota 4M Hemi L6       400</t>
  </si>
  <si>
    <t>Toyota V6             469     1992 Camry iron V6</t>
  </si>
  <si>
    <t>Toyota V6 3.0L          401     1994 Camry aluminum V6 1MZ-FE</t>
  </si>
  <si>
    <t>Toyota RV8A Indy V8     225     1996,as used in Gurney Eagle</t>
  </si>
  <si>
    <t>Toyota R32V GT1 V8      352     twin turbo DOHC race engine, 1988</t>
  </si>
  <si>
    <t>Toyota 4A-GE I4       340     iron block</t>
  </si>
  <si>
    <t>Toyota 2TC, 2TG, 3TC    262     1971-up, 1.6-1.8 four cyl,  2TG is DOHC</t>
  </si>
  <si>
    <t>Toyota 1A, 3A, 4A       225     Tercel, MR2, 1984-up Corolla, 1985-up</t>
  </si>
  <si>
    <t>Toyota 3SG             293     Celica DOHC 16 valve</t>
  </si>
  <si>
    <t>Toyota 2GR-FE (3.5L) 359lbs</t>
  </si>
  <si>
    <t>Toyota 1-2-4GR-FSE  399lbs</t>
  </si>
  <si>
    <t>Triumph slant-4         290     (also SAAB 99)</t>
  </si>
  <si>
    <t>Triumph 2000 L6         403    (Spitfire, 2.5 TRs)</t>
  </si>
  <si>
    <t>Triumph Stag V8         446</t>
  </si>
  <si>
    <t>VW flat-4 Type IV   311</t>
  </si>
  <si>
    <t>VW flat-4 Type 1     250    1600cc dual port, fully dressed</t>
  </si>
  <si>
    <t>VW 1.5L L4 Diesel       246     w/ oil, int/exh man, no alt. or starter</t>
  </si>
  <si>
    <t>VW Rabbit 1.6-1.7-1.8   231     Dasher, Scirocco, Jetta, Omni, Horizon</t>
  </si>
  <si>
    <t>Volvo B20E    340</t>
  </si>
  <si>
    <t>Volvo B21F/B23F   365</t>
  </si>
  <si>
    <t>Volvo 3.0 L6 DOHC  401    all aluminum</t>
  </si>
  <si>
    <t>Volvo 3.2 I6 (used on XC90) 397</t>
  </si>
  <si>
    <t>Volvo V6     350 (90 deg, aluminum, DeLorean, Peugeot, Renault)</t>
  </si>
  <si>
    <t>engine             weight pounds   ref.       comments</t>
  </si>
  <si>
    <t>ABC Dragonfly aero      650     (87) 1917 9-cyl radial</t>
  </si>
  <si>
    <t>Alfasud flat-4          240     (2) (19) "complete"</t>
  </si>
  <si>
    <t>Alfa Romeo SOHC V6      375     (2)</t>
  </si>
  <si>
    <t>Alfa Romeo 415/85T      279     (31) F1 four, '87 season</t>
  </si>
  <si>
    <t>Alfa 155 V6 TI          242     (75) BTCC Class 1 race engine</t>
  </si>
  <si>
    <t>Alfa Romeo Type 33 V8   286     (137) 2000cc DOHC, Chiti design, 1967</t>
  </si>
  <si>
    <t>Alfa Romeo 1600         261     (150) (with cams, generator, distributer, oil, etc but no manifolds or carbs)</t>
  </si>
  <si>
    <t>Allison V12            1160     (160) 1710 CID, 1400 HP aircraft</t>
  </si>
  <si>
    <t>Allison V-1710-G6 V12  1595     (174) 1710 CID, supercharged, 1250hp, 1941</t>
  </si>
  <si>
    <t>Allison T63 turbine     150     (230)</t>
  </si>
  <si>
    <t>AMC V8                  540         (late design V8s)</t>
  </si>
  <si>
    <t>AMC V8                  600         (early design V8s)</t>
  </si>
  <si>
    <t>AMC 6                   500         (early design six - 199)</t>
  </si>
  <si>
    <t>AMW F-440               86      (78) SAE F440 spec motor, 2 cyl</t>
  </si>
  <si>
    <t>Armstrong-Siddely       1180    (203) "Python 3" 2736KW aero turboprop</t>
  </si>
  <si>
    <t>ATS 1.5L GP V8          247     (137) DOHC, Chiti design, 1966</t>
  </si>
  <si>
    <t>Audi 2.0 L4             335     (2)</t>
  </si>
  <si>
    <t>Audi 5                  364     (2) (non-turbo)</t>
  </si>
  <si>
    <t>Audi 80 1300            230     (2)</t>
  </si>
  <si>
    <t>Audi 100 1500           240     (2)</t>
  </si>
  <si>
    <t>Audi V6 2.8             354     (190)</t>
  </si>
  <si>
    <t>Austin C-series L6      562     (2) ('56 Austin-Healey 100-6)</t>
  </si>
  <si>
    <t>BL "B" L4 OHV           335     (2) British Leyland</t>
  </si>
  <si>
    <t>BL "E" L6               345     (2)  ("complete")</t>
  </si>
  <si>
    <t>BL "O" L4 OHC           298     (2)</t>
  </si>
  <si>
    <t>948cc                   246     (156) (no indication of dressed or not)</t>
  </si>
  <si>
    <t>1098cc                  253     (156) Midget/Sprite</t>
  </si>
  <si>
    <t>A-Series                252     (199)</t>
  </si>
  <si>
    <t>K-Series                216     (199)</t>
  </si>
  <si>
    <t>BMW M52 3.3,3.5 Big Six 500     (2)</t>
  </si>
  <si>
    <t>BMW M60 B 40 4.0 V8     468     (17)</t>
  </si>
  <si>
    <t>BMW M60 Small Six       388     (2)</t>
  </si>
  <si>
    <t>BMW 4.5L V12            607     (2) (50) "Fully dressed" prototype</t>
  </si>
  <si>
    <t>BMW 4.5L V12            974     (57) iron prototype</t>
  </si>
  <si>
    <t>BMW 5.0 V12             529     (22) (57) "fully dressed"</t>
  </si>
  <si>
    <t>BMW V12 (1986)          528     (236)</t>
  </si>
  <si>
    <t>BMW 3.0,4.0 V8          462     (70) all aluminum</t>
  </si>
  <si>
    <t>BMW 3.0,4.0 V8          448-468 (79) all aluminum</t>
  </si>
  <si>
    <t>BMW M105 Diesel 6 2.5L  430     (4)</t>
  </si>
  <si>
    <t>BMW 2.3 turbo Diesel    408     (21) iron block, alum head, "complete"</t>
  </si>
  <si>
    <t>BMW S14 four            350     (23) 318i motor</t>
  </si>
  <si>
    <t>Bollee vertical twin    330     (86) 6 bhp, 600 RPM, evaporative cooled</t>
  </si>
  <si>
    <t>BRM V12                 375     (87) 1965? F1 motor</t>
  </si>
  <si>
    <t>BRM "290" V12           319     (74) 1992 3.5L Le Mans engine</t>
  </si>
  <si>
    <t>Benz B2-3BZ, 1917, V8   683     (98) built-up steel, 940 ci, aircraft</t>
  </si>
  <si>
    <t>Benz V12                946     (250) 300HP aircraft engine, 1921</t>
  </si>
  <si>
    <t>Bombardier V220         418     (263) Rotax-made 120deg V6, aero w/reduction</t>
  </si>
  <si>
    <t>Bombardier V300T        462     (263) 120deg V6 aero w/reduction, turbo</t>
  </si>
  <si>
    <t>Briggs &amp; Stratton       101     (165) 20HP w/electric start, flywheel, exhaust</t>
  </si>
  <si>
    <t>BSA Lightning 650       138     (193) unit construction 650 twins, 1966-1968.</t>
  </si>
  <si>
    <t>Buick 1963 odd-fire V6  414     (2)</t>
  </si>
  <si>
    <t>Buick V6                375</t>
  </si>
  <si>
    <t>Buick 3.0 V6 '85-up     350</t>
  </si>
  <si>
    <t>Buick odd-fire V6       367     (245)</t>
  </si>
  <si>
    <t>Buick even-fire 3.8     380     (245)</t>
  </si>
  <si>
    <t>Buick 4.1 V6            410     (245)</t>
  </si>
  <si>
    <t>Buick 3.0 V6            377     (245)</t>
  </si>
  <si>
    <t>Buick 198 V6, 62-63     354     (245)</t>
  </si>
  <si>
    <t>Buick 1961 215 V8       324     (2)</t>
  </si>
  <si>
    <t>Buick 1953 322 V8       635     (51) OHV V8</t>
  </si>
  <si>
    <t>Buick 300 V8            400     (242) iron block, aluminum heads, 1964 only</t>
  </si>
  <si>
    <t>Buick 300 V8            467     (245) 1965 all-iron version</t>
  </si>
  <si>
    <t>Buick 350               450</t>
  </si>
  <si>
    <t>Buick 350 V8            450     (247) "lightest of GM's iron V8s"</t>
  </si>
  <si>
    <t>Buick 401               685     (1) ('59 Nail Head)</t>
  </si>
  <si>
    <t>Buick 430-455 V8        600         (one ref showed 640) (10 - 600)</t>
  </si>
  <si>
    <t>Cadillac V-16           1,300   (2) (1931) 45 degree bank angle</t>
  </si>
  <si>
    <t>Cadillac V16 1938       1,056   (191) 135 degree bank angle, flathead "Engine weight including clutch and control and all accessories..."</t>
  </si>
  <si>
    <t>Cadillac V8 390         720     (1) ('59)</t>
  </si>
  <si>
    <t>Cadillac V8 500         595     (10)</t>
  </si>
  <si>
    <t>Cadillac 331 V8         699     (2) (1949)</t>
  </si>
  <si>
    <t>Cadillac Northstar V8   484     (71)</t>
  </si>
  <si>
    <t>Cadillac Northstar V8   403     (79) (bare, no accessories)</t>
  </si>
  <si>
    <t>Cadillac Northstar V8   464     (80) (dressed)</t>
  </si>
  <si>
    <t>Cadillac Northstar V8   404     (155) (without accessories)</t>
  </si>
  <si>
    <t>Cadillac 4.9L (300 ci)  360     (188) '91 DeVille, w/alt &amp; flexplate</t>
  </si>
  <si>
    <t>Callaway Indy HH-V8     277     (54) 2.6L Drake design</t>
  </si>
  <si>
    <t>Callaway "Wee 8"        200     (91) light weight design study</t>
  </si>
  <si>
    <t>Caterpillar L6         2867     (157) 3406E 600 Diesel 966CID</t>
  </si>
  <si>
    <t>Chevy Sprint 993cc L3   147     (55) 24L x 20W x 25H  (Suzuki mfr)</t>
  </si>
  <si>
    <t>Chevy 1.8-2.0 L4        302     (4) (39) "J car" pushrod</t>
  </si>
  <si>
    <t>Chevy Chevette 1.6 SOHC 300     (4) (39) (also Opel)</t>
  </si>
  <si>
    <t>Chevy II 153 L4         283     (245)</t>
  </si>
  <si>
    <t>Chevy Corvair flat 6    300     (244)</t>
  </si>
  <si>
    <t>Chevy L6 292            ---</t>
  </si>
  <si>
    <t>Chevy L6 216/235        630     (2)</t>
  </si>
  <si>
    <t>Chevy L6 216/235        615     (88) "265 V8 was 40# lighter than 235"</t>
  </si>
  <si>
    <t>Chevy V6-60 2.8, 3.1    350     (2)</t>
  </si>
  <si>
    <t>Chevy V6-60, 2.8        350     (245)</t>
  </si>
  <si>
    <t>Chevy small block V8    575         (generic for '60s-'70s motors)</t>
  </si>
  <si>
    <t>Chevy small block V8    535     (1) ('59 Corvette 283 w/alum. intake)</t>
  </si>
  <si>
    <t>Chevy small block LS1   460     (185)</t>
  </si>
  <si>
    <t>Chevy 5.7 industrial V8 434     (182) '99 iron long block w/water pump only</t>
  </si>
  <si>
    <t>Chevy LT-5 DOHC 5.7     600     (122)</t>
  </si>
  <si>
    <t>Chevy L98 5.7 V8        600     (122)</t>
  </si>
  <si>
    <t>Chevy V8 348/409        620     (1)</t>
  </si>
  <si>
    <t>Chevy V8 348/408        655     (83)</t>
  </si>
  <si>
    <t>Chevy big block V8      685         Mark IV</t>
  </si>
  <si>
    <t>Chevy big block V8      ---         Mark V</t>
  </si>
  <si>
    <t>Chevy 454               675     (10)</t>
  </si>
  <si>
    <t>Chevy 7.4L V8           656     (183) iron, no intake, exh, carb, starter</t>
  </si>
  <si>
    <t>Chevy 427 ZL-1          550     (35) all-aluminum, "20# lighter than SB"</t>
  </si>
  <si>
    <t>Chevy 6.5L Diesel V8    644     (183)</t>
  </si>
  <si>
    <t>Chevy 400 SB            470     (235) aluminum heads and intake, no acc. or wp</t>
  </si>
  <si>
    <t>Chevy 396 BB            610     (235) iron heads, alum. wp and intake, no acc.</t>
  </si>
  <si>
    <t>Chrysler 2.2 L4         216     (6) (bare motor)</t>
  </si>
  <si>
    <t>Chrysler 2.2, 2.5 L4    276     (245)</t>
  </si>
  <si>
    <t>Chrysler 413 wedge      640     (1) ('59 300-E)</t>
  </si>
  <si>
    <t>Chrysler 331 Hemi       745     (5) 1955</t>
  </si>
  <si>
    <t>Chrysler M4 tank engine 5,244   (87) 30 cyl, 5 banks of 6, flathead, WWII</t>
  </si>
  <si>
    <t>Chrysler 1955 V8        691     (99) Spitfire, 'polyspheric', 300 ci 188 hp</t>
  </si>
  <si>
    <t>Chrysler 1955 Hemi      729     (99) Firepower  331.1 ci, 250hp, 1x4v</t>
  </si>
  <si>
    <t>Chrysler 1955 300 Hemi  735     (99) C-300, 331.1 ci, 300hp, 2x4v</t>
  </si>
  <si>
    <t>Chrysler Patriot        186     (110) gas turbine (part of hybrid EV)</t>
  </si>
  <si>
    <t>Chrysler CR2A turbine   410     (111) 1964 Turbine Car, 130hp SAE net</t>
  </si>
  <si>
    <t>Clerget Rotary Type 9   295     (175) 1917 French 9-cyl radial, Sopwith Camel</t>
  </si>
  <si>
    <t>Clerget Rotary Model B  380     (256) 1911, 9 cyl radial, 16.3L, 130hp</t>
  </si>
  <si>
    <t>Continental TSIO-550B   566     (113) turbocharged, aircraft</t>
  </si>
  <si>
    <t>Continental Voyager     571     (113) turbocharged, aircraft</t>
  </si>
  <si>
    <t>Cosworth AC V8 ('93)    286     (23,64)  75 degree bank angle</t>
  </si>
  <si>
    <t>Cosworth HB 75 deg V8   309     (52,63)  23.4L x 23.3W x 20.5H</t>
  </si>
  <si>
    <t>Cosworth HB Series 6    286     (70) 75 deg V8  595mmL</t>
  </si>
  <si>
    <t>Cosworth DFV V8         313     (23) 90 degree bank angle</t>
  </si>
  <si>
    <t>Cosworth DFR V8         308     (63) 90 degree bank angle</t>
  </si>
  <si>
    <t>Cosworth DFX V8         340     (29)</t>
  </si>
  <si>
    <t>Cosworth XB V8          260     (29, 89)</t>
  </si>
  <si>
    <t>Cosworth V8             375     (87) 1965? F1</t>
  </si>
  <si>
    <t>Cosworth MBA 2.5L V6    242     (61,68) 90 deg V</t>
  </si>
  <si>
    <t>Cosworth ED 75 deg V8   292     (103) F1, 3 liter 1994</t>
  </si>
  <si>
    <t>Cosworth 72 deg V10     440     (134) 4.3L 325hp prototype (street)</t>
  </si>
  <si>
    <t>Cosworth V8             370     (136) 1967, with clutch and injection</t>
  </si>
  <si>
    <t>Cosworth CR-1 V10       220     (144) 1999 F1</t>
  </si>
  <si>
    <t>Cosworth YBF            319     (199)</t>
  </si>
  <si>
    <t>Cosworth DOHC V8        260     (240) circa 1995</t>
  </si>
  <si>
    <t>Coventry Climax FWMV V8 270     (121) 1963, w/starter &amp; dynamo (2 valve)</t>
  </si>
  <si>
    <t>Coventry Climax FWMV V8 298     (121) 1965, w/starter &amp; dynamo (4 valve)</t>
  </si>
  <si>
    <t>Crosley Cobra ('46-'48)  59     (25,26) less starter and generator</t>
  </si>
  <si>
    <t>Curtiss-Wright</t>
  </si>
  <si>
    <t xml:space="preserve">     RC2-60-N8 rotary   900     (96)</t>
  </si>
  <si>
    <t xml:space="preserve">     RC2-60-U10 rotary  325     (96) "heavy fuel" plus 50.2 for flywheel</t>
  </si>
  <si>
    <t xml:space="preserve">     RC1-60 rotary      192     (96) air cooled, w/all accessories</t>
  </si>
  <si>
    <t xml:space="preserve">     RC2-60 rotary      266     (96) air cooled, w/all accessories</t>
  </si>
  <si>
    <t xml:space="preserve">     RC4-60 rotary      417     (96) air cooled, w/all accessories</t>
  </si>
  <si>
    <t xml:space="preserve">     RC2-90 rotary      317     (96) air cooled, w/all accessories</t>
  </si>
  <si>
    <t xml:space="preserve">     RC2-90 rotary      345     (96) water cooled, w/all accessories</t>
  </si>
  <si>
    <t xml:space="preserve">     RC3-90 rotary      410     (96) air cooled, w/all accessories</t>
  </si>
  <si>
    <t xml:space="preserve">     RC3-90 rotary      480     (96) water cooled, w/all accessories</t>
  </si>
  <si>
    <t xml:space="preserve">     RC4-90 rotary      510     (96) air cooled, w/all accessories</t>
  </si>
  <si>
    <t xml:space="preserve">     RC4-90 rotary      613     (96) water cooled, w/all accessories</t>
  </si>
  <si>
    <t xml:space="preserve">     RC5-90 rotary      605     (96) air cooled, w/all accessories</t>
  </si>
  <si>
    <t xml:space="preserve">     RC5-90 rotary      740     (96) water cooled, w/all accessories</t>
  </si>
  <si>
    <t xml:space="preserve">     RC6-90 rotary      710     (96) air cooled, w/all accessories</t>
  </si>
  <si>
    <t xml:space="preserve">     RC6-90 rotary      860     (96) water cooled, w/all accessories</t>
  </si>
  <si>
    <t xml:space="preserve">     RC2-60 U5 rotary   280     (96)</t>
  </si>
  <si>
    <t xml:space="preserve">     G series Cyclone  1163     (181) radial, geared, 54-1/4 dia, 43-1/4 long</t>
  </si>
  <si>
    <t xml:space="preserve">     G series Cyclone  1068     (181) radial, direct, 54-1/4 dia, 43-1/4 long</t>
  </si>
  <si>
    <t xml:space="preserve">     F series Cyclone  1070     (181) radial, geared, 54-1/8 dia</t>
  </si>
  <si>
    <t xml:space="preserve">     F series Cyclone   975     (181) radial, direct, 54-1/8 dia</t>
  </si>
  <si>
    <t>Curtiss V12, 1920      1086     (98) 1650 ci, steel with Al crankcase</t>
  </si>
  <si>
    <t>Curtiss D12 aero        698     (251) 400hp V12, 1920?</t>
  </si>
  <si>
    <t>Daimler-Benz 605       1662     (176) inverted V12, 1937, 2179 CID, 1475hp</t>
  </si>
  <si>
    <t>Daimler 4.5 V8          400     (241) "over 400 pounds"</t>
  </si>
  <si>
    <t>DeSoto 383              630     (1) ('59)</t>
  </si>
  <si>
    <t>DeSoto V8               675     (5) (276-341 CID, '50s)</t>
  </si>
  <si>
    <t>Detroit Diesel 6       2448     (37) (old design)</t>
  </si>
  <si>
    <t>Detroit Diesel 6       1848     (37) (new Penske/Mercedes design)</t>
  </si>
  <si>
    <t>Dodge Colt (Japanese)   212     (245) also Plymouth Champ, 1.4, 1.6L four</t>
  </si>
  <si>
    <t>Dodge V8                645     (5) (241-325 CID, '50s)</t>
  </si>
  <si>
    <t>Dodge 361               625     (1) ('59)</t>
  </si>
  <si>
    <t>Dodge Viper V10         716     (24) (30) with accessories</t>
  </si>
  <si>
    <t>Dodge Viper V10 ('97)   648     (133) 40# lighter block, 14# lighter heads</t>
  </si>
  <si>
    <t>Dodge truck V10         816     (30) ("about 100 pounds heaver")</t>
  </si>
  <si>
    <t>Dodge truck V10         836     (34) ("about 120 pounds heaver")</t>
  </si>
  <si>
    <t>Dodge truck V10         816     (128) "dressed weight"</t>
  </si>
  <si>
    <t>Drake DT-160 Indy V8    420     (138) 1978 model Meyer-Drake racing engine</t>
  </si>
  <si>
    <t>Drysdale 750cc V8       143     (214) with carbs, no radiator</t>
  </si>
  <si>
    <t>Ducati 864cc V2         131     (192) Electric start side case w/o starter</t>
  </si>
  <si>
    <t>Edsel 361               680     (1) ('59)</t>
  </si>
  <si>
    <t>Fairbanks-Morse      40,840     (126) 2894 CID, 12 cyl, 12, 408hp locomotive</t>
  </si>
  <si>
    <t>Falconer V12            523     (112) aluminum, small block Chevy based</t>
  </si>
  <si>
    <t>Ferrari 312T            397     (2) (V12 3.0L racing engine)</t>
  </si>
  <si>
    <t>Ferrari "250" V12       382     (2)</t>
  </si>
  <si>
    <t>Ferrari V12            ~300     (23) 65 degree bank angle, 1992 F1</t>
  </si>
  <si>
    <t>Ferrari 456 V12         517     (32,65) 65 degree, 5.5L, 1992</t>
  </si>
  <si>
    <t>Ferrari "036_ F1 V12    310     (66) 65 deg, 3.5L</t>
  </si>
  <si>
    <t>Ferrari "291" F1 V12    275     (66) also E1A-92, 65 deg</t>
  </si>
  <si>
    <t>Ferrari E1A/92 F1 V12   308     (70) 65 deg</t>
  </si>
  <si>
    <t>Ferrari F50 4.7L V12    432     (90) iron block, titanium rods</t>
  </si>
  <si>
    <t>FIAT/Ferrari Dino V6    285     (2) (model 206)</t>
  </si>
  <si>
    <t>FIAT/Ferrari Dino V6    296     (2) (model 246)</t>
  </si>
  <si>
    <t>FIAT 8V circa 1952      372     (224) carbs, clutch, headers.  70deg V8, OHV</t>
  </si>
  <si>
    <t>Fiat Twin Cam           272     (199) four cyl, from Fiat 128</t>
  </si>
  <si>
    <t>Folan V-twin            95      (228) w/everything but the carb</t>
  </si>
  <si>
    <t>Footwork/Porsche FA12   396     (76) F1 V12</t>
  </si>
  <si>
    <t>Ford Model A four       475     (225)</t>
  </si>
  <si>
    <t>Ford 1600 Kent OHV      260     (234)</t>
  </si>
  <si>
    <t>Ford 1600 CVH           282     (49) (US Escort)</t>
  </si>
  <si>
    <t>Ford 2.0 Pinto SOHC L4  320     (234)</t>
  </si>
  <si>
    <t>Ford 2.0 Pinto          286     (245)</t>
  </si>
  <si>
    <t>Ford 2.3 Pinto          328     (245)</t>
  </si>
  <si>
    <t>Ford 2.3 Lima/Pinto L4  418     (2) (also 2.0, 2.5)</t>
  </si>
  <si>
    <t>Ford 2.3 Lima/Pinto L4  307     (18)</t>
  </si>
  <si>
    <t>Ford 2.3 Lima/Pinto L4  450     (2) (turbo)</t>
  </si>
  <si>
    <t>Ford 2.3 L4 Turbo       380     (162) Turbo T-Bird engine w/turbo, flywheel</t>
  </si>
  <si>
    <t>Ford 2.3 Polimotor      152     (12) plastic motor, experimental</t>
  </si>
  <si>
    <t>Ford 2.3 Polimotor      168     (55) plastic motor, experimental</t>
  </si>
  <si>
    <t>Ford Germany Taunus V4  205     (2) (and SAAB V4)</t>
  </si>
  <si>
    <t>Ford/SAAB V4            230     (245) 1.5, 1.7L</t>
  </si>
  <si>
    <t>Ford England Essex V4   327</t>
  </si>
  <si>
    <t>Ford Zetec-SE 1.3 DOHC  202     (107) 1996 Fiesta</t>
  </si>
  <si>
    <t>Ford Zetec              238     (199)</t>
  </si>
  <si>
    <t>Ford Germany 2.0-2.8 V6 305</t>
  </si>
  <si>
    <t>Ford Cologne 2.0-2.8 V6 380     (234)</t>
  </si>
  <si>
    <t>Ford Capri/Pinto V6     365     (245) 2.6, 2.8L Cologne</t>
  </si>
  <si>
    <t>Ford England Essex V6   379     (2) (3 liter)</t>
  </si>
  <si>
    <t>Ford England Essex V6   430     (234)</t>
  </si>
  <si>
    <t>Ford England Essex V6   405     (238)</t>
  </si>
  <si>
    <t>Ford 3.8 V6-90          351     (4) (w/start, alt, less clutch)</t>
  </si>
  <si>
    <t>Ford 3.8 V6-90          311     (18) ("fully dressed")</t>
  </si>
  <si>
    <t>Ford 3.8 V6-90          298     (126) "complete"</t>
  </si>
  <si>
    <t>Ford 3.8 V6             402     (245)</t>
  </si>
  <si>
    <t>Ford Duratec 2.5/3.0 V6 360     (45) ("fully dressed")</t>
  </si>
  <si>
    <t>Ford CDW27 60 deg V6    365     (47) "as delivered to assembly plant"</t>
  </si>
  <si>
    <t>Ford/Mazda Mondeo V6    225     (64) 60 deg, all aluminum, 4v</t>
  </si>
  <si>
    <t>Ford Taurus SHO 3.0/3.2 465     (153) Taurus SHO V6</t>
  </si>
  <si>
    <t>Ford 170-250 L6         385         (except Australian w/aluminum head)</t>
  </si>
  <si>
    <t>Ford 4.2 V6             488     (161) flexplate and front dress, no A/C compressor. Shipping wt w/skid</t>
  </si>
  <si>
    <t>Ford 3.8L V6            376     (231)  1998 Mustang, dressed (dry)</t>
  </si>
  <si>
    <t>Ford flathead V8        525     (124) 1932 model, integral b'hsg, iron heads</t>
  </si>
  <si>
    <t>Ford flathead V8        569     (1) ('53 239 CID)</t>
  </si>
  <si>
    <t>Ford flathead V8        616     (241) "complete with clutch and gearbox"</t>
  </si>
  <si>
    <t>Ford Cosworth DFV       353     (2) (racing engine, DOHC, 3.0L)</t>
  </si>
  <si>
    <t>Ford 255 Windsor        468     (4)</t>
  </si>
  <si>
    <t>Ford 289/302 V8         460     (168) (late 5.0s are a bit lighter)</t>
  </si>
  <si>
    <t>Ford 221-302W           460     (48)</t>
  </si>
  <si>
    <t>Ford Indy 255 pushrod   360     (120) all aluminum, 1963</t>
  </si>
  <si>
    <t>Ford Indy 255 DOHC      400     (120) 1964, later known as Foyt Coyote V8</t>
  </si>
  <si>
    <t>Ford 5.0 V8             450     (109)</t>
  </si>
  <si>
    <t>Ford 5.0 V8             411     (171) 89 Mustang 5.0 GT (dry) inc: manifold,  carb(?), headers and alternator.  Not  inc: starter, smog pump, power steering  pump, AC compressor, flywheel</t>
  </si>
  <si>
    <t>Ford BOSS 302           500     (48)</t>
  </si>
  <si>
    <t>Ford 351 Cleveland      550     (48) (includes BOSS and Australian 302-C)</t>
  </si>
  <si>
    <t>Ford 351 Windsor        510</t>
  </si>
  <si>
    <t>Ford 351 Windsor        525     (48) (168)</t>
  </si>
  <si>
    <t>Ford 351M-400           575     (48)</t>
  </si>
  <si>
    <t>Ford Y block V8         625         (272-312 CID)</t>
  </si>
  <si>
    <t>Ford FE big block       650         (332-428 CID)</t>
  </si>
  <si>
    <t>Ford FE big block       670     (1) ('59 352 CID)</t>
  </si>
  <si>
    <t>Ford FE                 625     (48)</t>
  </si>
  <si>
    <t>Ford 427 SOHC           680     (48)</t>
  </si>
  <si>
    <t>Ford 429/460 V8         640</t>
  </si>
  <si>
    <t>Ford 429-460            720     (48)</t>
  </si>
  <si>
    <t>Ford 460 V8             720     (10)</t>
  </si>
  <si>
    <t>Ford BOSS 429           680         (iron block, aluminum heads)</t>
  </si>
  <si>
    <t>Ford BOSS 429           635     (48)</t>
  </si>
  <si>
    <t>Ford 4.6 SOHC           530     (93) iron block, aluminum heads</t>
  </si>
  <si>
    <t>Ford 4.6 SOHC           473     (72)</t>
  </si>
  <si>
    <t>Ford 4.6 SOHC           600     (168) (Mustang)</t>
  </si>
  <si>
    <t>Ford 4.6 DOHC           464     (72) "9 pounds lighter than SOHC"</t>
  </si>
  <si>
    <t>Ford 4.6 DOHC           437     (77) without accessories</t>
  </si>
  <si>
    <t>Ford 4.6 DOHC           521     (94) aluminum block and heads</t>
  </si>
  <si>
    <t>Ford 4.6 DOHC           576     (168) (Mustang)</t>
  </si>
  <si>
    <t>Ford 4.6L (SOHC)        529     (231) w/flywheel  1998 Mustang, dressed (dry)</t>
  </si>
  <si>
    <t>Ford 4.6L (SOHC)        492     (231) w/flexplate  1998 Mustang, dressed (dry)</t>
  </si>
  <si>
    <t>Ford 4.6L (DOHC)        535     (231)  1998 Mustang, dressed (dry)</t>
  </si>
  <si>
    <t>Ford Taurus SHO 3.2 V8  390     (229) Taurus SHO V8, no accessories</t>
  </si>
  <si>
    <t>Ford Triton V10         635     (128) "dressed"</t>
  </si>
  <si>
    <t>Ford/Seimens 75hp       192     (108) 3-phase electric, with gear drive</t>
  </si>
  <si>
    <t>GM CD5-2 2-stroke       165     (42,68) Orbital patent, prototype</t>
  </si>
  <si>
    <t>GM Rotary Engine        255     (13) cast iron, 1972 PR weight figure</t>
  </si>
  <si>
    <t>GM Rotary Engine RC206  345     (14) aluminum, 1974 PR weight figure</t>
  </si>
  <si>
    <t>GMC 261 L6 (216-235)    544     (43) "25 lbs lighter than flathead Ford"</t>
  </si>
  <si>
    <t>GM Ultralite engine     173     (67)</t>
  </si>
  <si>
    <t>Garrett/Allied Signal   125     (108) hybrid EV gas turbine w/generator</t>
  </si>
  <si>
    <t>General Electric T-58  ~200     (115) 1100hp, helicopter turbine</t>
  </si>
  <si>
    <t>Geo 3                   135     (232) (bare)</t>
  </si>
  <si>
    <t>Gnome rotary            290     (255) Model N "Monosoupape" 9 cyl,</t>
  </si>
  <si>
    <t>Gravely tractor 1cyl     65     (164) 1916-1976, minus manifolds and carb</t>
  </si>
  <si>
    <t>Gurney-Weslake V12      370     (33) Eagle AAR, 60 degree</t>
  </si>
  <si>
    <t>HKS F1 3.5 V12          363     (23) Formula 1, 5 valve per cyl.</t>
  </si>
  <si>
    <t>HS Performance 2.0 V8   160     (63) (2xYamaha FZR1000) 488L x 552W x 478H</t>
  </si>
  <si>
    <t>Hall-Scott 6 cyl 825ci  565     (97) Merc type A/C engine, &gt;WWI Fageol racer</t>
  </si>
  <si>
    <t>Hall-Scott Model A-7a   410     (260) 4 cyl inline, 606 CID, 125 HP@1400 RPM</t>
  </si>
  <si>
    <t>Hart V10 F1, 72 deg V   300     (63) model 1035, 622L x 560W x 535H</t>
  </si>
  <si>
    <t>Hart 10.35              300     (64) 622L x 560W</t>
  </si>
  <si>
    <t>Hart 420R 2.0L          245     (106)  1994, also Barker-Hart</t>
  </si>
  <si>
    <t>Hispano-Suiza V8        330     (86) 1915 aircraft engine, water cooled</t>
  </si>
  <si>
    <t>Hispano-Suiza V8 32CV   540     (86) 1919 6.6 liter car engine</t>
  </si>
  <si>
    <t>Hispano H, 1918         632     (98) aircraft, 1127 ci, steel w/Al crankcase</t>
  </si>
  <si>
    <t>Honda 1.5L V6           286     (237) 1983 F1 engine, twin turbo</t>
  </si>
  <si>
    <t>Honda RA122E 75 deg V12 330     (23) Formula 1</t>
  </si>
  <si>
    <t>Honda RA1/22E/B         352     (70) (est. weight) also RA121E</t>
  </si>
  <si>
    <t>Honda RA168E F1 V6      329     (119) 80 deg, 1500cc</t>
  </si>
  <si>
    <t>Honda 3.5L 72 deg V10   331     (40, 52) 24.4L x 21.7W x 21.3H Formula 1</t>
  </si>
  <si>
    <t>Honda 75deg V12         340     (41) 1993 Formula 1</t>
  </si>
  <si>
    <t>Honda 24V V6            491     (55) Acura Legend motor</t>
  </si>
  <si>
    <t>Honda CBR 600 F2        125     (102) motorcycle</t>
  </si>
  <si>
    <t>Honda B18B four         326     (131) 1995 Civic</t>
  </si>
  <si>
    <t>Honda B20B four         318     (131) 1997 Civic</t>
  </si>
  <si>
    <t>Honda Civic 1200        161     (151) 1974 Civic, excluding clutch and radiator but including weight of coolant water and lubricant</t>
  </si>
  <si>
    <t>Honda Civic 1500        205     (151) 1974 Civic, as above</t>
  </si>
  <si>
    <t>Honda CVCC 1500         227     (151) 1974 Civic, as above</t>
  </si>
  <si>
    <t>Honda CBX1000 Six       235     (218) 1978</t>
  </si>
  <si>
    <t>Honda CBR 600 F2        130     (167) motorcycle (estimated)</t>
  </si>
  <si>
    <t>Honda CBR 600 F2        140     (173)</t>
  </si>
  <si>
    <t>Honda CBR 600 F2        138     (227) w/o without carbs, ignition, or exhaust</t>
  </si>
  <si>
    <t>Honda CBR600F           139     (192) (1987-1990) 139#</t>
  </si>
  <si>
    <t>Honda CBR600F2          132     (192) (1991)</t>
  </si>
  <si>
    <t>Honda Hurricane 1000    187     (192) 1988 motorcycle, water cooled four</t>
  </si>
  <si>
    <t>Honda CBX 1000          238     (192) from shop manual</t>
  </si>
  <si>
    <t>Honda CR500              66     (169) 2 stroke single, 491cc, 65HP</t>
  </si>
  <si>
    <t>Honda Hurricane 600     140     (208) 1987</t>
  </si>
  <si>
    <t>Honda CB650, 1980       157     (211) air cooled four, SOHC</t>
  </si>
  <si>
    <t>Honda RC160             128     (212) air cooled four, F1, 250cc, 1959 (race)</t>
  </si>
  <si>
    <t>Honda CBR250            100     (212) water cooled four, 250cc, 1987 (street)</t>
  </si>
  <si>
    <t>Honda XR250              68     (213) 1984, radial four valve</t>
  </si>
  <si>
    <t>Honda XR200              67     (213) 1984, radial four valve</t>
  </si>
  <si>
    <t>Honda XR200              60     (213) 1983, radial four valve</t>
  </si>
  <si>
    <t>Honda CR250, 87          52.5   (217) w/k-start/oil</t>
  </si>
  <si>
    <t>Honda CR250              45     (217) w/radiators/no carb late 80's</t>
  </si>
  <si>
    <t>Honda XL250, '78         79.4   (217) w/carb early engine</t>
  </si>
  <si>
    <t>Honda XL250, 79-82       72     (217)</t>
  </si>
  <si>
    <t>Honda XR250, 85          70     (217)</t>
  </si>
  <si>
    <t>Honda XR200, '80s        53     (217)</t>
  </si>
  <si>
    <t>Honda SL125, '71         50     (217) w/carb</t>
  </si>
  <si>
    <t>Honda XL350, '73-78      95     (217) w/carb</t>
  </si>
  <si>
    <t>Honda XR500, '79         87     (217) w/carb</t>
  </si>
  <si>
    <t>Honda Hawk 650, '89     135     (217) w/o carbs</t>
  </si>
  <si>
    <t>Honda CX500             114     (214) without radiator, with carbs</t>
  </si>
  <si>
    <t>Honda CX500             141     (220) with radiator, exhaust, carbs, airbox</t>
  </si>
  <si>
    <t>Honda CX650             123     (214) without iron engine mounts</t>
  </si>
  <si>
    <t>Honda NS400R             99     (219) 2 stroke triple, complete</t>
  </si>
  <si>
    <t>Honda GX22                7.5   (221) 4stk OHV single, industrial</t>
  </si>
  <si>
    <t>Honda RC181 350-4       155     (261) 1967 F1 racing, complete</t>
  </si>
  <si>
    <t>Hooper 994cc V4          92      (73) two stroke, stepped piston, prototype</t>
  </si>
  <si>
    <t>Hooper 290cc twin        54      (73) two stroke, stepped piston, prototype</t>
  </si>
  <si>
    <t>Husaberg 500, early      57     (217)</t>
  </si>
  <si>
    <t>Husaberg 600             63     (169) SOHC 4 stroke single, 595cc, 65HP</t>
  </si>
  <si>
    <t>Husqvarna 510 TE         78     (205) SOHC 4 stroke single, 510cc</t>
  </si>
  <si>
    <t>Husqvarna 575            72     (169) SOHC 4 stroke single, 577cc, 62HP</t>
  </si>
  <si>
    <t>Husqvarna 630            72     (169) SOHC 4 stroke single, 633cc, 70HP</t>
  </si>
  <si>
    <t>Ilmor 80deg V8          325     (29)</t>
  </si>
  <si>
    <t>Ilmor 2175A 72deg V10   281     (59) 592.5mmL, 519mmW, 555mmH</t>
  </si>
  <si>
    <t>Ilmor 2175A 72 deg V10  268     (70)</t>
  </si>
  <si>
    <t>Ilmor V-8-A Indy        325     (69) 1992 Galmer Indy car, 90 deg V</t>
  </si>
  <si>
    <t>Ilmor 265A  80 deg V8   325     (84)</t>
  </si>
  <si>
    <t>Ilmor 265D  82 deg V8   272     (84)</t>
  </si>
  <si>
    <t>Ilmor 265D  82 deg V8   272     (210) Indy</t>
  </si>
  <si>
    <t>Ilmor 265B  V8          297     (210)</t>
  </si>
  <si>
    <t>Infiniti 4.5 V8         551     (71)</t>
  </si>
  <si>
    <t>Infiniti Q45 V8         509     (72) "45 pounds heavier than Ford DOHC"</t>
  </si>
  <si>
    <t>Infiniti Q45 V8         529     (77) "65 pounds heavier than Ford DOHC"</t>
  </si>
  <si>
    <t>J.A.P. KTW               90     (248) V2, 980cc, 1909 (Morgan car) flathead</t>
  </si>
  <si>
    <t>J.A.P. JTOR             133     (248) V2, 996cc, (Morgan Car) OHV</t>
  </si>
  <si>
    <t>J.A.P. LTOW             128     (248) V2, 1096cc, (Morgan Car) OHV</t>
  </si>
  <si>
    <t>J.A.P. Type 4B           59     (249) speedway single, 496cc</t>
  </si>
  <si>
    <t>Jabiru 80hp aero        123     (114) flat-4, air cooled</t>
  </si>
  <si>
    <t>Jaguar V12              680     (57)</t>
  </si>
  <si>
    <t>Jaguar V12              792     (236) 1986 model</t>
  </si>
  <si>
    <t>Jaguar V12              640     (186) "test bed condition"</t>
  </si>
  <si>
    <t>Jaguar/Orbital 3.2 V6   359     (61) supercharged two stroke</t>
  </si>
  <si>
    <t>Jaguar 4.2L six         604     (105)</t>
  </si>
  <si>
    <t>Jaguar XJ220 V6         427     (73) complete w/turbos, wiring</t>
  </si>
  <si>
    <t>Jaguar AJ6 4.0L         531     (118)</t>
  </si>
  <si>
    <t>Jaguar AJV8 4.0L        441     (118) "fully dressed"</t>
  </si>
  <si>
    <t>Jaguar 3.4-liter XK     576     (148) for the 340 sedan, minus fan, air cleaner, clutch, and transmission, and without any fluids, but with flywheel, electrical equipment, and  manifolds.</t>
  </si>
  <si>
    <t>Jaguar 3.8 six         592     (148) dress as above</t>
  </si>
  <si>
    <t>Jaguar 4.2 six          605     (148) dress as above</t>
  </si>
  <si>
    <t>Jaguar 5.3 V12          612     (148) dress as above</t>
  </si>
  <si>
    <t>Jaguar 5.3 V12          680     (148) fully dressed for installation</t>
  </si>
  <si>
    <t>Jaguar 3.6 six          430     (186) "test bed condition"</t>
  </si>
  <si>
    <t>Jawa Speedway 500cc      67     (194)  about 55 hp and max rpm is 8600</t>
  </si>
  <si>
    <t>Judd V10                286     (22) 72 deg V, F1, 630mm long</t>
  </si>
  <si>
    <t>Judd KV V8              242     (64) 90 deg F3000  1992</t>
  </si>
  <si>
    <t>Judd GV 72 deg V10      273     (70) 630mmL</t>
  </si>
  <si>
    <t>KTM 600, '89             73    (217)</t>
  </si>
  <si>
    <t>KTM330                   59    (169) 2 stroke, 368cc single, 64HP</t>
  </si>
  <si>
    <t>KTM520                   63    (169) SOHC 4 stroke single, 510cc, 56HP</t>
  </si>
  <si>
    <t>KTM LC4 500              73    (204) 4 stk single, 4V, water cooled, prototype</t>
  </si>
  <si>
    <t>KTM 80                   65    (205) 4 stk single, 4V, water cooled, prototype</t>
  </si>
  <si>
    <t>Kawasaki H1R, H2R       120     (9) 3 cyl, two stroke MC</t>
  </si>
  <si>
    <t>Kawasaki EX500 twin     115     (201) estimated</t>
  </si>
  <si>
    <t>Kawasaki Ninja 750      147     (209) 1986, without carburetors</t>
  </si>
  <si>
    <t>Kawasaki ZZR 1100       163     (214) ZX 11 in the USA</t>
  </si>
  <si>
    <t>Kawasaki KLX250, 80?     74.5   (217)  w/carb</t>
  </si>
  <si>
    <t>Kubota D905-B Diesel    250     (125) 3 cyl, water cooled, with starter</t>
  </si>
  <si>
    <t>LPE 400 Series Turbo    370     (113) aircraft, 400 CI, SBC based, alloy</t>
  </si>
  <si>
    <t>LPE 600 Series Turbo    560     (113) aircraft, 670 CI, BBC based, alloy</t>
  </si>
  <si>
    <t>Lamborghini/Chrysler    299     (8) (1992) V12 Formula 1 motor</t>
  </si>
  <si>
    <t>Lamborghini 80 deg V12  330     (70) 1991-1992 V12 F1</t>
  </si>
  <si>
    <t>Langley Aerodrome       200     (126) 5 cyl radial, 1903, 52hp</t>
  </si>
  <si>
    <t>Laverda 750 SF/SFC      145     (215) four stroke triple</t>
  </si>
  <si>
    <t>Laverda 750 SF/SFC      178     (214) four stroke triple</t>
  </si>
  <si>
    <t>Laverda 1200 Triple     183     (214)</t>
  </si>
  <si>
    <t>Le Rhone "Super Rhone"  340     (177) 9 cyl radial (non-rotary) 120hp, 667CID</t>
  </si>
  <si>
    <t>Lexicon TRJ-300         110     (114) centrifugal turbojet, aircraft</t>
  </si>
  <si>
    <t>Lexus 4.0 V8            470     (71)</t>
  </si>
  <si>
    <t>Lexus 4.0 V8            464     (77)</t>
  </si>
  <si>
    <t>Liberty V12, 1917       856     (98) 1400+ ci, all steel, aircraft engine</t>
  </si>
  <si>
    <t>Liberty V12             786     (258) dry weight, 1649 CID, 400hp</t>
  </si>
  <si>
    <t>Lincoln 430             740     (1) ('59) (also Mercury 430)</t>
  </si>
  <si>
    <t>Lotus 907 (Esprit)      275     (3) inc. alt. &amp; starter, no clutch</t>
  </si>
  <si>
    <t>Lotus Project 618 V8    465     (117) Esprit V8 prototype, w/AC, PS, alt.</t>
  </si>
  <si>
    <t>Lycoming 36 cyl radial 6050     (87) WWII, 127 liters, 4x9, water cooled</t>
  </si>
  <si>
    <t>Lycoming XR-7755       6050     (178) 1943, 36 cyl radial, 7755CID, 5000HP</t>
  </si>
  <si>
    <t>Lycoming IO-540         515     (113) aircraft</t>
  </si>
  <si>
    <t>Mallory rotary          188     (87) 400hp, eccentric-vane</t>
  </si>
  <si>
    <t>Marmon V-16             931     (2) (1931)</t>
  </si>
  <si>
    <t>Mazda 12A and 13B       260     (109)</t>
  </si>
  <si>
    <t>Mazda 10A rotary        224     (20) (Cosmo) (bare)</t>
  </si>
  <si>
    <t>Mazda 10A rotary        268     (20) (R100) (bare)</t>
  </si>
  <si>
    <t>Mazda 10A rotary        190     (27) (R100) (without thermal reactor)</t>
  </si>
  <si>
    <t>Mazda 10A rotary        280     (27) (R100) (with thermal reactor)</t>
  </si>
  <si>
    <t>Mazda 12A rotary        348     (20) (RX7) (with oil and water)</t>
  </si>
  <si>
    <t>Mazda 12A rotary        356     (20) (Japanese model turbo, EFI)</t>
  </si>
  <si>
    <t>Mazda 12A rotary        275     (85) (w/flywheel, t.reactor, no alt.)</t>
  </si>
  <si>
    <t>Mazda 13A rotary        301     (20) (R130 Lucia - Japan only) (bare)</t>
  </si>
  <si>
    <t>Mazda 13B race          242     (95) 2-rotor race motor, with accessories</t>
  </si>
  <si>
    <t>Mazda 13G 3-rotor race  319     (95) 3-rotor race motor, with accessories</t>
  </si>
  <si>
    <t>Mazda 13J 4-rotor race  396     (95) 4-rotor race motor, with accessories</t>
  </si>
  <si>
    <t>Mazda 13B FI            337    (197) 1986-1992 160hp  (w/oil and water)</t>
  </si>
  <si>
    <t>Mercedes SOHC V8 alum.  452     (2)</t>
  </si>
  <si>
    <t>Mercedes SOHC V8 iron   540     (2)</t>
  </si>
  <si>
    <t>Mercedes 5.6L V8        467     (57) 1987</t>
  </si>
  <si>
    <t>Mercedes OM 615 Diesel  447     (16)</t>
  </si>
  <si>
    <t>Mercedes M291 flat-12   374     (66) with starter, alt, exh, no clutch</t>
  </si>
  <si>
    <t>Mercedes 2.8/4.2 V6     331     (127) 1997, SOHC 3V, "shipped for assembly"</t>
  </si>
  <si>
    <t>Mercedes inline six     441     (127) 1995 and back</t>
  </si>
  <si>
    <t>Mercedes 500I V8        305     (46) 1994 pushrod Turbo Indy motor (Penske)</t>
  </si>
  <si>
    <t>Mercedes/Ilmor Indy V8  273     (57, 60) 72 deg V Turbo Indy motor</t>
  </si>
  <si>
    <t>Mercedes/Ilmor DOHC V8  280     (89) 1995 IC 108 model, no clutch</t>
  </si>
  <si>
    <t>Mercedes/Ilmor IC108C   280     (130) 1996 DOHC V8</t>
  </si>
  <si>
    <t>Mercedes 3.2L V6        330     (141) 1997 SOHC, 90 deg, 3 valve</t>
  </si>
  <si>
    <t>Mercedes 5.8L V12       490     (143) 1997, 3 valve</t>
  </si>
  <si>
    <t>Mercedes V10 F1         290     (210) 1994</t>
  </si>
  <si>
    <t>Mercury Marine 2000     331     (14) 200hp, 2 stroke, 142 CID, w/foot</t>
  </si>
  <si>
    <t>Mercury Marine 1750     350     (14) 275hp, 2 stroke, 122 CID, w/foot</t>
  </si>
  <si>
    <t>Miller 91 (1926)        330     (44) predecessor to Offy four</t>
  </si>
  <si>
    <t>Mopar 273-340 "A" V8    525</t>
  </si>
  <si>
    <t>Mopar 360 "A"           550</t>
  </si>
  <si>
    <t>Mopar 361-383-400 V8    620     (5)</t>
  </si>
  <si>
    <t>Mopar 413-426W-440 V8   670     (5) (10)</t>
  </si>
  <si>
    <t>Mugen V10               330     (23) 72 degree bank angle, F1</t>
  </si>
  <si>
    <t>Mugen V10               341     (70) 72 degree bank angle, F1, 1991-1993</t>
  </si>
  <si>
    <t>Mugen V8                255     (64) 90 deg F3000 (late motor)</t>
  </si>
  <si>
    <t>Mundy Trident W-12      325     (85) proposed 1965 F1, not built</t>
  </si>
  <si>
    <t>Napier Nomad flat-12   3580     (87) aircraft, turbo-compound</t>
  </si>
  <si>
    <t>Napier Lion W-12        930     (87) aircraft, 1918, water cooled</t>
  </si>
  <si>
    <t>Napier Deltic, 1950   11000     (87) general use, 18 cyl</t>
  </si>
  <si>
    <t>Napier Deltic, 1966   15000     (87) intercooled, turbo version</t>
  </si>
  <si>
    <t>Napier Sabre H-24      2000     (202) twin crank aero, sleeve valve</t>
  </si>
  <si>
    <t>Nissan CA20 FWD         269     (4) belt cam</t>
  </si>
  <si>
    <t>Nissan Z20 NAPS-Z 2.0   346     (4) RWD chain cam</t>
  </si>
  <si>
    <t>Nissan VRT35 GTP V12    341     (66) 70 deg prototype 660L x 577W x 533H</t>
  </si>
  <si>
    <t>Nissan Maxima V6 3.0    264     (145) 60 deg, racing SR2</t>
  </si>
  <si>
    <t>Nissan VG33 3.3L        433     (223) un-dressed, SOHC V6</t>
  </si>
  <si>
    <t>Nissan L series         265     (245) 1.6 and 1.8, and NAPS-Z</t>
  </si>
  <si>
    <t>Nissan 3.0 V6           360     (245) 300ZX, Maxima, and pickup.  SOHC</t>
  </si>
  <si>
    <t>Offenhauser 252         355     (142) early '60s, aluminum/magnesium four</t>
  </si>
  <si>
    <t>Olds 215 V8             318         (same as Buick/Rover)</t>
  </si>
  <si>
    <t>Olds 215 V8             345   (170) 1962, 2bbl, dry weight</t>
  </si>
  <si>
    <t>Olds 304 "Rocket" V8    671     (2) first Olds V8, 1949</t>
  </si>
  <si>
    <t>Olds 304 Rocket V8      680          all accessories, no flywheel</t>
  </si>
  <si>
    <t>Olds straight-8         614     (2) '40s motor</t>
  </si>
  <si>
    <t>Olds 330 J2             700         (first generation V8)</t>
  </si>
  <si>
    <t>Olds 330-400            560     (5) low deck, w/accessories, no flywheel</t>
  </si>
  <si>
    <t>Olds 394                725     (1) ('59)</t>
  </si>
  <si>
    <t>Olds 371, 394           760     (5)</t>
  </si>
  <si>
    <t>Olds 400-455            620     (5) high deck w/accessories, no flywheel</t>
  </si>
  <si>
    <t>Olds 455                605     (10)</t>
  </si>
  <si>
    <t>Olds 262 V6 Diesel      590     (4) (from GM SAE paper)</t>
  </si>
  <si>
    <t>Olds DOHC 4.0 V8        463     (80)(dressed) Olds variant of Cad Northstar</t>
  </si>
  <si>
    <t>Olds Aurora IMSA V8     405     (239) IMSA racing variant</t>
  </si>
  <si>
    <t>Opel 2.8-3.0 CIH L6     395     (2)</t>
  </si>
  <si>
    <t>Opel MAXX 973cc 3cyl    182     (132) also used by Vauxhall</t>
  </si>
  <si>
    <t>Orbital 2.0 L6          220     (82) "dressed" 2 stroke, all aluminum</t>
  </si>
  <si>
    <t>Otto "Atmospheric"     2600     (56) 1hp, 15 feet tall, model of 1867</t>
  </si>
  <si>
    <t>Packard 1A-1500 aero    735     (251) 440hp, early '20s</t>
  </si>
  <si>
    <t>Packard 2500 aero      1100     (251) 800hp, 1925</t>
  </si>
  <si>
    <t>Peugeot 204 Diesel      272     (11) SOHC, 45hp</t>
  </si>
  <si>
    <t>Peugeot Douvrin 2.0 4   263     (2)</t>
  </si>
  <si>
    <t>Peugeot 104 1400        260     (2) includes transaxle</t>
  </si>
  <si>
    <t>Peugeot Indenor XD-90   415    (16) Diesel, aluminum head and sump</t>
  </si>
  <si>
    <t>Peugeot 16 valve        316     (199)</t>
  </si>
  <si>
    <t>Peugeot ES9 J4 3.0L     473     (223) fully dressed, all alloy 24V, 60 deg. V6</t>
  </si>
  <si>
    <t>Pierce-Arrow V-12       1,130   (2) (1932)</t>
  </si>
  <si>
    <t>Pininfarina             181     (61) Ethos show car, Orbital 3 cyl</t>
  </si>
  <si>
    <t>Plymouth 361            640     (1) ('59)</t>
  </si>
  <si>
    <t>Polimotor DOHC 2.0 L4   150     (53)  mostly plastic, development motor</t>
  </si>
  <si>
    <t>Polimotor L4            179     (106) inc. starter, no clutch or flywheel)\</t>
  </si>
  <si>
    <t>Pontiac L4              350         Iron Duke, Tech IV</t>
  </si>
  <si>
    <t>Pontiac SOHC 6          550     (100)</t>
  </si>
  <si>
    <t>Pontiac 389 V8          590     (1) ('59)</t>
  </si>
  <si>
    <t>Pontiac 301 V8          451          complete with air cleaner and starter</t>
  </si>
  <si>
    <t>Porsche 914/4           265     (109)</t>
  </si>
  <si>
    <t>Porsche 911/6           280     (109)</t>
  </si>
  <si>
    <t>Porsche 911/6           325     (245) with heater boxes</t>
  </si>
  <si>
    <t>Porsche 911/6           280     (245)</t>
  </si>
  <si>
    <t>Porsche 912             210     (245) 1582cc</t>
  </si>
  <si>
    <t>Porsche 914 1679cc      265     (245)</t>
  </si>
  <si>
    <t>Porsche 914 1980cc      311     (245)</t>
  </si>
  <si>
    <t>Porsche 4.7 SOHC V8     574</t>
  </si>
  <si>
    <t>Porsche 4.7 SOHC V8     582     (57)</t>
  </si>
  <si>
    <t>Porsche 901 6           401     (2) (1963)</t>
  </si>
  <si>
    <t>Pratt &amp; Whitney ST6B-62 260     (135) 550hp, '67 STP Turbine Car</t>
  </si>
  <si>
    <t>Pratt &amp; Whitney SB-G   1265     (179) Twin Wasp radial, 1000hp, 48" dia radial</t>
  </si>
  <si>
    <t>Pratt &amp; Whitney S2A4-G 1070     (179) Twin Wasp Junior, 700hp, 48-1/8" dia</t>
  </si>
  <si>
    <t>Pratt &amp; Whitney SC-G    800     (179) Wasp Junior, gear drive, 525hp, 46-3/4"</t>
  </si>
  <si>
    <t>Pratt &amp; Whitney SB      596     (179) Wasp Junior, 450hp, 46-3/4" dia radial</t>
  </si>
  <si>
    <t>Pratt &amp; Whitney SIE-G  1015     (179) Hornet, gear drive, 800hp, 54-7/16"</t>
  </si>
  <si>
    <t>Pratt &amp; Whitney S5E     920     (179) Hornet, 700hp, 54-7/16" radial</t>
  </si>
  <si>
    <t>Pratt &amp; Whitney R-2800 2350     (180) Double Wasp, 2400hp, 2800CID, 1939</t>
  </si>
  <si>
    <t>Pratt &amp; Whitney R-4360 3600     (259) Wasp Major "corncob", 4363 CID, 3500HP</t>
  </si>
  <si>
    <t>Rambler 327 V8          600</t>
  </si>
  <si>
    <t>Rambler 327 V8          670     (1) ('59)</t>
  </si>
  <si>
    <t>Renault 2.0 4 Douvrin   263     (2)</t>
  </si>
  <si>
    <t>Renault 2.8 V6          375     (2) (also DeLorean, Peugeot, Volvo)</t>
  </si>
  <si>
    <t>Renault EF-1            395     (2) (racing version of P-R-V V6)</t>
  </si>
  <si>
    <t>Renault V10             308     (23) 67 degree bank angle, F1</t>
  </si>
  <si>
    <t>Renault V10             331     (52) 67 deg</t>
  </si>
  <si>
    <t>Renault RS3B V10        301     (70) 67 deg</t>
  </si>
  <si>
    <t>Renault D7F 1.1L        180     (123)</t>
  </si>
  <si>
    <t>Renault E-series 1.2L   238     (123)</t>
  </si>
  <si>
    <t>Repco-Brabham 3.0 V8    340     (241) early '60s F1 engine based on Buick 215</t>
  </si>
  <si>
    <t>Rolls-Royce 6.5 Wankel  930     (51) tank engine</t>
  </si>
  <si>
    <t>Rotax 5 Valve 600cc      90     (192) single cyl, over 60 HP</t>
  </si>
  <si>
    <t>Rotax 504 single         95     (216) four stroke single</t>
  </si>
  <si>
    <t>Rotax ATK560             91     (217) early model</t>
  </si>
  <si>
    <t>Rotax-Aprilia 5-v       106</t>
  </si>
  <si>
    <t>Rover 3500 V8           318         (same as Buick)</t>
  </si>
  <si>
    <t>Rover 3.0 SOHC L6       432     (2)</t>
  </si>
  <si>
    <t>Rover 2000 four         312     (36) 1960s engine</t>
  </si>
  <si>
    <t>Rover KV-6 2.5L         335     (117, 123, 233) "fully equipped"</t>
  </si>
  <si>
    <t>Rover KV6 2.5L          339     (223) fully dressed, all alloy 24V, 90 deg. V6</t>
  </si>
  <si>
    <t>SAAB V4-60              206     (2) (also Taunus, Ford)</t>
  </si>
  <si>
    <t>SAAB slant-4            290     (2) (also Triumph TR-7)</t>
  </si>
  <si>
    <t>Studebaker 289          650</t>
  </si>
  <si>
    <t>Studebaker six          403.5   (187) 169.9 ci Champion 1948 to 1954</t>
  </si>
  <si>
    <t>Subaru 2.2L             269     (139) aero conversion</t>
  </si>
  <si>
    <t>Subaru flat-12 F1       331     (52) Formula 1, Moteri Moderni</t>
  </si>
  <si>
    <t>Subaru 1.8L four        188     (245) pushrod, 1781cc</t>
  </si>
  <si>
    <t>SuperLight 180 SL       210     (114) Mazda 13B-based, aircraft, alloy housings</t>
  </si>
  <si>
    <t>Suzuki Cultus 3 cyl     139     (7,38, 207) (Geo Metro, Chevy Sprint)</t>
  </si>
  <si>
    <t>TAG TTE-PO1             330     (237) 1983 twin turbo six, GP racing</t>
  </si>
  <si>
    <t>Toyota 1G-EU 2.6 L6     340     (27) with oil and coolant (SOHC)</t>
  </si>
  <si>
    <t>Toyota 1G-GEU 2.0 L6    355     (140) with oil and coolant (DOHC)</t>
  </si>
  <si>
    <t>Toyota 4M Hemi L6       400     (27)</t>
  </si>
  <si>
    <t>Toyota V6               469     (81) '92 Camry iron V6</t>
  </si>
  <si>
    <t>Toyota V6 3.0L          401     (81) '94 Camry aluminum V6 1MZ-FE</t>
  </si>
  <si>
    <t>Toyota RV8A Indy V8     225     (116) '96,as used in Gurney Eagle</t>
  </si>
  <si>
    <t>Toyota R32V GT1 V8      352     (144) twin turbo DOHC race engine, 1988</t>
  </si>
  <si>
    <t>Toyota 4A-GE four       340     (200) iron block</t>
  </si>
  <si>
    <t>Toyota 2TC, 2TG, 3TC    262     (245) '71-up, 1.6-1.8 four cyl,  2TG is DOHC</t>
  </si>
  <si>
    <t>Toyota 1A, 3A, 4A       225     (245) Tercel, MR2, '84-up Corolla, '85-up Chevy Nova</t>
  </si>
  <si>
    <t>Toyota 18R, 20R, 22R    318     (245) pre'86 Corona, Celica, and pickup  also 18RC and 18RG</t>
  </si>
  <si>
    <t>Toyota 3SG              293     (245) Celica DOHC 16 valve</t>
  </si>
  <si>
    <t>Triumph slant-4         290     (2) (also SAAB 99)</t>
  </si>
  <si>
    <t>Triumph 2000 L6         403     (2) (Spitfire, 2.5 TRs)</t>
  </si>
  <si>
    <t>Triumph Bonneville 650  120     (192) motorcycle</t>
  </si>
  <si>
    <t>Turbonique S-12          60     (222) 350hp turbine, monopropellant fuel</t>
  </si>
  <si>
    <t>Volvo V6                350     (245) 90 deg, aluminum, DeLorean, Peugeot,   Renault</t>
  </si>
  <si>
    <t>VW flat-4 air cooled    200</t>
  </si>
  <si>
    <t>VW flat-4 air cooled    215     (109)</t>
  </si>
  <si>
    <t>VW flat-4 air cooled    215     (245) with heater boxes; 180 stripped</t>
  </si>
  <si>
    <t>VW flat-4 Type IV       311     (109)</t>
  </si>
  <si>
    <t>VW flat-4 Type 4        230     (189) Complete, uprighted, less exhaust system</t>
  </si>
  <si>
    <t>VW flat-4 Type 1        250     (163) 1600cc dual port, stock flywheel, clutch, doghouse oil cooler, Monza muffler, Bosch alternator, twin Solex/Kadron carbs with manifolds and linkage, heater boxes, all sheet metal, without oil</t>
  </si>
  <si>
    <t>VW 1.5L L4 Diesel       246     (226) w/ oil, int/exh man, no alt. or starter</t>
  </si>
  <si>
    <t>VW Rabbit 1.6-1.7-1.8   231     (245) Dasher, Scirocco, Jetta, Omni, Horizon</t>
  </si>
  <si>
    <t>Vauxhall Calibra        245     (75) 24v, 2.5L V6</t>
  </si>
  <si>
    <t>Vauxhall Swindon        230     (106) race motor, 2.0L</t>
  </si>
  <si>
    <t>Vauxhall 16 valve       237     (199)</t>
  </si>
  <si>
    <t>Vertemati                62     (169) SOHC 4 stroke single, 503cc, 56HP</t>
  </si>
  <si>
    <t>Volvo B20E              340     (104)</t>
  </si>
  <si>
    <t>Volvo B21F&amp;B23F         365     (104)</t>
  </si>
  <si>
    <t>Volvo 3.0 L6 DOHC       401     (56) all aluminum</t>
  </si>
  <si>
    <t>Wright Flyer flat-4     170     (126) original 1903 Kitty Hawk engine 14hp</t>
  </si>
  <si>
    <t>Wright L4 aero          170     (254) 1906-1912 model, 240 CID</t>
  </si>
  <si>
    <t>Wright R3350 Cyclone   3029     (87)  aircraft radial</t>
  </si>
  <si>
    <t>Wright R2600 Cyclone   1950     (257) aircraft radial, 2x7 rows, 2603 CID</t>
  </si>
  <si>
    <t>Wright "T" aero        1180     (251) 600hp aero, early '20s</t>
  </si>
  <si>
    <t>Wright "J" aero         470     (251) 200hp, 9 cyl radial, early '20s</t>
  </si>
  <si>
    <t>Wright "P1" aero        800     (251) 400hp radial, early '20s</t>
  </si>
  <si>
    <t>Yamaha OX66 75 deg V6   230     (44) 16.5" long, 21.5" wide</t>
  </si>
  <si>
    <t>Yamaha OX88 75 deg V8   320     (40,52) Formula 1, 3.5L, 22.0L x 22.4W</t>
  </si>
  <si>
    <t>Yamaha OX99 70 deg V12  308     (70) F1</t>
  </si>
  <si>
    <t>Yamaha TZ500 sq.4       120     (206) two stroke, race bike, 1980-1981</t>
  </si>
  <si>
    <t>Yamaha FJ600            135     (101) MC, without intake or exhaust</t>
  </si>
  <si>
    <t>Yamaha YZ400F            59     (169) DOHC 4 stk. single, 5 valve, 426cc, 57HP</t>
  </si>
  <si>
    <t>Yamaha XS650 twin       170     (172) 1981 model, with oil</t>
  </si>
  <si>
    <t>Yamaha '85 RZ350         78     (192)</t>
  </si>
  <si>
    <t>Yamaha '86 FZ750        155     (192)</t>
  </si>
  <si>
    <t>Yamaha '90 FZR400       112     (192)</t>
  </si>
  <si>
    <t>Yamaha YPVS 350          77     (192)</t>
  </si>
  <si>
    <t>Yamaha V-Max            260     (198) complete but for radiator</t>
  </si>
  <si>
    <t>Yamaha TT600, '86        95     (217)</t>
  </si>
  <si>
    <t>Sizes:  These figures can be *very* misleading!  Shape is usually more important than maximum dimensions.</t>
  </si>
  <si>
    <t xml:space="preserve">                        ref     Length  Width   Height</t>
  </si>
  <si>
    <t>Alfa 155 V6 TI          (75)    500mm</t>
  </si>
  <si>
    <t>Allison V12            (160)    44*     30      36      *62 w/acc drives</t>
  </si>
  <si>
    <t>BRM "290" V12           (74)    650mm</t>
  </si>
  <si>
    <t>BRM V12 1965? F1        (87)    29</t>
  </si>
  <si>
    <t>Buick 3.8 V6            (60)    22.0    24.0    24.2</t>
  </si>
  <si>
    <t>Buick 3.8 V6, RWD Regal (dw)    24.5                    V-belt accessories</t>
  </si>
  <si>
    <t>Buick V6 (odd fire)     (245)   25.25</t>
  </si>
  <si>
    <t>Buick 215 V8            (245)   28.5</t>
  </si>
  <si>
    <t>Chevy LT1 (1994) V8     (60)    27.2    24.8    23.0</t>
  </si>
  <si>
    <t>Chevy Sprint 993cc L4   (55)    24      20      25      Suzuki engine</t>
  </si>
  <si>
    <t>Chevy 193-292 L6        (dw)    33</t>
  </si>
  <si>
    <t>Chevy Vega 2300 4       (245)   23.25</t>
  </si>
  <si>
    <t>Chevy II 4              (245)   24.25</t>
  </si>
  <si>
    <t>Chevy small block V8    (234)   28      25      22</t>
  </si>
  <si>
    <t>Chevy 327 V8            (245)   29</t>
  </si>
  <si>
    <t>Chevy Citation V6 2.8   (245)                   19.75</t>
  </si>
  <si>
    <t>Cosworth V8, 1965?      (87)    21.5</t>
  </si>
  <si>
    <t>Cosworth 75 deg V8      (52)    23.4    23.3    20.5</t>
  </si>
  <si>
    <t>Cosworth HB 75 deg V8   (52,63) 23.4    23.3    20.5</t>
  </si>
  <si>
    <t>Cosworth HB Series 6    (70)    595mm</t>
  </si>
  <si>
    <t>Cosworth MBA V6         (67)    26.25   20.5    27.75</t>
  </si>
  <si>
    <t>Cosworth XB V8          (89)    22.2    21.7    21.9</t>
  </si>
  <si>
    <t>Cosworth ED 75 deg V8   (103)   23.4    21.3(*)        (*) inc Air filter</t>
  </si>
  <si>
    <t>Cosworth V8, 1967       (136)   21.4    27.0</t>
  </si>
  <si>
    <t>Cosworth CR-1 V10       (144)   569mm   509mm   375mm</t>
  </si>
  <si>
    <t>Cosworth 2.5 V6         (196)   24      19      21     prototype, not prod.</t>
  </si>
  <si>
    <t>Drake Indy V8 (1978)    (138)   25      25      22</t>
  </si>
  <si>
    <t>Dodge Colt 4 ('70s)     (245)   21</t>
  </si>
  <si>
    <t>Ford-Cosworth DOHC V8   (60)    22.2    21.7    21.9</t>
  </si>
  <si>
    <t>Ford-Cosworth DOHC V8   (240)   22.2    21.7    21.9  circa 1995</t>
  </si>
  <si>
    <t>Ford Mod V6 2.5L 60deg  (81)    22      24      24</t>
  </si>
  <si>
    <t>Ford CDW27                      460mm</t>
  </si>
  <si>
    <t>Ford Kent OHV           (234)   21      22      24</t>
  </si>
  <si>
    <t>Ford Kent 1600          (245)   21</t>
  </si>
  <si>
    <t>Ford Pinto 2000         (234)   23      24      27</t>
  </si>
  <si>
    <t>Ford Pinto 2000         (245)   22.5</t>
  </si>
  <si>
    <t>Ford Pinto 2300         (245)   24.5</t>
  </si>
  <si>
    <t>Ford Essex V6           (234)   25      24      26.5</t>
  </si>
  <si>
    <t>Ford Essex V6           (238)   25.5    27.2    26.8 w/o air cleaner, with alt</t>
  </si>
  <si>
    <t>Ford Cologne V6         (234)   25      24      26.5</t>
  </si>
  <si>
    <t>Ford Capri V6 (Cologne) (245)   23              21.5</t>
  </si>
  <si>
    <t>Ford Windsor V8 260 CID (234)   28      21      22</t>
  </si>
  <si>
    <t>HS Performance 2.0 V8   (63)    488mm   552mm   478mm</t>
  </si>
  <si>
    <t>Hart V10 F1, 72 deg V   (63)    622mm   560mm   535mm</t>
  </si>
  <si>
    <t>Honda 3.5L 72 deg V10   (40,52) 24.4    21.7    21.3</t>
  </si>
  <si>
    <t>Honda 3.0 VTEC V6       (129)   486mm   627mm   647mm  "fully dressed"</t>
  </si>
  <si>
    <t>Honda Civic 1200, 1974  (151)   26.8    18.4    24.6</t>
  </si>
  <si>
    <t>Honda Civic 1500, 1974  (151)   21.4    20.2    25.5</t>
  </si>
  <si>
    <t>Honda CVCC 1500, 1974   (151)   21.7    20.4    26.6</t>
  </si>
  <si>
    <t>Honda Civic             (245)   18.63</t>
  </si>
  <si>
    <t>Ilmor 2175A 72deg V10   (59)    592.5mm 519mm   555mm</t>
  </si>
  <si>
    <t>Ilmor DOHC V8/C         (60)    22.0    22.0    22.8</t>
  </si>
  <si>
    <t>Ilmor V-8-C             (75)    22.1    22      22.8</t>
  </si>
  <si>
    <t>Ilmor 265B V8           (210)           595mm</t>
  </si>
  <si>
    <t>Ilmor 265C V8           (210)           560mm</t>
  </si>
  <si>
    <t>Ilmor 265D V8           (210)           555mm</t>
  </si>
  <si>
    <t>Judd GV 72 deg V10      (70)    630mm</t>
  </si>
  <si>
    <t>Lamborghini F1 80degV12 (70)    719mm</t>
  </si>
  <si>
    <t>Lycoming 36 cyl radial  (87)   +10 feet</t>
  </si>
  <si>
    <t>Lycoming 36 cyl radial  (178)   10 feet 5 feet  5 feet</t>
  </si>
  <si>
    <t>Mazda 2.5V6                     452mm</t>
  </si>
  <si>
    <t>Mazda 13B FI            (197)   515mm   535mm   640mm</t>
  </si>
  <si>
    <t>Mazda RX2,3, and 7      (245)   19              16</t>
  </si>
  <si>
    <t>Mazda RX4               (245)   20</t>
  </si>
  <si>
    <t>Mercedes-Ilmor OHV V8   (60)    22.1    20.1    25.7</t>
  </si>
  <si>
    <t>Mercedes-Ilmor DOHC V8  (89)    22.05   21.85   22.44</t>
  </si>
  <si>
    <t>Mercedes F0110 75dg V10 (103)   590mm   485mm   472mm</t>
  </si>
  <si>
    <t>Mercedes IC108C V8      (130)   560mm   550mm   570mm</t>
  </si>
  <si>
    <t>Mercedes F1 V10, 1994   (210)   592mm   496mm   545mm</t>
  </si>
  <si>
    <t>Mugen V10 72 deg        (70)    620mm</t>
  </si>
  <si>
    <t>Mundy Trident W-12      (85)    20.5</t>
  </si>
  <si>
    <t>Nissan VRT35 GTP V12    (66)    660mm   577mm   533mm</t>
  </si>
  <si>
    <t>Renault G-ser. 2.2 12v  (107)   515mm           598mm         (1996)</t>
  </si>
  <si>
    <t>Renault V10             (52)    26.3    21.7    17.3</t>
  </si>
  <si>
    <t>Renault RS3B V10        (70)    620mm</t>
  </si>
  <si>
    <t>Rover 3500 V8           (234)   32.5    26      29.5</t>
  </si>
  <si>
    <t>SAAB V4                 (245)   15.5</t>
  </si>
  <si>
    <t>Subaru flat-12 F1       (52)    29.3    28.5    15.7</t>
  </si>
  <si>
    <t>Subaru flat-4           (245)   16.25           15.5</t>
  </si>
  <si>
    <t>Suzuki H20A V6          (92)    650mm   620mm   815mm  60deg V6, 2L</t>
  </si>
  <si>
    <t>Toyota 2TC              (245)   23.5</t>
  </si>
  <si>
    <t>Yamaha OX66 75 deg V6   (44)    16.5    21.5</t>
  </si>
  <si>
    <t>Yamaha OX88 75 deg V8   (40,52) 22.0    22.4</t>
  </si>
  <si>
    <t>Yamaha OX99 70 deg V12  (70)    725mm</t>
  </si>
  <si>
    <t>VW 1.5-1.9L L4 (Rabbit) (226)   19      15      26</t>
  </si>
  <si>
    <t>VW Beetle flat-4        (245)   14.25</t>
  </si>
  <si>
    <t>GEARBOX WEIGHTS</t>
  </si>
  <si>
    <t xml:space="preserve">  maker    weight gears type    source    comment</t>
  </si>
  <si>
    <t>Alfa Romeo  195          manual  (166) '76 Alfetta GT transaxle</t>
  </si>
  <si>
    <t>Borg Warner 101  4 speed manual        Ford Super T-10 iron/aluminum</t>
  </si>
  <si>
    <t>Borg Warner  92  4 speed manual        Chevy Super T-10 iron/aluminum</t>
  </si>
  <si>
    <t>Borg Warner 130  4 speed manual  (158) 1927 model T-4, for 1927 Paige 8 (dry) rated to 175 ft-lb</t>
  </si>
  <si>
    <t>Borg Warner  78  5 speed manual  (85)  T-5, Ford pattern</t>
  </si>
  <si>
    <t>Borg Warner  65  5 speed manual  (243) T-50, GM pattern</t>
  </si>
  <si>
    <t>Borg Warner 140  6 speed manual  (253) T56 (Dodge Viper)</t>
  </si>
  <si>
    <t>Clark 450   238  5 speed manual  (253) 490 ft-lb rating</t>
  </si>
  <si>
    <t>Ford         48  4 speed manual  (85)  '71 Capri/Pinto 1600 light duty (iron case, aluminum tailshaft housing) iron bhsg 23#</t>
  </si>
  <si>
    <t>Ford        103  4 speed manual  (232) Top Loader</t>
  </si>
  <si>
    <t>Ford C6    ~202  3 speed auto    (152) Big block C-6, 165 lbs, Transmission weight, drained, without torque converter 37 lb, Torque converter weight, mostly drained</t>
  </si>
  <si>
    <t>Ford C6    ~171  3 speed auto    (154) no fluid</t>
  </si>
  <si>
    <t>Ford C4    ~185  3 speed auto    (152) Small block C-6, 150 lbs, Transmission weight, drained, without torque converter 35 lb, Torque converter weight, mostly drained</t>
  </si>
  <si>
    <t>Ford AOD    184  4 speed auto    (154) (without fluid)</t>
  </si>
  <si>
    <t>Ford AOD    195  4 speed auto    (159) including torque convertor</t>
  </si>
  <si>
    <t>Ford FMX   ~195  3 speed auto    (154) cast iron case</t>
  </si>
  <si>
    <t>Ford FMX    195  3 speed auto    (159) iron case</t>
  </si>
  <si>
    <t>Ford        228  3 speed auto    (154) Ford-O-Matic (pre-FMX), cast iron case (early '60s)</t>
  </si>
  <si>
    <t>GM Hydramatic ~250  4 speed auto (195) w/fluid clutch</t>
  </si>
  <si>
    <t>GM TH200-4R 117  4 speed auto    (85)  dry, no convertor</t>
  </si>
  <si>
    <t>Jerico      72   4 speed manual  (145) mag. case with integral coolant pump</t>
  </si>
  <si>
    <t>Jerico      68   4 speed manual  (145) mag. case w/o integral coolant pump</t>
  </si>
  <si>
    <t>Jerico      52   2 speed manual  (149)</t>
  </si>
  <si>
    <t>Mitsubishi  110  5 speed manual  (146) '91 VR4 transaxle, less transfer</t>
  </si>
  <si>
    <t>Mopar A-833 116  4 speed manual  (232) heavy duty</t>
  </si>
  <si>
    <t>New Venture 200  5 speed manual  (252) NV3500, HM290, 5LM60 integral bell</t>
  </si>
  <si>
    <t>New Venture 200  5 speed manual  (252) NV4500 iron case</t>
  </si>
  <si>
    <t>New Venture 200  5 speed manual  (253) NV4500</t>
  </si>
  <si>
    <t>New Venture 360  6 speed manual  (252) NV5600 iron case, aluminum bell</t>
  </si>
  <si>
    <t>Porsche     89   5 speed manual  (147) 901 transaxle</t>
  </si>
  <si>
    <t>Porsche    109   5 speed manual  (147) 915 transaxle</t>
  </si>
  <si>
    <t>Richmond   140   6 speed manual  (232)</t>
  </si>
  <si>
    <t>Saginaw    149   4 speed manual  (147) Corvair IRS transaxle</t>
  </si>
  <si>
    <t>Saginaw     82   4 speed manual  (85)  iron case</t>
  </si>
  <si>
    <t>Saginaw   ~150   4 speed manual  (245) Corvair transaxle</t>
  </si>
  <si>
    <t>Studebaker  46   3 speed manual  (187) Champion 1948 to 1954</t>
  </si>
  <si>
    <t>Toyota      77   5 speed manual  (243) W55, 57, 58, 59 Celica Supra, 9 bolts and two dowels to bellhousing</t>
  </si>
  <si>
    <t>Toyota      99   5 speed manual  (243) Crown, Corona, Celica, Cressida, iron case, 7-bolt bellhousing flange</t>
  </si>
  <si>
    <t>VW          71   4 speed manual  (147) Beetle IRS transaxle</t>
  </si>
  <si>
    <t>VW          79   4 speed manual  (147) Bus IRS transaxle</t>
  </si>
  <si>
    <t>ZF         135   5 speed manual  (147) Pantera transaxle</t>
  </si>
  <si>
    <t>ZF         145   6 speed manual  (232) 1989+ C4 Corvette</t>
  </si>
  <si>
    <t>ZF         196   6 speed auto    (262) BMW 7-series, 2002-up</t>
  </si>
  <si>
    <t>ZF         220   5 speed auto    (262) BMW 7-series, before 2002</t>
  </si>
  <si>
    <t>https://link.springer.com/article/10.1007/s10033-017-0143-z</t>
  </si>
  <si>
    <t>Source :</t>
  </si>
  <si>
    <t>Hi Performance</t>
  </si>
  <si>
    <t>Dry Asphalt/Concrete</t>
  </si>
  <si>
    <t>Wet Asphalt</t>
  </si>
  <si>
    <t>Dry Earth</t>
  </si>
  <si>
    <t>Wet Earth</t>
  </si>
  <si>
    <t>Gravel</t>
  </si>
  <si>
    <t>Sand</t>
  </si>
  <si>
    <t>Hard packed snow</t>
  </si>
  <si>
    <t>https://www.goodcarbadcar.net/december-2018-ytd-u-s-suv-and-crossover-sales-rankings-every-suv-ranked/</t>
  </si>
  <si>
    <t>Best Selling SUV Rankings</t>
  </si>
  <si>
    <t>Top SUV Sales Figures – This Month</t>
  </si>
  <si>
    <t>The Logic used</t>
  </si>
  <si>
    <t>For reference US = United States Sales for the month, US LY = Last Year’s United States Sales for the month, US vs LY = The Year on Year Growth Rate, YTD = United States Sales Year to Date, YTD LY = Last Year’s United States Year to Date Sales, YTD vs LY = The Year on Year Growth Rate.</t>
  </si>
  <si>
    <t>Change</t>
  </si>
  <si>
    <t>Toyota RAV4</t>
  </si>
  <si>
    <t>Nissan Rogue</t>
  </si>
  <si>
    <t>Honda CR-V</t>
  </si>
  <si>
    <t>Chevrolet Equinox</t>
  </si>
  <si>
    <t>Toyota Highlander</t>
  </si>
  <si>
    <t>Jeep Wrangler</t>
  </si>
  <si>
    <t>Jeep Cherokee</t>
  </si>
  <si>
    <t>Jeep Compass</t>
  </si>
  <si>
    <t>Honda Pilot</t>
  </si>
  <si>
    <t>Hyundai Tuscon</t>
  </si>
  <si>
    <t>Mazda CX-5</t>
  </si>
  <si>
    <t>Chevrolet Traverse</t>
  </si>
  <si>
    <t>Subaru CrossTrek</t>
  </si>
  <si>
    <t>Toyota 4Runner</t>
  </si>
  <si>
    <t>GMC Terrain</t>
  </si>
  <si>
    <t>Lexus RX</t>
  </si>
  <si>
    <t>Kia Sorento</t>
  </si>
  <si>
    <t>Chevrolet Tahoe</t>
  </si>
  <si>
    <t>Volkswagen Tiguan</t>
  </si>
  <si>
    <t>Dodge Journey</t>
  </si>
  <si>
    <t>Buick Encore</t>
  </si>
  <si>
    <t>Chevrolet Trax</t>
  </si>
  <si>
    <t>Nissan Murano</t>
  </si>
  <si>
    <t>Kia Sportage</t>
  </si>
  <si>
    <t>GMC Yukon</t>
  </si>
  <si>
    <t>Others</t>
  </si>
  <si>
    <t>SUV Models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</si>
</sst>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.0"/>
    <numFmt numFmtId="165" formatCode="0.0000"/>
    <numFmt numFmtId="166" formatCode="0.000"/>
    <numFmt numFmtId="167" formatCode="0.00000"/>
    <numFmt numFmtId="168" formatCode="0.0%"/>
  </numFmts>
  <fonts count="6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C0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color theme="4"/>
      <name val="Calibri"/>
      <family val="2"/>
      <scheme val="minor"/>
    </font>
    <font>
      <b/>
      <sz val="10"/>
      <color rgb="FF0070C0"/>
      <name val="Calibri"/>
      <family val="2"/>
      <scheme val="minor"/>
    </font>
    <font>
      <sz val="10"/>
      <color theme="0" tint="-0.249977111117893"/>
      <name val="Calibri"/>
      <family val="2"/>
      <scheme val="minor"/>
    </font>
    <font>
      <sz val="10"/>
      <color rgb="FFC00000"/>
      <name val="Calibri"/>
      <family val="2"/>
      <scheme val="minor"/>
    </font>
    <font>
      <sz val="10"/>
      <color rgb="FF0070C0"/>
      <name val="Calibri"/>
      <family val="2"/>
      <scheme val="minor"/>
    </font>
    <font>
      <sz val="10"/>
      <color rgb="FF00B050"/>
      <name val="Calibri"/>
      <family val="2"/>
      <scheme val="minor"/>
    </font>
    <font>
      <b/>
      <i/>
      <sz val="10"/>
      <color rgb="FF00B050"/>
      <name val="Calibri"/>
      <family val="2"/>
      <scheme val="minor"/>
    </font>
    <font>
      <b/>
      <sz val="10"/>
      <color theme="4"/>
      <name val="Calibri"/>
      <family val="2"/>
      <scheme val="minor"/>
    </font>
    <font>
      <b/>
      <sz val="10"/>
      <color rgb="FF00B050"/>
      <name val="Calibri"/>
      <family val="2"/>
      <scheme val="minor"/>
    </font>
    <font>
      <sz val="10"/>
      <color theme="1"/>
      <name val="Arial"/>
      <family val="2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color theme="1"/>
      <name val="Calibri"/>
      <family val="2"/>
    </font>
    <font>
      <sz val="10"/>
      <color theme="0" tint="-0.499984740745262"/>
      <name val="Calibri"/>
      <family val="2"/>
      <scheme val="minor"/>
    </font>
    <font>
      <sz val="10"/>
      <color rgb="FFC00000"/>
      <name val="Arial"/>
      <family val="2"/>
    </font>
    <font>
      <b/>
      <sz val="10"/>
      <color rgb="FFC00000"/>
      <name val="Calibri"/>
      <family val="2"/>
      <scheme val="minor"/>
    </font>
    <font>
      <b/>
      <sz val="10"/>
      <color theme="9" tint="-0.249977111117893"/>
      <name val="Calibri"/>
      <family val="2"/>
      <scheme val="minor"/>
    </font>
    <font>
      <sz val="10"/>
      <color theme="9" tint="-0.249977111117893"/>
      <name val="Calibri"/>
      <family val="2"/>
      <scheme val="minor"/>
    </font>
    <font>
      <sz val="10"/>
      <color theme="9" tint="-0.249977111117893"/>
      <name val="Calibri"/>
      <family val="2"/>
    </font>
    <font>
      <b/>
      <i/>
      <sz val="10"/>
      <color theme="1"/>
      <name val="Calibri"/>
      <family val="2"/>
      <scheme val="minor"/>
    </font>
    <font>
      <b/>
      <i/>
      <sz val="10"/>
      <color theme="4"/>
      <name val="Calibri"/>
      <family val="2"/>
      <scheme val="minor"/>
    </font>
    <font>
      <sz val="11"/>
      <color theme="4"/>
      <name val="Calibri"/>
      <family val="2"/>
      <scheme val="minor"/>
    </font>
    <font>
      <b/>
      <sz val="11"/>
      <color theme="4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1"/>
      <color theme="9" tint="-0.249977111117893"/>
      <name val="Calibri"/>
      <family val="2"/>
      <scheme val="minor"/>
    </font>
    <font>
      <sz val="11"/>
      <color theme="1"/>
      <name val="Vivaldi"/>
      <family val="4"/>
    </font>
    <font>
      <sz val="11"/>
      <color theme="1"/>
      <name val="Calibri"/>
      <family val="4"/>
    </font>
    <font>
      <u/>
      <sz val="11"/>
      <color theme="9" tint="-0.249977111117893"/>
      <name val="Calibri"/>
      <family val="2"/>
      <scheme val="minor"/>
    </font>
    <font>
      <sz val="11"/>
      <color rgb="FFC00000"/>
      <name val="Calibri"/>
      <family val="2"/>
    </font>
    <font>
      <sz val="11"/>
      <color rgb="FFC00000"/>
      <name val="Vivaldi"/>
      <family val="4"/>
    </font>
    <font>
      <sz val="11"/>
      <color rgb="FFC00000"/>
      <name val="Calibri"/>
      <family val="4"/>
    </font>
    <font>
      <sz val="11"/>
      <color theme="8" tint="-0.249977111117893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Arial"/>
      <family val="2"/>
    </font>
    <font>
      <sz val="11"/>
      <color theme="1"/>
      <name val="Symbol"/>
      <family val="1"/>
      <charset val="2"/>
    </font>
    <font>
      <b/>
      <sz val="11"/>
      <color theme="9" tint="-0.249977111117893"/>
      <name val="Calibri"/>
      <family val="2"/>
      <scheme val="minor"/>
    </font>
    <font>
      <b/>
      <sz val="14"/>
      <color rgb="FFC00000"/>
      <name val="Calibri"/>
      <family val="2"/>
      <scheme val="minor"/>
    </font>
    <font>
      <sz val="11"/>
      <color rgb="FFFF66FF"/>
      <name val="Calibri"/>
      <family val="2"/>
      <scheme val="minor"/>
    </font>
    <font>
      <sz val="11"/>
      <color rgb="FFFF66FF"/>
      <name val="Calibri"/>
      <family val="2"/>
    </font>
    <font>
      <sz val="11"/>
      <color rgb="FF0070C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2"/>
      <color rgb="FFFFFFFF"/>
      <name val="Calibri"/>
      <family val="2"/>
      <scheme val="minor"/>
    </font>
    <font>
      <b/>
      <sz val="14"/>
      <color rgb="FFFFFFFF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8"/>
      <color rgb="FF0070C0"/>
      <name val="Calibri"/>
      <family val="2"/>
      <scheme val="minor"/>
    </font>
    <font>
      <sz val="18"/>
      <color rgb="FF0070C0"/>
      <name val="Calibri"/>
      <family val="2"/>
      <scheme val="minor"/>
    </font>
    <font>
      <sz val="18"/>
      <color rgb="FFFF0000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rgb="FF0070C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sz val="11"/>
      <color rgb="FF0070C0"/>
      <name val="Segoe UI"/>
      <family val="2"/>
    </font>
    <font>
      <u/>
      <sz val="11"/>
      <color rgb="FFFF0000"/>
      <name val="Calibri"/>
      <family val="2"/>
      <scheme val="minor"/>
    </font>
    <font>
      <b/>
      <sz val="18"/>
      <color rgb="FFFF0000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3300"/>
        <bgColor indexed="64"/>
      </patternFill>
    </fill>
    <fill>
      <patternFill patternType="solid">
        <fgColor theme="5" tint="0.59999389629810485"/>
        <bgColor indexed="64"/>
      </patternFill>
    </fill>
  </fills>
  <borders count="4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 diagonalDown="1">
      <left/>
      <right/>
      <top/>
      <bottom/>
      <diagonal style="medium">
        <color theme="5" tint="0.39994506668294322"/>
      </diagonal>
    </border>
    <border diagonalUp="1">
      <left/>
      <right/>
      <top/>
      <bottom/>
      <diagonal style="medium">
        <color theme="5" tint="0.39994506668294322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484">
    <xf numFmtId="0" fontId="0" fillId="0" borderId="0" xfId="0"/>
    <xf numFmtId="0" fontId="0" fillId="0" borderId="4" xfId="0" applyBorder="1"/>
    <xf numFmtId="0" fontId="0" fillId="0" borderId="4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/>
    <xf numFmtId="0" fontId="0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166" fontId="5" fillId="0" borderId="0" xfId="0" applyNumberFormat="1" applyFont="1" applyBorder="1"/>
    <xf numFmtId="0" fontId="8" fillId="0" borderId="0" xfId="0" applyFont="1"/>
    <xf numFmtId="164" fontId="5" fillId="0" borderId="0" xfId="0" applyNumberFormat="1" applyFont="1"/>
    <xf numFmtId="166" fontId="5" fillId="0" borderId="0" xfId="0" applyNumberFormat="1" applyFont="1"/>
    <xf numFmtId="0" fontId="5" fillId="0" borderId="0" xfId="0" applyFont="1" applyBorder="1" applyAlignment="1">
      <alignment horizontal="right"/>
    </xf>
    <xf numFmtId="0" fontId="5" fillId="0" borderId="0" xfId="0" applyFont="1" applyBorder="1"/>
    <xf numFmtId="2" fontId="5" fillId="4" borderId="0" xfId="0" applyNumberFormat="1" applyFont="1" applyFill="1"/>
    <xf numFmtId="0" fontId="6" fillId="0" borderId="0" xfId="0" applyFont="1" applyBorder="1"/>
    <xf numFmtId="2" fontId="5" fillId="2" borderId="0" xfId="0" applyNumberFormat="1" applyFont="1" applyFill="1"/>
    <xf numFmtId="0" fontId="5" fillId="0" borderId="0" xfId="0" quotePrefix="1" applyFont="1"/>
    <xf numFmtId="2" fontId="10" fillId="3" borderId="0" xfId="0" applyNumberFormat="1" applyFont="1" applyFill="1"/>
    <xf numFmtId="167" fontId="8" fillId="0" borderId="4" xfId="0" applyNumberFormat="1" applyFont="1" applyBorder="1"/>
    <xf numFmtId="0" fontId="9" fillId="0" borderId="0" xfId="0" applyFont="1"/>
    <xf numFmtId="166" fontId="10" fillId="0" borderId="0" xfId="0" applyNumberFormat="1" applyFont="1" applyBorder="1"/>
    <xf numFmtId="0" fontId="9" fillId="0" borderId="0" xfId="0" applyFont="1" applyBorder="1"/>
    <xf numFmtId="0" fontId="11" fillId="0" borderId="0" xfId="0" applyFont="1" applyAlignment="1">
      <alignment horizontal="center"/>
    </xf>
    <xf numFmtId="167" fontId="12" fillId="0" borderId="4" xfId="0" applyNumberFormat="1" applyFont="1" applyBorder="1"/>
    <xf numFmtId="166" fontId="13" fillId="0" borderId="0" xfId="0" applyNumberFormat="1" applyFont="1" applyBorder="1"/>
    <xf numFmtId="165" fontId="7" fillId="2" borderId="1" xfId="0" applyNumberFormat="1" applyFont="1" applyFill="1" applyBorder="1"/>
    <xf numFmtId="167" fontId="5" fillId="0" borderId="0" xfId="0" applyNumberFormat="1" applyFont="1" applyBorder="1"/>
    <xf numFmtId="0" fontId="5" fillId="5" borderId="0" xfId="0" applyFont="1" applyFill="1"/>
    <xf numFmtId="165" fontId="5" fillId="2" borderId="0" xfId="0" applyNumberFormat="1" applyFont="1" applyFill="1"/>
    <xf numFmtId="165" fontId="5" fillId="0" borderId="0" xfId="0" applyNumberFormat="1" applyFont="1" applyBorder="1"/>
    <xf numFmtId="165" fontId="15" fillId="7" borderId="0" xfId="0" applyNumberFormat="1" applyFont="1" applyFill="1"/>
    <xf numFmtId="165" fontId="6" fillId="2" borderId="0" xfId="0" applyNumberFormat="1" applyFont="1" applyFill="1"/>
    <xf numFmtId="165" fontId="17" fillId="7" borderId="0" xfId="0" applyNumberFormat="1" applyFont="1" applyFill="1"/>
    <xf numFmtId="0" fontId="18" fillId="0" borderId="0" xfId="0" applyFont="1" applyAlignment="1">
      <alignment horizontal="justify" vertical="center"/>
    </xf>
    <xf numFmtId="0" fontId="19" fillId="0" borderId="0" xfId="0" applyFont="1"/>
    <xf numFmtId="164" fontId="19" fillId="0" borderId="0" xfId="0" applyNumberFormat="1" applyFont="1"/>
    <xf numFmtId="0" fontId="20" fillId="0" borderId="2" xfId="0" applyFont="1" applyBorder="1"/>
    <xf numFmtId="166" fontId="20" fillId="0" borderId="0" xfId="0" applyNumberFormat="1" applyFont="1" applyBorder="1"/>
    <xf numFmtId="0" fontId="20" fillId="0" borderId="3" xfId="0" applyFont="1" applyBorder="1"/>
    <xf numFmtId="166" fontId="19" fillId="0" borderId="0" xfId="0" applyNumberFormat="1" applyFont="1"/>
    <xf numFmtId="0" fontId="20" fillId="0" borderId="0" xfId="0" applyFont="1"/>
    <xf numFmtId="164" fontId="20" fillId="0" borderId="0" xfId="0" applyNumberFormat="1" applyFont="1"/>
    <xf numFmtId="166" fontId="20" fillId="0" borderId="0" xfId="0" applyNumberFormat="1" applyFont="1"/>
    <xf numFmtId="165" fontId="5" fillId="4" borderId="0" xfId="0" applyNumberFormat="1" applyFont="1" applyFill="1"/>
    <xf numFmtId="0" fontId="22" fillId="0" borderId="0" xfId="0" applyFont="1"/>
    <xf numFmtId="0" fontId="5" fillId="6" borderId="0" xfId="0" applyFont="1" applyFill="1"/>
    <xf numFmtId="164" fontId="5" fillId="6" borderId="0" xfId="0" applyNumberFormat="1" applyFont="1" applyFill="1"/>
    <xf numFmtId="0" fontId="18" fillId="0" borderId="0" xfId="0" applyFont="1"/>
    <xf numFmtId="0" fontId="5" fillId="0" borderId="0" xfId="0" applyFont="1" applyBorder="1" applyAlignment="1">
      <alignment wrapText="1"/>
    </xf>
    <xf numFmtId="0" fontId="5" fillId="0" borderId="0" xfId="0" applyFont="1" applyAlignment="1">
      <alignment wrapText="1"/>
    </xf>
    <xf numFmtId="0" fontId="16" fillId="0" borderId="0" xfId="0" applyFont="1"/>
    <xf numFmtId="0" fontId="5" fillId="0" borderId="4" xfId="0" applyFont="1" applyBorder="1"/>
    <xf numFmtId="0" fontId="5" fillId="0" borderId="4" xfId="0" quotePrefix="1" applyFont="1" applyBorder="1" applyAlignment="1">
      <alignment horizontal="right"/>
    </xf>
    <xf numFmtId="0" fontId="9" fillId="0" borderId="4" xfId="0" quotePrefix="1" applyFont="1" applyBorder="1" applyAlignment="1">
      <alignment horizontal="right"/>
    </xf>
    <xf numFmtId="166" fontId="5" fillId="0" borderId="4" xfId="0" applyNumberFormat="1" applyFont="1" applyBorder="1"/>
    <xf numFmtId="166" fontId="9" fillId="0" borderId="4" xfId="0" applyNumberFormat="1" applyFont="1" applyBorder="1"/>
    <xf numFmtId="164" fontId="5" fillId="0" borderId="4" xfId="0" applyNumberFormat="1" applyFont="1" applyBorder="1"/>
    <xf numFmtId="164" fontId="9" fillId="0" borderId="4" xfId="0" applyNumberFormat="1" applyFont="1" applyBorder="1"/>
    <xf numFmtId="0" fontId="0" fillId="0" borderId="0" xfId="0" applyFill="1"/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5" fillId="3" borderId="0" xfId="0" applyFont="1" applyFill="1"/>
    <xf numFmtId="164" fontId="5" fillId="3" borderId="0" xfId="0" applyNumberFormat="1" applyFont="1" applyFill="1"/>
    <xf numFmtId="0" fontId="8" fillId="3" borderId="0" xfId="0" applyFont="1" applyFill="1" applyAlignment="1">
      <alignment horizontal="center"/>
    </xf>
    <xf numFmtId="0" fontId="5" fillId="2" borderId="0" xfId="0" applyFont="1" applyFill="1"/>
    <xf numFmtId="166" fontId="5" fillId="2" borderId="0" xfId="0" applyNumberFormat="1" applyFont="1" applyFill="1"/>
    <xf numFmtId="0" fontId="8" fillId="2" borderId="0" xfId="0" applyFont="1" applyFill="1" applyAlignment="1">
      <alignment horizontal="center"/>
    </xf>
    <xf numFmtId="0" fontId="12" fillId="2" borderId="0" xfId="0" applyFont="1" applyFill="1"/>
    <xf numFmtId="166" fontId="12" fillId="2" borderId="0" xfId="0" applyNumberFormat="1" applyFont="1" applyFill="1"/>
    <xf numFmtId="0" fontId="12" fillId="2" borderId="0" xfId="0" applyFont="1" applyFill="1" applyAlignment="1">
      <alignment horizontal="center"/>
    </xf>
    <xf numFmtId="0" fontId="12" fillId="0" borderId="0" xfId="0" applyFont="1"/>
    <xf numFmtId="166" fontId="9" fillId="0" borderId="0" xfId="0" applyNumberFormat="1" applyFont="1"/>
    <xf numFmtId="166" fontId="9" fillId="2" borderId="0" xfId="0" applyNumberFormat="1" applyFont="1" applyFill="1"/>
    <xf numFmtId="164" fontId="9" fillId="3" borderId="0" xfId="0" applyNumberFormat="1" applyFont="1" applyFill="1"/>
    <xf numFmtId="0" fontId="24" fillId="0" borderId="0" xfId="0" applyFont="1"/>
    <xf numFmtId="166" fontId="12" fillId="0" borderId="0" xfId="0" applyNumberFormat="1" applyFont="1"/>
    <xf numFmtId="164" fontId="12" fillId="0" borderId="0" xfId="0" applyNumberFormat="1" applyFont="1"/>
    <xf numFmtId="0" fontId="12" fillId="0" borderId="0" xfId="0" applyFont="1" applyAlignment="1">
      <alignment wrapText="1"/>
    </xf>
    <xf numFmtId="0" fontId="25" fillId="0" borderId="0" xfId="0" applyFont="1"/>
    <xf numFmtId="0" fontId="26" fillId="0" borderId="0" xfId="0" applyFont="1"/>
    <xf numFmtId="0" fontId="26" fillId="0" borderId="0" xfId="0" applyFont="1" applyAlignment="1">
      <alignment wrapText="1"/>
    </xf>
    <xf numFmtId="0" fontId="26" fillId="2" borderId="0" xfId="0" applyFont="1" applyFill="1"/>
    <xf numFmtId="0" fontId="26" fillId="3" borderId="0" xfId="0" applyFont="1" applyFill="1"/>
    <xf numFmtId="0" fontId="26" fillId="0" borderId="0" xfId="0" quotePrefix="1" applyFont="1"/>
    <xf numFmtId="0" fontId="5" fillId="5" borderId="4" xfId="0" applyFont="1" applyFill="1" applyBorder="1"/>
    <xf numFmtId="166" fontId="5" fillId="5" borderId="4" xfId="0" applyNumberFormat="1" applyFont="1" applyFill="1" applyBorder="1"/>
    <xf numFmtId="166" fontId="9" fillId="5" borderId="4" xfId="0" applyNumberFormat="1" applyFont="1" applyFill="1" applyBorder="1"/>
    <xf numFmtId="0" fontId="5" fillId="8" borderId="4" xfId="0" applyFont="1" applyFill="1" applyBorder="1"/>
    <xf numFmtId="164" fontId="5" fillId="8" borderId="4" xfId="0" applyNumberFormat="1" applyFont="1" applyFill="1" applyBorder="1"/>
    <xf numFmtId="164" fontId="9" fillId="8" borderId="4" xfId="0" applyNumberFormat="1" applyFont="1" applyFill="1" applyBorder="1"/>
    <xf numFmtId="166" fontId="5" fillId="8" borderId="4" xfId="0" applyNumberFormat="1" applyFont="1" applyFill="1" applyBorder="1"/>
    <xf numFmtId="166" fontId="9" fillId="8" borderId="4" xfId="0" applyNumberFormat="1" applyFont="1" applyFill="1" applyBorder="1"/>
    <xf numFmtId="0" fontId="5" fillId="0" borderId="4" xfId="0" applyFont="1" applyBorder="1" applyAlignment="1">
      <alignment horizontal="right"/>
    </xf>
    <xf numFmtId="0" fontId="8" fillId="0" borderId="4" xfId="0" applyFont="1" applyBorder="1" applyAlignment="1">
      <alignment horizontal="right"/>
    </xf>
    <xf numFmtId="0" fontId="28" fillId="8" borderId="4" xfId="0" applyFont="1" applyFill="1" applyBorder="1"/>
    <xf numFmtId="166" fontId="28" fillId="8" borderId="4" xfId="0" applyNumberFormat="1" applyFont="1" applyFill="1" applyBorder="1"/>
    <xf numFmtId="166" fontId="29" fillId="8" borderId="4" xfId="0" applyNumberFormat="1" applyFont="1" applyFill="1" applyBorder="1"/>
    <xf numFmtId="0" fontId="6" fillId="9" borderId="4" xfId="0" applyFont="1" applyFill="1" applyBorder="1"/>
    <xf numFmtId="0" fontId="6" fillId="9" borderId="4" xfId="0" applyFont="1" applyFill="1" applyBorder="1" applyAlignment="1">
      <alignment horizontal="center"/>
    </xf>
    <xf numFmtId="0" fontId="16" fillId="9" borderId="4" xfId="0" applyFont="1" applyFill="1" applyBorder="1" applyAlignment="1">
      <alignment horizontal="center"/>
    </xf>
    <xf numFmtId="0" fontId="5" fillId="9" borderId="4" xfId="0" applyFont="1" applyFill="1" applyBorder="1"/>
    <xf numFmtId="0" fontId="5" fillId="9" borderId="4" xfId="0" applyFont="1" applyFill="1" applyBorder="1" applyAlignment="1">
      <alignment vertical="top"/>
    </xf>
    <xf numFmtId="166" fontId="9" fillId="0" borderId="0" xfId="0" applyNumberFormat="1" applyFont="1" applyBorder="1"/>
    <xf numFmtId="164" fontId="8" fillId="0" borderId="4" xfId="0" applyNumberFormat="1" applyFont="1" applyBorder="1"/>
    <xf numFmtId="0" fontId="19" fillId="0" borderId="0" xfId="0" applyFont="1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1" fillId="0" borderId="0" xfId="0" applyFont="1" applyAlignment="1">
      <alignment wrapText="1"/>
    </xf>
    <xf numFmtId="0" fontId="0" fillId="0" borderId="0" xfId="0" applyAlignment="1">
      <alignment horizontal="left"/>
    </xf>
    <xf numFmtId="0" fontId="0" fillId="0" borderId="0" xfId="0" quotePrefix="1"/>
    <xf numFmtId="0" fontId="30" fillId="0" borderId="0" xfId="0" applyFont="1"/>
    <xf numFmtId="0" fontId="31" fillId="0" borderId="0" xfId="0" applyFont="1" applyAlignment="1">
      <alignment wrapText="1"/>
    </xf>
    <xf numFmtId="0" fontId="4" fillId="0" borderId="0" xfId="0" applyFont="1" applyAlignment="1">
      <alignment horizontal="left"/>
    </xf>
    <xf numFmtId="166" fontId="0" fillId="0" borderId="0" xfId="0" applyNumberFormat="1"/>
    <xf numFmtId="0" fontId="0" fillId="0" borderId="0" xfId="0" applyBorder="1"/>
    <xf numFmtId="0" fontId="0" fillId="10" borderId="4" xfId="0" applyFill="1" applyBorder="1"/>
    <xf numFmtId="0" fontId="1" fillId="11" borderId="4" xfId="0" applyFont="1" applyFill="1" applyBorder="1" applyAlignment="1">
      <alignment horizontal="center" wrapText="1"/>
    </xf>
    <xf numFmtId="0" fontId="4" fillId="0" borderId="0" xfId="0" applyFont="1" applyAlignment="1">
      <alignment horizontal="center"/>
    </xf>
    <xf numFmtId="0" fontId="0" fillId="2" borderId="1" xfId="0" quotePrefix="1" applyFill="1" applyBorder="1"/>
    <xf numFmtId="164" fontId="0" fillId="0" borderId="4" xfId="0" applyNumberFormat="1" applyBorder="1"/>
    <xf numFmtId="2" fontId="0" fillId="0" borderId="4" xfId="0" applyNumberFormat="1" applyBorder="1"/>
    <xf numFmtId="0" fontId="0" fillId="2" borderId="4" xfId="0" applyFill="1" applyBorder="1"/>
    <xf numFmtId="166" fontId="0" fillId="2" borderId="4" xfId="0" applyNumberFormat="1" applyFill="1" applyBorder="1"/>
    <xf numFmtId="0" fontId="0" fillId="2" borderId="12" xfId="0" applyFill="1" applyBorder="1"/>
    <xf numFmtId="166" fontId="0" fillId="2" borderId="12" xfId="0" applyNumberFormat="1" applyFill="1" applyBorder="1"/>
    <xf numFmtId="164" fontId="0" fillId="5" borderId="4" xfId="0" applyNumberFormat="1" applyFill="1" applyBorder="1"/>
    <xf numFmtId="2" fontId="0" fillId="0" borderId="4" xfId="0" applyNumberFormat="1" applyFill="1" applyBorder="1"/>
    <xf numFmtId="0" fontId="0" fillId="12" borderId="4" xfId="0" applyFill="1" applyBorder="1" applyAlignment="1">
      <alignment wrapText="1"/>
    </xf>
    <xf numFmtId="164" fontId="0" fillId="12" borderId="4" xfId="0" applyNumberFormat="1" applyFill="1" applyBorder="1" applyAlignment="1">
      <alignment horizontal="right"/>
    </xf>
    <xf numFmtId="0" fontId="38" fillId="0" borderId="0" xfId="0" applyFont="1" applyAlignment="1">
      <alignment horizontal="left"/>
    </xf>
    <xf numFmtId="0" fontId="4" fillId="0" borderId="1" xfId="0" applyFont="1" applyBorder="1" applyAlignment="1">
      <alignment horizontal="left"/>
    </xf>
    <xf numFmtId="0" fontId="38" fillId="0" borderId="0" xfId="0" applyFont="1" applyAlignment="1">
      <alignment horizontal="right"/>
    </xf>
    <xf numFmtId="0" fontId="41" fillId="0" borderId="0" xfId="0" applyFont="1"/>
    <xf numFmtId="0" fontId="41" fillId="0" borderId="0" xfId="0" applyFont="1" applyAlignment="1">
      <alignment horizontal="left"/>
    </xf>
    <xf numFmtId="0" fontId="41" fillId="0" borderId="0" xfId="0" applyFont="1" applyAlignment="1">
      <alignment horizontal="center"/>
    </xf>
    <xf numFmtId="166" fontId="0" fillId="2" borderId="10" xfId="0" applyNumberFormat="1" applyFill="1" applyBorder="1"/>
    <xf numFmtId="166" fontId="0" fillId="2" borderId="13" xfId="0" applyNumberFormat="1" applyFill="1" applyBorder="1"/>
    <xf numFmtId="0" fontId="1" fillId="2" borderId="7" xfId="0" applyFont="1" applyFill="1" applyBorder="1" applyAlignment="1">
      <alignment horizontal="center" wrapText="1"/>
    </xf>
    <xf numFmtId="0" fontId="1" fillId="0" borderId="6" xfId="0" applyFont="1" applyBorder="1" applyAlignment="1">
      <alignment wrapText="1"/>
    </xf>
    <xf numFmtId="0" fontId="1" fillId="0" borderId="7" xfId="0" applyFont="1" applyBorder="1" applyAlignment="1">
      <alignment horizontal="center"/>
    </xf>
    <xf numFmtId="0" fontId="1" fillId="12" borderId="9" xfId="0" applyFont="1" applyFill="1" applyBorder="1" applyAlignment="1">
      <alignment horizontal="center" wrapText="1"/>
    </xf>
    <xf numFmtId="0" fontId="1" fillId="0" borderId="9" xfId="0" applyFont="1" applyBorder="1" applyAlignment="1">
      <alignment horizontal="center" wrapText="1"/>
    </xf>
    <xf numFmtId="0" fontId="0" fillId="0" borderId="1" xfId="0" applyBorder="1"/>
    <xf numFmtId="0" fontId="34" fillId="0" borderId="0" xfId="0" applyFont="1"/>
    <xf numFmtId="164" fontId="0" fillId="0" borderId="4" xfId="0" applyNumberFormat="1" applyFont="1" applyBorder="1" applyAlignment="1">
      <alignment horizontal="right"/>
    </xf>
    <xf numFmtId="164" fontId="2" fillId="0" borderId="4" xfId="0" applyNumberFormat="1" applyFont="1" applyBorder="1"/>
    <xf numFmtId="0" fontId="42" fillId="0" borderId="9" xfId="0" applyFont="1" applyBorder="1" applyAlignment="1">
      <alignment horizontal="center" wrapText="1"/>
    </xf>
    <xf numFmtId="0" fontId="31" fillId="0" borderId="11" xfId="0" applyFont="1" applyBorder="1" applyAlignment="1">
      <alignment horizontal="center" wrapText="1"/>
    </xf>
    <xf numFmtId="164" fontId="30" fillId="0" borderId="12" xfId="0" applyNumberFormat="1" applyFont="1" applyBorder="1" applyAlignment="1">
      <alignment horizontal="right"/>
    </xf>
    <xf numFmtId="0" fontId="2" fillId="0" borderId="4" xfId="0" applyFont="1" applyBorder="1" applyAlignment="1">
      <alignment horizontal="center"/>
    </xf>
    <xf numFmtId="0" fontId="30" fillId="0" borderId="4" xfId="0" applyFont="1" applyBorder="1" applyAlignment="1">
      <alignment horizontal="center"/>
    </xf>
    <xf numFmtId="164" fontId="30" fillId="0" borderId="4" xfId="0" applyNumberFormat="1" applyFont="1" applyBorder="1"/>
    <xf numFmtId="0" fontId="0" fillId="0" borderId="0" xfId="0" applyFont="1" applyAlignment="1">
      <alignment horizontal="left"/>
    </xf>
    <xf numFmtId="0" fontId="0" fillId="0" borderId="14" xfId="0" applyBorder="1" applyAlignment="1">
      <alignment horizontal="center"/>
    </xf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9" xfId="0" applyBorder="1" applyAlignment="1">
      <alignment horizontal="center"/>
    </xf>
    <xf numFmtId="0" fontId="0" fillId="0" borderId="10" xfId="0" applyBorder="1"/>
    <xf numFmtId="0" fontId="0" fillId="0" borderId="11" xfId="0" applyBorder="1" applyAlignment="1">
      <alignment horizontal="center"/>
    </xf>
    <xf numFmtId="164" fontId="2" fillId="0" borderId="12" xfId="0" applyNumberFormat="1" applyFont="1" applyBorder="1"/>
    <xf numFmtId="164" fontId="30" fillId="0" borderId="12" xfId="0" applyNumberFormat="1" applyFont="1" applyBorder="1"/>
    <xf numFmtId="0" fontId="0" fillId="0" borderId="12" xfId="0" applyBorder="1"/>
    <xf numFmtId="0" fontId="0" fillId="0" borderId="13" xfId="0" applyBorder="1"/>
    <xf numFmtId="0" fontId="4" fillId="0" borderId="5" xfId="0" applyFont="1" applyBorder="1" applyAlignment="1">
      <alignment horizontal="left"/>
    </xf>
    <xf numFmtId="0" fontId="0" fillId="0" borderId="1" xfId="0" applyBorder="1" applyAlignment="1">
      <alignment wrapText="1"/>
    </xf>
    <xf numFmtId="0" fontId="36" fillId="0" borderId="0" xfId="0" quotePrefix="1" applyFont="1" applyAlignment="1">
      <alignment horizontal="left"/>
    </xf>
    <xf numFmtId="0" fontId="2" fillId="0" borderId="0" xfId="0" applyFont="1" applyAlignment="1">
      <alignment horizontal="left"/>
    </xf>
    <xf numFmtId="2" fontId="0" fillId="0" borderId="12" xfId="0" applyNumberFormat="1" applyBorder="1"/>
    <xf numFmtId="0" fontId="0" fillId="0" borderId="5" xfId="0" applyBorder="1"/>
    <xf numFmtId="0" fontId="0" fillId="0" borderId="19" xfId="0" applyBorder="1"/>
    <xf numFmtId="0" fontId="0" fillId="0" borderId="0" xfId="0" applyAlignment="1">
      <alignment horizontal="right"/>
    </xf>
    <xf numFmtId="0" fontId="0" fillId="0" borderId="19" xfId="0" applyBorder="1" applyAlignment="1">
      <alignment horizontal="center"/>
    </xf>
    <xf numFmtId="164" fontId="2" fillId="0" borderId="7" xfId="0" applyNumberFormat="1" applyFont="1" applyBorder="1"/>
    <xf numFmtId="0" fontId="0" fillId="0" borderId="21" xfId="0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40" fillId="0" borderId="0" xfId="0" quotePrefix="1" applyFont="1" applyAlignment="1">
      <alignment horizontal="right"/>
    </xf>
    <xf numFmtId="0" fontId="2" fillId="0" borderId="19" xfId="0" applyFont="1" applyBorder="1" applyAlignment="1">
      <alignment horizontal="center"/>
    </xf>
    <xf numFmtId="164" fontId="30" fillId="5" borderId="4" xfId="0" applyNumberFormat="1" applyFont="1" applyFill="1" applyBorder="1"/>
    <xf numFmtId="0" fontId="4" fillId="0" borderId="19" xfId="0" applyFont="1" applyBorder="1" applyAlignment="1">
      <alignment horizontal="center"/>
    </xf>
    <xf numFmtId="164" fontId="4" fillId="0" borderId="4" xfId="0" applyNumberFormat="1" applyFont="1" applyBorder="1"/>
    <xf numFmtId="0" fontId="1" fillId="0" borderId="0" xfId="0" applyFont="1"/>
    <xf numFmtId="0" fontId="1" fillId="0" borderId="23" xfId="0" applyFont="1" applyBorder="1"/>
    <xf numFmtId="0" fontId="1" fillId="0" borderId="22" xfId="0" applyFont="1" applyBorder="1" applyAlignment="1">
      <alignment horizontal="left"/>
    </xf>
    <xf numFmtId="0" fontId="1" fillId="9" borderId="7" xfId="0" applyFont="1" applyFill="1" applyBorder="1" applyAlignment="1">
      <alignment horizontal="center" wrapText="1"/>
    </xf>
    <xf numFmtId="0" fontId="16" fillId="9" borderId="4" xfId="0" applyFont="1" applyFill="1" applyBorder="1" applyAlignment="1">
      <alignment horizontal="center" wrapText="1"/>
    </xf>
    <xf numFmtId="0" fontId="7" fillId="9" borderId="4" xfId="0" applyFont="1" applyFill="1" applyBorder="1" applyAlignment="1">
      <alignment horizontal="center"/>
    </xf>
    <xf numFmtId="165" fontId="12" fillId="5" borderId="0" xfId="0" applyNumberFormat="1" applyFont="1" applyFill="1"/>
    <xf numFmtId="165" fontId="12" fillId="13" borderId="0" xfId="0" applyNumberFormat="1" applyFont="1" applyFill="1"/>
    <xf numFmtId="166" fontId="12" fillId="12" borderId="0" xfId="0" applyNumberFormat="1" applyFont="1" applyFill="1"/>
    <xf numFmtId="2" fontId="12" fillId="12" borderId="0" xfId="0" applyNumberFormat="1" applyFont="1" applyFill="1"/>
    <xf numFmtId="166" fontId="16" fillId="5" borderId="0" xfId="0" applyNumberFormat="1" applyFont="1" applyFill="1"/>
    <xf numFmtId="166" fontId="16" fillId="5" borderId="0" xfId="0" applyNumberFormat="1" applyFont="1" applyFill="1" applyBorder="1"/>
    <xf numFmtId="165" fontId="5" fillId="0" borderId="0" xfId="0" applyNumberFormat="1" applyFont="1"/>
    <xf numFmtId="0" fontId="5" fillId="9" borderId="20" xfId="0" applyFont="1" applyFill="1" applyBorder="1" applyAlignment="1">
      <alignment vertical="top"/>
    </xf>
    <xf numFmtId="0" fontId="5" fillId="0" borderId="20" xfId="0" applyFont="1" applyBorder="1"/>
    <xf numFmtId="0" fontId="9" fillId="0" borderId="20" xfId="0" applyFont="1" applyBorder="1"/>
    <xf numFmtId="1" fontId="5" fillId="0" borderId="4" xfId="0" applyNumberFormat="1" applyFont="1" applyBorder="1"/>
    <xf numFmtId="1" fontId="9" fillId="0" borderId="4" xfId="0" applyNumberFormat="1" applyFont="1" applyBorder="1"/>
    <xf numFmtId="0" fontId="5" fillId="0" borderId="4" xfId="0" applyFont="1" applyBorder="1" applyAlignment="1">
      <alignment wrapText="1"/>
    </xf>
    <xf numFmtId="0" fontId="1" fillId="9" borderId="15" xfId="0" applyFont="1" applyFill="1" applyBorder="1" applyAlignment="1">
      <alignment horizontal="center" wrapText="1"/>
    </xf>
    <xf numFmtId="2" fontId="0" fillId="0" borderId="25" xfId="0" applyNumberFormat="1" applyBorder="1"/>
    <xf numFmtId="164" fontId="30" fillId="5" borderId="26" xfId="0" applyNumberFormat="1" applyFont="1" applyFill="1" applyBorder="1"/>
    <xf numFmtId="164" fontId="2" fillId="0" borderId="15" xfId="0" applyNumberFormat="1" applyFont="1" applyBorder="1"/>
    <xf numFmtId="164" fontId="30" fillId="0" borderId="26" xfId="0" applyNumberFormat="1" applyFont="1" applyBorder="1"/>
    <xf numFmtId="164" fontId="4" fillId="0" borderId="26" xfId="0" applyNumberFormat="1" applyFont="1" applyBorder="1"/>
    <xf numFmtId="164" fontId="2" fillId="0" borderId="26" xfId="0" applyNumberFormat="1" applyFont="1" applyBorder="1"/>
    <xf numFmtId="164" fontId="1" fillId="0" borderId="23" xfId="0" applyNumberFormat="1" applyFont="1" applyBorder="1"/>
    <xf numFmtId="0" fontId="2" fillId="9" borderId="6" xfId="0" applyFont="1" applyFill="1" applyBorder="1" applyAlignment="1"/>
    <xf numFmtId="0" fontId="34" fillId="0" borderId="8" xfId="0" applyFont="1" applyBorder="1" applyAlignment="1">
      <alignment horizontal="center"/>
    </xf>
    <xf numFmtId="0" fontId="30" fillId="9" borderId="9" xfId="0" applyFont="1" applyFill="1" applyBorder="1" applyAlignment="1"/>
    <xf numFmtId="0" fontId="34" fillId="0" borderId="10" xfId="0" applyFont="1" applyBorder="1" applyAlignment="1">
      <alignment horizontal="center"/>
    </xf>
    <xf numFmtId="0" fontId="4" fillId="9" borderId="9" xfId="0" applyFont="1" applyFill="1" applyBorder="1" applyAlignment="1">
      <alignment wrapText="1"/>
    </xf>
    <xf numFmtId="0" fontId="2" fillId="9" borderId="9" xfId="0" applyFont="1" applyFill="1" applyBorder="1" applyAlignment="1"/>
    <xf numFmtId="0" fontId="0" fillId="9" borderId="11" xfId="0" applyFill="1" applyBorder="1" applyAlignment="1"/>
    <xf numFmtId="164" fontId="0" fillId="0" borderId="12" xfId="0" applyNumberFormat="1" applyBorder="1"/>
    <xf numFmtId="164" fontId="0" fillId="0" borderId="25" xfId="0" applyNumberFormat="1" applyBorder="1"/>
    <xf numFmtId="0" fontId="34" fillId="0" borderId="13" xfId="0" applyFont="1" applyBorder="1" applyAlignment="1">
      <alignment horizontal="center"/>
    </xf>
    <xf numFmtId="0" fontId="45" fillId="0" borderId="24" xfId="0" applyFont="1" applyBorder="1" applyAlignment="1">
      <alignment horizontal="center"/>
    </xf>
    <xf numFmtId="0" fontId="2" fillId="9" borderId="6" xfId="0" applyFont="1" applyFill="1" applyBorder="1" applyAlignment="1">
      <alignment wrapText="1"/>
    </xf>
    <xf numFmtId="0" fontId="0" fillId="9" borderId="6" xfId="0" applyFill="1" applyBorder="1" applyAlignment="1">
      <alignment horizontal="center" wrapText="1"/>
    </xf>
    <xf numFmtId="0" fontId="34" fillId="0" borderId="8" xfId="0" applyFont="1" applyBorder="1" applyAlignment="1">
      <alignment horizontal="center" wrapText="1"/>
    </xf>
    <xf numFmtId="0" fontId="0" fillId="9" borderId="11" xfId="0" applyFill="1" applyBorder="1" applyAlignment="1">
      <alignment wrapText="1"/>
    </xf>
    <xf numFmtId="0" fontId="2" fillId="0" borderId="0" xfId="0" applyFont="1" applyAlignment="1">
      <alignment horizontal="center"/>
    </xf>
    <xf numFmtId="0" fontId="30" fillId="0" borderId="0" xfId="0" applyFont="1" applyAlignment="1">
      <alignment horizontal="center"/>
    </xf>
    <xf numFmtId="0" fontId="1" fillId="0" borderId="15" xfId="0" applyFont="1" applyBorder="1" applyAlignment="1">
      <alignment horizontal="center"/>
    </xf>
    <xf numFmtId="0" fontId="0" fillId="12" borderId="26" xfId="0" applyFill="1" applyBorder="1" applyAlignment="1">
      <alignment wrapText="1"/>
    </xf>
    <xf numFmtId="164" fontId="0" fillId="12" borderId="26" xfId="0" applyNumberFormat="1" applyFill="1" applyBorder="1"/>
    <xf numFmtId="164" fontId="2" fillId="12" borderId="26" xfId="0" applyNumberFormat="1" applyFont="1" applyFill="1" applyBorder="1"/>
    <xf numFmtId="0" fontId="37" fillId="0" borderId="8" xfId="0" applyFont="1" applyFill="1" applyBorder="1" applyAlignment="1">
      <alignment horizontal="center"/>
    </xf>
    <xf numFmtId="0" fontId="34" fillId="0" borderId="10" xfId="0" applyFont="1" applyBorder="1" applyAlignment="1">
      <alignment horizontal="center" wrapText="1"/>
    </xf>
    <xf numFmtId="0" fontId="0" fillId="0" borderId="27" xfId="0" applyBorder="1" applyAlignment="1">
      <alignment horizontal="center" wrapText="1"/>
    </xf>
    <xf numFmtId="0" fontId="0" fillId="0" borderId="28" xfId="0" applyBorder="1" applyAlignment="1">
      <alignment wrapText="1"/>
    </xf>
    <xf numFmtId="0" fontId="0" fillId="0" borderId="27" xfId="0" applyBorder="1" applyAlignment="1">
      <alignment wrapText="1"/>
    </xf>
    <xf numFmtId="164" fontId="30" fillId="12" borderId="25" xfId="0" applyNumberFormat="1" applyFont="1" applyFill="1" applyBorder="1"/>
    <xf numFmtId="9" fontId="0" fillId="0" borderId="0" xfId="0" applyNumberFormat="1" applyAlignment="1"/>
    <xf numFmtId="0" fontId="4" fillId="0" borderId="1" xfId="0" applyFont="1" applyBorder="1"/>
    <xf numFmtId="0" fontId="0" fillId="5" borderId="4" xfId="0" applyFill="1" applyBorder="1" applyAlignment="1">
      <alignment horizontal="center"/>
    </xf>
    <xf numFmtId="2" fontId="0" fillId="5" borderId="4" xfId="0" applyNumberFormat="1" applyFill="1" applyBorder="1"/>
    <xf numFmtId="166" fontId="0" fillId="5" borderId="4" xfId="0" applyNumberFormat="1" applyFill="1" applyBorder="1"/>
    <xf numFmtId="0" fontId="0" fillId="5" borderId="4" xfId="0" applyFill="1" applyBorder="1"/>
    <xf numFmtId="0" fontId="30" fillId="5" borderId="0" xfId="0" applyFont="1" applyFill="1"/>
    <xf numFmtId="0" fontId="0" fillId="2" borderId="6" xfId="0" applyFill="1" applyBorder="1" applyAlignment="1">
      <alignment wrapText="1"/>
    </xf>
    <xf numFmtId="0" fontId="0" fillId="2" borderId="7" xfId="0" applyFill="1" applyBorder="1" applyAlignment="1">
      <alignment wrapText="1"/>
    </xf>
    <xf numFmtId="0" fontId="0" fillId="2" borderId="8" xfId="0" applyFill="1" applyBorder="1" applyAlignment="1">
      <alignment wrapText="1"/>
    </xf>
    <xf numFmtId="0" fontId="0" fillId="2" borderId="9" xfId="0" applyFill="1" applyBorder="1"/>
    <xf numFmtId="0" fontId="0" fillId="2" borderId="11" xfId="0" applyFill="1" applyBorder="1"/>
    <xf numFmtId="2" fontId="0" fillId="2" borderId="4" xfId="0" applyNumberFormat="1" applyFill="1" applyBorder="1"/>
    <xf numFmtId="0" fontId="47" fillId="0" borderId="0" xfId="0" applyFont="1"/>
    <xf numFmtId="0" fontId="48" fillId="0" borderId="0" xfId="0" applyFont="1" applyAlignment="1">
      <alignment horizontal="right"/>
    </xf>
    <xf numFmtId="0" fontId="4" fillId="0" borderId="14" xfId="0" applyFont="1" applyBorder="1" applyAlignment="1">
      <alignment horizontal="left"/>
    </xf>
    <xf numFmtId="0" fontId="0" fillId="0" borderId="29" xfId="0" applyBorder="1"/>
    <xf numFmtId="0" fontId="0" fillId="0" borderId="30" xfId="0" applyBorder="1"/>
    <xf numFmtId="0" fontId="4" fillId="0" borderId="31" xfId="0" applyFont="1" applyBorder="1" applyAlignment="1">
      <alignment horizontal="center"/>
    </xf>
    <xf numFmtId="0" fontId="4" fillId="0" borderId="0" xfId="0" applyFont="1" applyBorder="1"/>
    <xf numFmtId="0" fontId="4" fillId="0" borderId="0" xfId="0" applyFont="1" applyBorder="1" applyAlignment="1">
      <alignment horizontal="right"/>
    </xf>
    <xf numFmtId="0" fontId="4" fillId="0" borderId="32" xfId="0" applyFont="1" applyBorder="1"/>
    <xf numFmtId="0" fontId="4" fillId="0" borderId="31" xfId="0" applyFont="1" applyBorder="1" applyAlignment="1">
      <alignment horizontal="left"/>
    </xf>
    <xf numFmtId="0" fontId="4" fillId="0" borderId="0" xfId="0" applyFont="1" applyBorder="1" applyAlignment="1">
      <alignment wrapText="1"/>
    </xf>
    <xf numFmtId="0" fontId="0" fillId="0" borderId="31" xfId="0" applyBorder="1"/>
    <xf numFmtId="0" fontId="0" fillId="0" borderId="0" xfId="0" applyBorder="1" applyAlignment="1">
      <alignment horizontal="center"/>
    </xf>
    <xf numFmtId="0" fontId="0" fillId="0" borderId="32" xfId="0" applyBorder="1"/>
    <xf numFmtId="0" fontId="0" fillId="0" borderId="31" xfId="0" applyBorder="1" applyAlignment="1">
      <alignment wrapText="1"/>
    </xf>
    <xf numFmtId="0" fontId="0" fillId="0" borderId="0" xfId="0" applyBorder="1" applyAlignment="1">
      <alignment wrapText="1"/>
    </xf>
    <xf numFmtId="0" fontId="0" fillId="0" borderId="32" xfId="0" applyBorder="1" applyAlignment="1">
      <alignment wrapText="1"/>
    </xf>
    <xf numFmtId="0" fontId="19" fillId="0" borderId="31" xfId="0" applyFont="1" applyBorder="1"/>
    <xf numFmtId="0" fontId="1" fillId="0" borderId="31" xfId="0" applyFont="1" applyBorder="1" applyAlignment="1">
      <alignment wrapText="1"/>
    </xf>
    <xf numFmtId="0" fontId="1" fillId="0" borderId="0" xfId="0" applyFont="1" applyBorder="1" applyAlignment="1">
      <alignment wrapText="1"/>
    </xf>
    <xf numFmtId="0" fontId="1" fillId="11" borderId="10" xfId="0" applyFont="1" applyFill="1" applyBorder="1" applyAlignment="1">
      <alignment horizontal="center" wrapText="1"/>
    </xf>
    <xf numFmtId="0" fontId="0" fillId="5" borderId="10" xfId="0" applyFill="1" applyBorder="1"/>
    <xf numFmtId="0" fontId="0" fillId="10" borderId="10" xfId="0" applyFill="1" applyBorder="1"/>
    <xf numFmtId="0" fontId="0" fillId="0" borderId="33" xfId="0" applyBorder="1"/>
    <xf numFmtId="0" fontId="0" fillId="0" borderId="34" xfId="0" applyBorder="1" applyAlignment="1">
      <alignment horizontal="center"/>
    </xf>
    <xf numFmtId="0" fontId="0" fillId="5" borderId="12" xfId="0" applyFill="1" applyBorder="1" applyAlignment="1">
      <alignment horizontal="center"/>
    </xf>
    <xf numFmtId="2" fontId="0" fillId="2" borderId="12" xfId="0" applyNumberFormat="1" applyFill="1" applyBorder="1"/>
    <xf numFmtId="0" fontId="0" fillId="5" borderId="12" xfId="0" applyFill="1" applyBorder="1"/>
    <xf numFmtId="2" fontId="0" fillId="5" borderId="12" xfId="0" applyNumberFormat="1" applyFill="1" applyBorder="1"/>
    <xf numFmtId="166" fontId="0" fillId="5" borderId="12" xfId="0" applyNumberFormat="1" applyFill="1" applyBorder="1"/>
    <xf numFmtId="0" fontId="0" fillId="10" borderId="12" xfId="0" applyFill="1" applyBorder="1"/>
    <xf numFmtId="0" fontId="0" fillId="10" borderId="13" xfId="0" applyFill="1" applyBorder="1"/>
    <xf numFmtId="2" fontId="49" fillId="0" borderId="4" xfId="0" applyNumberFormat="1" applyFont="1" applyBorder="1"/>
    <xf numFmtId="0" fontId="49" fillId="0" borderId="4" xfId="0" applyFont="1" applyBorder="1"/>
    <xf numFmtId="2" fontId="49" fillId="5" borderId="4" xfId="0" applyNumberFormat="1" applyFont="1" applyFill="1" applyBorder="1"/>
    <xf numFmtId="0" fontId="49" fillId="5" borderId="4" xfId="0" applyFont="1" applyFill="1" applyBorder="1"/>
    <xf numFmtId="164" fontId="30" fillId="7" borderId="4" xfId="0" applyNumberFormat="1" applyFont="1" applyFill="1" applyBorder="1"/>
    <xf numFmtId="164" fontId="2" fillId="7" borderId="4" xfId="0" applyNumberFormat="1" applyFont="1" applyFill="1" applyBorder="1"/>
    <xf numFmtId="0" fontId="42" fillId="7" borderId="9" xfId="0" applyFont="1" applyFill="1" applyBorder="1" applyAlignment="1">
      <alignment horizontal="center" wrapText="1"/>
    </xf>
    <xf numFmtId="0" fontId="42" fillId="0" borderId="9" xfId="0" applyFont="1" applyFill="1" applyBorder="1" applyAlignment="1">
      <alignment horizontal="center" wrapText="1"/>
    </xf>
    <xf numFmtId="0" fontId="34" fillId="0" borderId="10" xfId="0" applyFont="1" applyFill="1" applyBorder="1" applyAlignment="1">
      <alignment horizontal="center"/>
    </xf>
    <xf numFmtId="0" fontId="31" fillId="0" borderId="0" xfId="0" applyFont="1" applyBorder="1" applyAlignment="1">
      <alignment horizontal="center" wrapText="1"/>
    </xf>
    <xf numFmtId="164" fontId="30" fillId="0" borderId="0" xfId="0" applyNumberFormat="1" applyFont="1" applyBorder="1" applyAlignment="1">
      <alignment horizontal="right"/>
    </xf>
    <xf numFmtId="0" fontId="34" fillId="0" borderId="0" xfId="0" applyFont="1" applyBorder="1" applyAlignment="1">
      <alignment horizontal="center"/>
    </xf>
    <xf numFmtId="164" fontId="2" fillId="0" borderId="4" xfId="0" applyNumberFormat="1" applyFont="1" applyFill="1" applyBorder="1"/>
    <xf numFmtId="0" fontId="31" fillId="0" borderId="9" xfId="0" applyFont="1" applyBorder="1" applyAlignment="1">
      <alignment horizontal="center" wrapText="1"/>
    </xf>
    <xf numFmtId="0" fontId="42" fillId="7" borderId="37" xfId="0" applyFont="1" applyFill="1" applyBorder="1" applyAlignment="1">
      <alignment horizontal="center" wrapText="1"/>
    </xf>
    <xf numFmtId="164" fontId="30" fillId="0" borderId="20" xfId="0" applyNumberFormat="1" applyFont="1" applyBorder="1" applyAlignment="1">
      <alignment horizontal="right"/>
    </xf>
    <xf numFmtId="0" fontId="31" fillId="7" borderId="9" xfId="0" applyFont="1" applyFill="1" applyBorder="1" applyAlignment="1">
      <alignment horizontal="center" wrapText="1"/>
    </xf>
    <xf numFmtId="0" fontId="31" fillId="7" borderId="38" xfId="0" applyFont="1" applyFill="1" applyBorder="1" applyAlignment="1">
      <alignment horizontal="center" wrapText="1"/>
    </xf>
    <xf numFmtId="0" fontId="30" fillId="0" borderId="13" xfId="0" applyFont="1" applyFill="1" applyBorder="1" applyAlignment="1">
      <alignment horizontal="center"/>
    </xf>
    <xf numFmtId="0" fontId="33" fillId="0" borderId="14" xfId="0" applyFont="1" applyBorder="1" applyAlignment="1">
      <alignment horizontal="left"/>
    </xf>
    <xf numFmtId="0" fontId="1" fillId="0" borderId="1" xfId="0" applyFont="1" applyBorder="1" applyAlignment="1">
      <alignment horizontal="left"/>
    </xf>
    <xf numFmtId="0" fontId="0" fillId="0" borderId="29" xfId="0" applyFont="1" applyBorder="1" applyAlignment="1">
      <alignment horizontal="right"/>
    </xf>
    <xf numFmtId="0" fontId="0" fillId="0" borderId="30" xfId="0" applyFont="1" applyBorder="1" applyAlignment="1">
      <alignment horizontal="right"/>
    </xf>
    <xf numFmtId="0" fontId="0" fillId="0" borderId="32" xfId="0" applyFont="1" applyBorder="1" applyAlignment="1">
      <alignment horizontal="right"/>
    </xf>
    <xf numFmtId="164" fontId="1" fillId="0" borderId="29" xfId="0" applyNumberFormat="1" applyFont="1" applyBorder="1"/>
    <xf numFmtId="164" fontId="30" fillId="0" borderId="4" xfId="0" applyNumberFormat="1" applyFont="1" applyFill="1" applyBorder="1"/>
    <xf numFmtId="0" fontId="0" fillId="0" borderId="0" xfId="0" applyBorder="1" applyAlignment="1">
      <alignment horizontal="center" wrapText="1"/>
    </xf>
    <xf numFmtId="0" fontId="0" fillId="0" borderId="0" xfId="0" applyFont="1" applyBorder="1" applyAlignment="1">
      <alignment horizontal="right"/>
    </xf>
    <xf numFmtId="0" fontId="0" fillId="0" borderId="0" xfId="0" applyFont="1" applyAlignment="1">
      <alignment horizontal="center"/>
    </xf>
    <xf numFmtId="0" fontId="0" fillId="0" borderId="0" xfId="0" applyFill="1" applyAlignment="1">
      <alignment wrapText="1"/>
    </xf>
    <xf numFmtId="0" fontId="1" fillId="0" borderId="7" xfId="0" applyFont="1" applyFill="1" applyBorder="1" applyAlignment="1">
      <alignment horizontal="center" wrapText="1"/>
    </xf>
    <xf numFmtId="0" fontId="1" fillId="0" borderId="15" xfId="0" applyFont="1" applyFill="1" applyBorder="1" applyAlignment="1">
      <alignment horizontal="center" wrapText="1"/>
    </xf>
    <xf numFmtId="0" fontId="1" fillId="0" borderId="0" xfId="0" applyFont="1" applyFill="1"/>
    <xf numFmtId="0" fontId="1" fillId="0" borderId="22" xfId="0" applyFont="1" applyFill="1" applyBorder="1" applyAlignment="1">
      <alignment horizontal="left"/>
    </xf>
    <xf numFmtId="0" fontId="1" fillId="0" borderId="23" xfId="0" applyFont="1" applyFill="1" applyBorder="1"/>
    <xf numFmtId="164" fontId="1" fillId="0" borderId="23" xfId="0" applyNumberFormat="1" applyFont="1" applyFill="1" applyBorder="1"/>
    <xf numFmtId="0" fontId="0" fillId="0" borderId="0" xfId="0" applyFont="1" applyFill="1" applyAlignment="1">
      <alignment wrapText="1"/>
    </xf>
    <xf numFmtId="0" fontId="0" fillId="0" borderId="5" xfId="0" applyFont="1" applyFill="1" applyBorder="1" applyAlignment="1">
      <alignment horizontal="center" wrapText="1"/>
    </xf>
    <xf numFmtId="0" fontId="0" fillId="0" borderId="6" xfId="0" applyFont="1" applyFill="1" applyBorder="1" applyAlignment="1">
      <alignment horizontal="center" wrapText="1"/>
    </xf>
    <xf numFmtId="0" fontId="0" fillId="0" borderId="8" xfId="0" applyFont="1" applyFill="1" applyBorder="1" applyAlignment="1">
      <alignment horizontal="center" wrapText="1"/>
    </xf>
    <xf numFmtId="0" fontId="0" fillId="0" borderId="0" xfId="0" applyFont="1" applyFill="1"/>
    <xf numFmtId="0" fontId="0" fillId="0" borderId="21" xfId="0" applyFont="1" applyFill="1" applyBorder="1" applyAlignment="1">
      <alignment horizontal="center" wrapText="1"/>
    </xf>
    <xf numFmtId="0" fontId="0" fillId="0" borderId="11" xfId="0" applyFont="1" applyFill="1" applyBorder="1" applyAlignment="1">
      <alignment wrapText="1"/>
    </xf>
    <xf numFmtId="2" fontId="0" fillId="0" borderId="12" xfId="0" applyNumberFormat="1" applyFont="1" applyFill="1" applyBorder="1"/>
    <xf numFmtId="2" fontId="0" fillId="0" borderId="25" xfId="0" applyNumberFormat="1" applyFont="1" applyFill="1" applyBorder="1"/>
    <xf numFmtId="0" fontId="0" fillId="0" borderId="13" xfId="0" applyFont="1" applyFill="1" applyBorder="1" applyAlignment="1">
      <alignment horizontal="center"/>
    </xf>
    <xf numFmtId="0" fontId="0" fillId="0" borderId="5" xfId="0" applyFont="1" applyFill="1" applyBorder="1"/>
    <xf numFmtId="0" fontId="0" fillId="0" borderId="6" xfId="0" applyFont="1" applyFill="1" applyBorder="1" applyAlignment="1"/>
    <xf numFmtId="164" fontId="0" fillId="0" borderId="7" xfId="0" applyNumberFormat="1" applyFont="1" applyFill="1" applyBorder="1"/>
    <xf numFmtId="164" fontId="0" fillId="0" borderId="15" xfId="0" applyNumberFormat="1" applyFont="1" applyFill="1" applyBorder="1"/>
    <xf numFmtId="0" fontId="0" fillId="0" borderId="8" xfId="0" applyFont="1" applyFill="1" applyBorder="1" applyAlignment="1">
      <alignment horizontal="center"/>
    </xf>
    <xf numFmtId="0" fontId="0" fillId="0" borderId="19" xfId="0" applyFont="1" applyFill="1" applyBorder="1" applyAlignment="1">
      <alignment horizontal="center"/>
    </xf>
    <xf numFmtId="0" fontId="0" fillId="0" borderId="9" xfId="0" applyFont="1" applyFill="1" applyBorder="1" applyAlignment="1"/>
    <xf numFmtId="164" fontId="0" fillId="0" borderId="4" xfId="0" applyNumberFormat="1" applyFont="1" applyFill="1" applyBorder="1"/>
    <xf numFmtId="164" fontId="0" fillId="0" borderId="26" xfId="0" applyNumberFormat="1" applyFont="1" applyFill="1" applyBorder="1"/>
    <xf numFmtId="0" fontId="0" fillId="0" borderId="10" xfId="0" applyFont="1" applyFill="1" applyBorder="1" applyAlignment="1">
      <alignment horizontal="center"/>
    </xf>
    <xf numFmtId="0" fontId="0" fillId="0" borderId="9" xfId="0" applyFont="1" applyFill="1" applyBorder="1" applyAlignment="1">
      <alignment wrapText="1"/>
    </xf>
    <xf numFmtId="0" fontId="0" fillId="0" borderId="19" xfId="0" applyFont="1" applyFill="1" applyBorder="1"/>
    <xf numFmtId="0" fontId="0" fillId="0" borderId="11" xfId="0" applyFont="1" applyFill="1" applyBorder="1" applyAlignment="1"/>
    <xf numFmtId="164" fontId="0" fillId="0" borderId="12" xfId="0" applyNumberFormat="1" applyFont="1" applyFill="1" applyBorder="1"/>
    <xf numFmtId="164" fontId="0" fillId="0" borderId="25" xfId="0" applyNumberFormat="1" applyFont="1" applyFill="1" applyBorder="1"/>
    <xf numFmtId="0" fontId="1" fillId="0" borderId="24" xfId="0" applyFont="1" applyFill="1" applyBorder="1" applyAlignment="1">
      <alignment horizontal="center"/>
    </xf>
    <xf numFmtId="0" fontId="1" fillId="0" borderId="9" xfId="0" applyFont="1" applyFill="1" applyBorder="1" applyAlignment="1">
      <alignment horizontal="center" wrapText="1"/>
    </xf>
    <xf numFmtId="164" fontId="0" fillId="0" borderId="4" xfId="0" applyNumberFormat="1" applyFill="1" applyBorder="1" applyAlignment="1">
      <alignment wrapText="1"/>
    </xf>
    <xf numFmtId="0" fontId="34" fillId="0" borderId="10" xfId="0" applyFont="1" applyFill="1" applyBorder="1" applyAlignment="1">
      <alignment horizontal="center" wrapText="1"/>
    </xf>
    <xf numFmtId="164" fontId="0" fillId="0" borderId="4" xfId="0" applyNumberFormat="1" applyFill="1" applyBorder="1" applyAlignment="1">
      <alignment horizontal="right"/>
    </xf>
    <xf numFmtId="164" fontId="0" fillId="0" borderId="4" xfId="0" applyNumberFormat="1" applyFill="1" applyBorder="1"/>
    <xf numFmtId="0" fontId="0" fillId="0" borderId="31" xfId="0" applyFont="1" applyBorder="1" applyAlignment="1">
      <alignment horizontal="right"/>
    </xf>
    <xf numFmtId="166" fontId="4" fillId="0" borderId="0" xfId="0" applyNumberFormat="1" applyFont="1" applyBorder="1"/>
    <xf numFmtId="0" fontId="0" fillId="0" borderId="33" xfId="0" applyFont="1" applyBorder="1" applyAlignment="1">
      <alignment horizontal="center"/>
    </xf>
    <xf numFmtId="0" fontId="4" fillId="0" borderId="34" xfId="0" applyFont="1" applyBorder="1"/>
    <xf numFmtId="0" fontId="32" fillId="0" borderId="34" xfId="0" applyFont="1" applyBorder="1" applyAlignment="1">
      <alignment horizontal="right"/>
    </xf>
    <xf numFmtId="0" fontId="32" fillId="0" borderId="34" xfId="0" quotePrefix="1" applyFont="1" applyBorder="1" applyAlignment="1">
      <alignment horizontal="right"/>
    </xf>
    <xf numFmtId="0" fontId="0" fillId="0" borderId="40" xfId="0" applyBorder="1"/>
    <xf numFmtId="166" fontId="31" fillId="5" borderId="39" xfId="0" applyNumberFormat="1" applyFont="1" applyFill="1" applyBorder="1"/>
    <xf numFmtId="166" fontId="42" fillId="5" borderId="36" xfId="0" applyNumberFormat="1" applyFont="1" applyFill="1" applyBorder="1"/>
    <xf numFmtId="9" fontId="50" fillId="5" borderId="1" xfId="0" applyNumberFormat="1" applyFont="1" applyFill="1" applyBorder="1" applyAlignment="1">
      <alignment horizontal="center"/>
    </xf>
    <xf numFmtId="0" fontId="37" fillId="0" borderId="18" xfId="0" applyFont="1" applyFill="1" applyBorder="1" applyAlignment="1">
      <alignment horizontal="center"/>
    </xf>
    <xf numFmtId="0" fontId="34" fillId="0" borderId="41" xfId="0" applyFont="1" applyFill="1" applyBorder="1" applyAlignment="1">
      <alignment horizontal="center" wrapText="1"/>
    </xf>
    <xf numFmtId="0" fontId="34" fillId="0" borderId="41" xfId="0" applyFont="1" applyBorder="1" applyAlignment="1">
      <alignment horizontal="center" wrapText="1"/>
    </xf>
    <xf numFmtId="0" fontId="34" fillId="0" borderId="41" xfId="0" applyFont="1" applyFill="1" applyBorder="1" applyAlignment="1">
      <alignment horizontal="center"/>
    </xf>
    <xf numFmtId="0" fontId="34" fillId="0" borderId="41" xfId="0" applyFont="1" applyBorder="1" applyAlignment="1">
      <alignment horizontal="center"/>
    </xf>
    <xf numFmtId="0" fontId="30" fillId="0" borderId="42" xfId="0" applyFont="1" applyFill="1" applyBorder="1" applyAlignment="1">
      <alignment horizontal="center"/>
    </xf>
    <xf numFmtId="0" fontId="1" fillId="0" borderId="8" xfId="0" applyFont="1" applyBorder="1" applyAlignment="1">
      <alignment horizontal="center"/>
    </xf>
    <xf numFmtId="164" fontId="0" fillId="0" borderId="10" xfId="0" applyNumberFormat="1" applyFill="1" applyBorder="1" applyAlignment="1">
      <alignment wrapText="1"/>
    </xf>
    <xf numFmtId="164" fontId="0" fillId="0" borderId="10" xfId="0" applyNumberFormat="1" applyFill="1" applyBorder="1"/>
    <xf numFmtId="164" fontId="2" fillId="0" borderId="10" xfId="0" applyNumberFormat="1" applyFont="1" applyFill="1" applyBorder="1"/>
    <xf numFmtId="164" fontId="2" fillId="7" borderId="10" xfId="0" applyNumberFormat="1" applyFont="1" applyFill="1" applyBorder="1"/>
    <xf numFmtId="166" fontId="42" fillId="5" borderId="41" xfId="0" applyNumberFormat="1" applyFont="1" applyFill="1" applyBorder="1"/>
    <xf numFmtId="164" fontId="30" fillId="0" borderId="10" xfId="0" applyNumberFormat="1" applyFont="1" applyFill="1" applyBorder="1"/>
    <xf numFmtId="164" fontId="30" fillId="7" borderId="10" xfId="0" applyNumberFormat="1" applyFont="1" applyFill="1" applyBorder="1"/>
    <xf numFmtId="166" fontId="31" fillId="5" borderId="42" xfId="0" applyNumberFormat="1" applyFont="1" applyFill="1" applyBorder="1"/>
    <xf numFmtId="0" fontId="51" fillId="14" borderId="0" xfId="0" applyFont="1" applyFill="1" applyAlignment="1">
      <alignment horizontal="center" vertical="center" wrapText="1"/>
    </xf>
    <xf numFmtId="0" fontId="52" fillId="14" borderId="0" xfId="0" applyFont="1" applyFill="1" applyAlignment="1">
      <alignment horizontal="right" vertical="center" wrapText="1"/>
    </xf>
    <xf numFmtId="0" fontId="51" fillId="14" borderId="0" xfId="0" applyFont="1" applyFill="1" applyAlignment="1">
      <alignment horizontal="right" vertical="center" wrapText="1"/>
    </xf>
    <xf numFmtId="0" fontId="53" fillId="0" borderId="0" xfId="0" applyFont="1"/>
    <xf numFmtId="0" fontId="6" fillId="6" borderId="0" xfId="0" applyFont="1" applyFill="1" applyAlignment="1">
      <alignment horizontal="center" vertical="center"/>
    </xf>
    <xf numFmtId="0" fontId="6" fillId="6" borderId="0" xfId="0" applyFont="1" applyFill="1" applyAlignment="1">
      <alignment horizontal="right" vertical="center" wrapText="1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right" vertical="center" wrapText="1"/>
    </xf>
    <xf numFmtId="0" fontId="6" fillId="11" borderId="0" xfId="0" applyFont="1" applyFill="1" applyAlignment="1">
      <alignment horizontal="center" vertical="center" wrapText="1"/>
    </xf>
    <xf numFmtId="0" fontId="5" fillId="11" borderId="0" xfId="0" applyFont="1" applyFill="1" applyAlignment="1">
      <alignment horizontal="right" vertical="center" wrapText="1"/>
    </xf>
    <xf numFmtId="0" fontId="7" fillId="0" borderId="0" xfId="0" applyFont="1"/>
    <xf numFmtId="0" fontId="9" fillId="0" borderId="0" xfId="0" applyFont="1" applyAlignment="1">
      <alignment horizontal="center"/>
    </xf>
    <xf numFmtId="0" fontId="9" fillId="15" borderId="0" xfId="0" applyFont="1" applyFill="1" applyAlignment="1">
      <alignment horizontal="center"/>
    </xf>
    <xf numFmtId="0" fontId="9" fillId="15" borderId="0" xfId="0" applyFont="1" applyFill="1"/>
    <xf numFmtId="0" fontId="5" fillId="0" borderId="0" xfId="0" applyFont="1" applyAlignment="1">
      <alignment horizontal="right"/>
    </xf>
    <xf numFmtId="0" fontId="5" fillId="0" borderId="0" xfId="0" applyFont="1" applyAlignment="1">
      <alignment horizontal="center"/>
    </xf>
    <xf numFmtId="0" fontId="54" fillId="0" borderId="0" xfId="0" applyFont="1"/>
    <xf numFmtId="0" fontId="54" fillId="0" borderId="0" xfId="0" applyFont="1" applyAlignment="1">
      <alignment horizontal="center"/>
    </xf>
    <xf numFmtId="0" fontId="55" fillId="0" borderId="0" xfId="0" applyFont="1"/>
    <xf numFmtId="164" fontId="54" fillId="0" borderId="0" xfId="0" applyNumberFormat="1" applyFont="1"/>
    <xf numFmtId="0" fontId="3" fillId="0" borderId="0" xfId="1" applyFill="1" applyAlignment="1">
      <alignment horizontal="center"/>
    </xf>
    <xf numFmtId="0" fontId="56" fillId="0" borderId="0" xfId="0" applyFont="1"/>
    <xf numFmtId="0" fontId="57" fillId="0" borderId="0" xfId="0" applyFont="1"/>
    <xf numFmtId="0" fontId="58" fillId="0" borderId="0" xfId="0" applyFont="1" applyAlignment="1">
      <alignment horizontal="center"/>
    </xf>
    <xf numFmtId="0" fontId="58" fillId="0" borderId="0" xfId="0" applyFont="1"/>
    <xf numFmtId="164" fontId="57" fillId="0" borderId="0" xfId="0" applyNumberFormat="1" applyFont="1"/>
    <xf numFmtId="0" fontId="1" fillId="11" borderId="4" xfId="0" applyFont="1" applyFill="1" applyBorder="1" applyAlignment="1">
      <alignment horizontal="left" vertical="center" wrapText="1"/>
    </xf>
    <xf numFmtId="0" fontId="1" fillId="11" borderId="4" xfId="0" applyFont="1" applyFill="1" applyBorder="1" applyAlignment="1">
      <alignment horizontal="center" vertical="center" wrapText="1"/>
    </xf>
    <xf numFmtId="0" fontId="59" fillId="11" borderId="4" xfId="0" applyFont="1" applyFill="1" applyBorder="1" applyAlignment="1">
      <alignment horizontal="center" vertical="center" wrapText="1"/>
    </xf>
    <xf numFmtId="0" fontId="50" fillId="11" borderId="4" xfId="0" applyFont="1" applyFill="1" applyBorder="1" applyAlignment="1">
      <alignment horizontal="center" vertical="center" wrapText="1"/>
    </xf>
    <xf numFmtId="164" fontId="1" fillId="11" borderId="4" xfId="0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1" fillId="0" borderId="6" xfId="0" applyFont="1" applyBorder="1" applyAlignment="1">
      <alignment horizontal="left"/>
    </xf>
    <xf numFmtId="0" fontId="0" fillId="0" borderId="7" xfId="0" applyBorder="1" applyAlignment="1">
      <alignment horizontal="center"/>
    </xf>
    <xf numFmtId="3" fontId="49" fillId="0" borderId="7" xfId="0" applyNumberFormat="1" applyFont="1" applyBorder="1"/>
    <xf numFmtId="0" fontId="1" fillId="0" borderId="7" xfId="0" applyFont="1" applyBorder="1"/>
    <xf numFmtId="1" fontId="1" fillId="0" borderId="7" xfId="0" applyNumberFormat="1" applyFont="1" applyBorder="1"/>
    <xf numFmtId="0" fontId="0" fillId="0" borderId="7" xfId="0" applyBorder="1"/>
    <xf numFmtId="164" fontId="0" fillId="0" borderId="8" xfId="0" applyNumberFormat="1" applyBorder="1"/>
    <xf numFmtId="0" fontId="1" fillId="0" borderId="9" xfId="0" applyFont="1" applyBorder="1" applyAlignment="1">
      <alignment horizontal="left"/>
    </xf>
    <xf numFmtId="3" fontId="49" fillId="0" borderId="4" xfId="0" applyNumberFormat="1" applyFont="1" applyBorder="1"/>
    <xf numFmtId="0" fontId="1" fillId="0" borderId="4" xfId="0" applyFont="1" applyBorder="1"/>
    <xf numFmtId="1" fontId="1" fillId="0" borderId="4" xfId="0" applyNumberFormat="1" applyFont="1" applyBorder="1"/>
    <xf numFmtId="164" fontId="0" fillId="0" borderId="10" xfId="0" applyNumberFormat="1" applyBorder="1"/>
    <xf numFmtId="0" fontId="1" fillId="5" borderId="9" xfId="0" applyFont="1" applyFill="1" applyBorder="1" applyAlignment="1">
      <alignment horizontal="left"/>
    </xf>
    <xf numFmtId="3" fontId="49" fillId="5" borderId="4" xfId="0" applyNumberFormat="1" applyFont="1" applyFill="1" applyBorder="1"/>
    <xf numFmtId="0" fontId="1" fillId="5" borderId="4" xfId="0" applyFont="1" applyFill="1" applyBorder="1"/>
    <xf numFmtId="1" fontId="1" fillId="5" borderId="4" xfId="0" applyNumberFormat="1" applyFont="1" applyFill="1" applyBorder="1"/>
    <xf numFmtId="164" fontId="0" fillId="5" borderId="10" xfId="0" applyNumberFormat="1" applyFill="1" applyBorder="1"/>
    <xf numFmtId="0" fontId="60" fillId="6" borderId="11" xfId="0" applyFont="1" applyFill="1" applyBorder="1" applyAlignment="1">
      <alignment horizontal="left"/>
    </xf>
    <xf numFmtId="0" fontId="61" fillId="6" borderId="12" xfId="0" applyFont="1" applyFill="1" applyBorder="1" applyAlignment="1">
      <alignment horizontal="center"/>
    </xf>
    <xf numFmtId="3" fontId="62" fillId="6" borderId="12" xfId="0" applyNumberFormat="1" applyFont="1" applyFill="1" applyBorder="1"/>
    <xf numFmtId="0" fontId="60" fillId="6" borderId="12" xfId="0" applyFont="1" applyFill="1" applyBorder="1"/>
    <xf numFmtId="1" fontId="60" fillId="6" borderId="12" xfId="0" applyNumberFormat="1" applyFont="1" applyFill="1" applyBorder="1"/>
    <xf numFmtId="0" fontId="61" fillId="6" borderId="12" xfId="0" applyFont="1" applyFill="1" applyBorder="1"/>
    <xf numFmtId="164" fontId="61" fillId="6" borderId="13" xfId="0" applyNumberFormat="1" applyFont="1" applyFill="1" applyBorder="1"/>
    <xf numFmtId="164" fontId="0" fillId="0" borderId="0" xfId="0" applyNumberFormat="1"/>
    <xf numFmtId="3" fontId="49" fillId="0" borderId="0" xfId="0" applyNumberFormat="1" applyFont="1"/>
    <xf numFmtId="0" fontId="49" fillId="0" borderId="0" xfId="0" applyFont="1"/>
    <xf numFmtId="0" fontId="63" fillId="0" borderId="0" xfId="0" applyFont="1"/>
    <xf numFmtId="0" fontId="63" fillId="0" borderId="0" xfId="0" applyFont="1" applyAlignment="1">
      <alignment horizontal="center"/>
    </xf>
    <xf numFmtId="0" fontId="64" fillId="0" borderId="0" xfId="0" applyFont="1"/>
    <xf numFmtId="0" fontId="1" fillId="0" borderId="4" xfId="0" applyFont="1" applyBorder="1" applyAlignment="1">
      <alignment wrapText="1"/>
    </xf>
    <xf numFmtId="0" fontId="1" fillId="0" borderId="4" xfId="0" applyFont="1" applyBorder="1" applyAlignment="1">
      <alignment horizontal="center" wrapText="1"/>
    </xf>
    <xf numFmtId="0" fontId="59" fillId="0" borderId="43" xfId="0" applyFont="1" applyBorder="1" applyAlignment="1">
      <alignment horizontal="center"/>
    </xf>
    <xf numFmtId="0" fontId="65" fillId="0" borderId="0" xfId="0" applyFont="1"/>
    <xf numFmtId="0" fontId="0" fillId="0" borderId="4" xfId="0" quotePrefix="1" applyBorder="1" applyAlignment="1">
      <alignment horizontal="center"/>
    </xf>
    <xf numFmtId="0" fontId="0" fillId="5" borderId="4" xfId="0" quotePrefix="1" applyFill="1" applyBorder="1" applyAlignment="1">
      <alignment horizontal="center"/>
    </xf>
    <xf numFmtId="0" fontId="1" fillId="5" borderId="0" xfId="0" applyFont="1" applyFill="1"/>
    <xf numFmtId="0" fontId="1" fillId="5" borderId="0" xfId="0" applyFont="1" applyFill="1" applyAlignment="1">
      <alignment horizontal="center"/>
    </xf>
    <xf numFmtId="0" fontId="60" fillId="0" borderId="0" xfId="0" applyFont="1"/>
    <xf numFmtId="2" fontId="0" fillId="0" borderId="1" xfId="0" applyNumberFormat="1" applyBorder="1" applyAlignment="1">
      <alignment horizontal="center"/>
    </xf>
    <xf numFmtId="2" fontId="0" fillId="2" borderId="0" xfId="0" applyNumberFormat="1" applyFill="1" applyAlignment="1">
      <alignment horizontal="center"/>
    </xf>
    <xf numFmtId="0" fontId="49" fillId="0" borderId="0" xfId="0" applyFont="1" applyAlignment="1">
      <alignment horizontal="center"/>
    </xf>
    <xf numFmtId="0" fontId="66" fillId="0" borderId="0" xfId="1" applyFont="1"/>
    <xf numFmtId="0" fontId="0" fillId="12" borderId="0" xfId="0" applyFill="1"/>
    <xf numFmtId="0" fontId="2" fillId="6" borderId="0" xfId="0" applyFont="1" applyFill="1"/>
    <xf numFmtId="0" fontId="2" fillId="12" borderId="0" xfId="0" applyFont="1" applyFill="1"/>
    <xf numFmtId="0" fontId="0" fillId="5" borderId="0" xfId="0" applyFill="1"/>
    <xf numFmtId="0" fontId="50" fillId="6" borderId="0" xfId="0" applyFont="1" applyFill="1"/>
    <xf numFmtId="0" fontId="1" fillId="6" borderId="0" xfId="0" applyFont="1" applyFill="1" applyAlignment="1">
      <alignment horizontal="center"/>
    </xf>
    <xf numFmtId="0" fontId="59" fillId="0" borderId="0" xfId="0" applyFont="1"/>
    <xf numFmtId="0" fontId="4" fillId="5" borderId="0" xfId="0" applyFont="1" applyFill="1"/>
    <xf numFmtId="0" fontId="4" fillId="6" borderId="0" xfId="0" applyFont="1" applyFill="1"/>
    <xf numFmtId="0" fontId="0" fillId="0" borderId="4" xfId="0" applyBorder="1" applyAlignment="1">
      <alignment horizontal="center" wrapText="1"/>
    </xf>
    <xf numFmtId="0" fontId="0" fillId="0" borderId="26" xfId="0" applyBorder="1"/>
    <xf numFmtId="0" fontId="67" fillId="0" borderId="0" xfId="0" applyFont="1"/>
    <xf numFmtId="0" fontId="58" fillId="9" borderId="4" xfId="0" applyFont="1" applyFill="1" applyBorder="1"/>
    <xf numFmtId="0" fontId="58" fillId="9" borderId="4" xfId="0" applyFont="1" applyFill="1" applyBorder="1" applyAlignment="1">
      <alignment horizontal="right"/>
    </xf>
    <xf numFmtId="0" fontId="0" fillId="0" borderId="4" xfId="0" applyFont="1" applyBorder="1"/>
    <xf numFmtId="3" fontId="0" fillId="0" borderId="4" xfId="0" applyNumberFormat="1" applyFont="1" applyBorder="1"/>
    <xf numFmtId="168" fontId="0" fillId="0" borderId="4" xfId="0" applyNumberFormat="1" applyFont="1" applyBorder="1"/>
    <xf numFmtId="0" fontId="60" fillId="5" borderId="4" xfId="0" applyFont="1" applyFill="1" applyBorder="1"/>
    <xf numFmtId="3" fontId="60" fillId="5" borderId="4" xfId="0" applyNumberFormat="1" applyFont="1" applyFill="1" applyBorder="1"/>
    <xf numFmtId="168" fontId="60" fillId="5" borderId="4" xfId="0" applyNumberFormat="1" applyFont="1" applyFill="1" applyBorder="1"/>
    <xf numFmtId="168" fontId="0" fillId="5" borderId="4" xfId="0" applyNumberFormat="1" applyFont="1" applyFill="1" applyBorder="1"/>
    <xf numFmtId="0" fontId="30" fillId="0" borderId="4" xfId="0" applyFont="1" applyBorder="1"/>
    <xf numFmtId="3" fontId="30" fillId="0" borderId="4" xfId="0" applyNumberFormat="1" applyFont="1" applyBorder="1"/>
    <xf numFmtId="168" fontId="30" fillId="0" borderId="4" xfId="0" applyNumberFormat="1" applyFont="1" applyBorder="1"/>
    <xf numFmtId="0" fontId="0" fillId="5" borderId="4" xfId="0" applyFont="1" applyFill="1" applyBorder="1"/>
    <xf numFmtId="0" fontId="3" fillId="0" borderId="0" xfId="1"/>
    <xf numFmtId="164" fontId="2" fillId="7" borderId="35" xfId="0" applyNumberFormat="1" applyFont="1" applyFill="1" applyBorder="1" applyAlignment="1">
      <alignment horizontal="center"/>
    </xf>
    <xf numFmtId="164" fontId="0" fillId="7" borderId="35" xfId="0" applyNumberFormat="1" applyFill="1" applyBorder="1" applyAlignment="1">
      <alignment horizontal="center"/>
    </xf>
    <xf numFmtId="166" fontId="2" fillId="7" borderId="22" xfId="0" applyNumberFormat="1" applyFont="1" applyFill="1" applyBorder="1" applyAlignment="1">
      <alignment horizontal="center"/>
    </xf>
    <xf numFmtId="166" fontId="0" fillId="7" borderId="24" xfId="0" applyNumberFormat="1" applyFill="1" applyBorder="1" applyAlignment="1">
      <alignment horizontal="center"/>
    </xf>
    <xf numFmtId="164" fontId="30" fillId="7" borderId="35" xfId="0" applyNumberFormat="1" applyFont="1" applyFill="1" applyBorder="1" applyAlignment="1">
      <alignment horizontal="center"/>
    </xf>
    <xf numFmtId="166" fontId="30" fillId="7" borderId="22" xfId="0" applyNumberFormat="1" applyFont="1" applyFill="1" applyBorder="1" applyAlignment="1">
      <alignment horizontal="center"/>
    </xf>
    <xf numFmtId="166" fontId="30" fillId="7" borderId="24" xfId="0" applyNumberFormat="1" applyFont="1" applyFill="1" applyBorder="1" applyAlignment="1">
      <alignment horizontal="center"/>
    </xf>
    <xf numFmtId="0" fontId="0" fillId="0" borderId="0" xfId="0" quotePrefix="1" applyFill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mruColors>
      <color rgb="FFFFFFCC"/>
      <color rgb="FFFFCCFF"/>
      <color rgb="FFFF66FF"/>
      <color rgb="FF99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none" spc="15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r>
              <a:rPr lang="en-US" sz="1600" cap="none" baseline="0"/>
              <a:t>Dynamic Index Comparison</a:t>
            </a:r>
          </a:p>
          <a:p>
            <a:pPr>
              <a:defRPr sz="1600" cap="none"/>
            </a:pPr>
            <a:r>
              <a:rPr lang="en-US" sz="1600" cap="none" baseline="0"/>
              <a:t>(Ferrari Models)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none" spc="15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'Comparison I C &amp; DI'!$A$41</c:f>
              <c:strCache>
                <c:ptCount val="1"/>
                <c:pt idx="0">
                  <c:v>Dynamic Index (dimension less)</c:v>
                </c:pt>
              </c:strCache>
            </c:strRef>
          </c:tx>
          <c:spPr>
            <a:pattFill prst="narHorz">
              <a:fgClr>
                <a:schemeClr val="accent1"/>
              </a:fgClr>
              <a:bgClr>
                <a:schemeClr val="accent1">
                  <a:lumMod val="20000"/>
                  <a:lumOff val="80000"/>
                </a:schemeClr>
              </a:bgClr>
            </a:pattFill>
            <a:ln>
              <a:noFill/>
            </a:ln>
            <a:effectLst>
              <a:innerShdw blurRad="114300">
                <a:schemeClr val="accent1"/>
              </a:innerShdw>
            </a:effectLst>
          </c:spPr>
          <c:invertIfNegative val="0"/>
          <c:dPt>
            <c:idx val="4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>
                <a:innerShdw blurRad="114300">
                  <a:schemeClr val="accent1"/>
                </a:innerShdw>
              </a:effectLst>
            </c:spPr>
            <c:extLst>
              <c:ext xmlns:c16="http://schemas.microsoft.com/office/drawing/2014/chart" uri="{C3380CC4-5D6E-409C-BE32-E72D297353CC}">
                <c16:uniqueId val="{00000002-3CF2-4A6D-86BD-5815E14DD4CC}"/>
              </c:ext>
            </c:extLst>
          </c:dPt>
          <c:trendline>
            <c:spPr>
              <a:ln w="19050" cap="rnd">
                <a:solidFill>
                  <a:srgbClr val="FF66FF"/>
                </a:solidFill>
              </a:ln>
              <a:effectLst/>
            </c:spPr>
            <c:trendlineType val="linear"/>
            <c:dispRSqr val="0"/>
            <c:dispEq val="0"/>
          </c:trendline>
          <c:cat>
            <c:strRef>
              <c:f>'Comparison I C &amp; DI'!$B$40:$F$40</c:f>
              <c:strCache>
                <c:ptCount val="5"/>
                <c:pt idx="0">
                  <c:v>Ferrari 250</c:v>
                </c:pt>
                <c:pt idx="1">
                  <c:v>Ferrari 355</c:v>
                </c:pt>
                <c:pt idx="2">
                  <c:v>Ferrari 430</c:v>
                </c:pt>
                <c:pt idx="3">
                  <c:v>Ferrari 550</c:v>
                </c:pt>
                <c:pt idx="4">
                  <c:v>Ferrari FF</c:v>
                </c:pt>
              </c:strCache>
            </c:strRef>
          </c:cat>
          <c:val>
            <c:numRef>
              <c:f>'Comparison I C &amp; DI'!$B$41:$F$41</c:f>
              <c:numCache>
                <c:formatCode>0.000</c:formatCode>
                <c:ptCount val="5"/>
                <c:pt idx="0">
                  <c:v>1.047876547978611</c:v>
                </c:pt>
                <c:pt idx="1">
                  <c:v>1.1316951323047195</c:v>
                </c:pt>
                <c:pt idx="2">
                  <c:v>1.0538601963302641</c:v>
                </c:pt>
                <c:pt idx="3">
                  <c:v>0.94377797296847421</c:v>
                </c:pt>
                <c:pt idx="4">
                  <c:v>0.70140737860757463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CF2-4A6D-86BD-5815E14DD4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64"/>
        <c:overlap val="-22"/>
        <c:axId val="340307504"/>
        <c:axId val="340310128"/>
      </c:barChart>
      <c:catAx>
        <c:axId val="3403075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1905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340310128"/>
        <c:crosses val="autoZero"/>
        <c:auto val="1"/>
        <c:lblAlgn val="ctr"/>
        <c:lblOffset val="100"/>
        <c:noMultiLvlLbl val="0"/>
      </c:catAx>
      <c:valAx>
        <c:axId val="340310128"/>
        <c:scaling>
          <c:orientation val="minMax"/>
        </c:scaling>
        <c:delete val="0"/>
        <c:axPos val="l"/>
        <c:majorGridlines>
          <c:spPr>
            <a:ln>
              <a:solidFill>
                <a:schemeClr val="tx1">
                  <a:lumMod val="15000"/>
                  <a:lumOff val="85000"/>
                </a:schemeClr>
              </a:solidFill>
            </a:ln>
            <a:effectLst/>
          </c:spPr>
        </c:majorGridlines>
        <c:numFmt formatCode="0.0" sourceLinked="0"/>
        <c:majorTickMark val="out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340307504"/>
        <c:crosses val="autoZero"/>
        <c:crossBetween val="between"/>
      </c:valAx>
      <c:spPr>
        <a:noFill/>
        <a:ln>
          <a:solidFill>
            <a:schemeClr val="tx1"/>
          </a:solidFill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 b="1" i="0"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9050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>
      <cs:styleClr val="auto"/>
    </cs:effectRef>
    <cs:fontRef idx="minor">
      <a:schemeClr val="dk1"/>
    </cs:fontRef>
    <cs:spPr>
      <a:pattFill prst="narHorz">
        <a:fgClr>
          <a:schemeClr val="phClr"/>
        </a:fgClr>
        <a:bgClr>
          <a:schemeClr val="phClr">
            <a:lumMod val="20000"/>
            <a:lumOff val="80000"/>
          </a:schemeClr>
        </a:bgClr>
      </a:pattFill>
      <a:effectLst>
        <a:innerShdw blurRad="114300">
          <a:schemeClr val="phClr"/>
        </a:inn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pattFill prst="narHorz">
        <a:fgClr>
          <a:schemeClr val="phClr"/>
        </a:fgClr>
        <a:bgClr>
          <a:schemeClr val="phClr">
            <a:lumMod val="20000"/>
            <a:lumOff val="80000"/>
          </a:schemeClr>
        </a:bgClr>
      </a:pattFill>
      <a:effectLst>
        <a:innerShdw blurRad="114300">
          <a:schemeClr val="phClr"/>
        </a:inn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>
        <a:solidFill>
          <a:schemeClr val="tx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800" b="1" kern="1200" cap="all" spc="15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2.jpeg"/><Relationship Id="rId3" Type="http://schemas.openxmlformats.org/officeDocument/2006/relationships/image" Target="../media/image3.gif"/><Relationship Id="rId7" Type="http://schemas.openxmlformats.org/officeDocument/2006/relationships/image" Target="../media/image7.jpeg"/><Relationship Id="rId12" Type="http://schemas.openxmlformats.org/officeDocument/2006/relationships/image" Target="../media/image11.jpeg"/><Relationship Id="rId2" Type="http://schemas.openxmlformats.org/officeDocument/2006/relationships/image" Target="../media/image2.jpeg"/><Relationship Id="rId16" Type="http://schemas.openxmlformats.org/officeDocument/2006/relationships/image" Target="../media/image15.gif"/><Relationship Id="rId1" Type="http://schemas.openxmlformats.org/officeDocument/2006/relationships/image" Target="../media/image1.gif"/><Relationship Id="rId6" Type="http://schemas.openxmlformats.org/officeDocument/2006/relationships/image" Target="../media/image6.jpeg"/><Relationship Id="rId11" Type="http://schemas.openxmlformats.org/officeDocument/2006/relationships/chart" Target="../charts/chart1.xml"/><Relationship Id="rId5" Type="http://schemas.openxmlformats.org/officeDocument/2006/relationships/image" Target="../media/image5.gif"/><Relationship Id="rId15" Type="http://schemas.openxmlformats.org/officeDocument/2006/relationships/image" Target="../media/image14.gif"/><Relationship Id="rId10" Type="http://schemas.openxmlformats.org/officeDocument/2006/relationships/image" Target="../media/image10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3.gif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5.gif"/><Relationship Id="rId2" Type="http://schemas.openxmlformats.org/officeDocument/2006/relationships/image" Target="../media/image13.gif"/><Relationship Id="rId1" Type="http://schemas.openxmlformats.org/officeDocument/2006/relationships/image" Target="../media/image16.gif"/><Relationship Id="rId4" Type="http://schemas.openxmlformats.org/officeDocument/2006/relationships/image" Target="../media/image14.gi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7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9525</xdr:colOff>
      <xdr:row>7</xdr:row>
      <xdr:rowOff>28575</xdr:rowOff>
    </xdr:from>
    <xdr:to>
      <xdr:col>4</xdr:col>
      <xdr:colOff>729472</xdr:colOff>
      <xdr:row>7</xdr:row>
      <xdr:rowOff>457200</xdr:rowOff>
    </xdr:to>
    <xdr:pic>
      <xdr:nvPicPr>
        <xdr:cNvPr id="2" name="Picture 1" descr="Ferrari 550 blueprint">
          <a:extLst>
            <a:ext uri="{FF2B5EF4-FFF2-40B4-BE49-F238E27FC236}">
              <a16:creationId xmlns:a16="http://schemas.microsoft.com/office/drawing/2014/main" id="{983AC2C6-6BFE-4404-ACF5-472D877BD2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33825" y="733425"/>
          <a:ext cx="719947" cy="428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8</xdr:row>
      <xdr:rowOff>19050</xdr:rowOff>
    </xdr:from>
    <xdr:to>
      <xdr:col>4</xdr:col>
      <xdr:colOff>635000</xdr:colOff>
      <xdr:row>8</xdr:row>
      <xdr:rowOff>495300</xdr:rowOff>
    </xdr:to>
    <xdr:pic>
      <xdr:nvPicPr>
        <xdr:cNvPr id="3" name="Picture 2" descr="  image">
          <a:extLst>
            <a:ext uri="{FF2B5EF4-FFF2-40B4-BE49-F238E27FC236}">
              <a16:creationId xmlns:a16="http://schemas.microsoft.com/office/drawing/2014/main" id="{71D0862A-1442-483A-84BC-DEB3639D82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1228725"/>
          <a:ext cx="635000" cy="476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</xdr:colOff>
      <xdr:row>7</xdr:row>
      <xdr:rowOff>38099</xdr:rowOff>
    </xdr:from>
    <xdr:to>
      <xdr:col>3</xdr:col>
      <xdr:colOff>759176</xdr:colOff>
      <xdr:row>7</xdr:row>
      <xdr:rowOff>447674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51170959-2DF4-423A-A9E7-8B8AF2837E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742949"/>
          <a:ext cx="749651" cy="409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</xdr:colOff>
      <xdr:row>8</xdr:row>
      <xdr:rowOff>19051</xdr:rowOff>
    </xdr:from>
    <xdr:to>
      <xdr:col>3</xdr:col>
      <xdr:colOff>647700</xdr:colOff>
      <xdr:row>8</xdr:row>
      <xdr:rowOff>497682</xdr:rowOff>
    </xdr:to>
    <xdr:pic>
      <xdr:nvPicPr>
        <xdr:cNvPr id="5" name="Picture 4" descr="  image">
          <a:extLst>
            <a:ext uri="{FF2B5EF4-FFF2-40B4-BE49-F238E27FC236}">
              <a16:creationId xmlns:a16="http://schemas.microsoft.com/office/drawing/2014/main" id="{5C608BFB-9EFF-4D17-A7FE-32ACEEC8AD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228726"/>
          <a:ext cx="638175" cy="4786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</xdr:colOff>
      <xdr:row>7</xdr:row>
      <xdr:rowOff>28575</xdr:rowOff>
    </xdr:from>
    <xdr:to>
      <xdr:col>2</xdr:col>
      <xdr:colOff>695325</xdr:colOff>
      <xdr:row>7</xdr:row>
      <xdr:rowOff>447740</xdr:rowOff>
    </xdr:to>
    <xdr:pic>
      <xdr:nvPicPr>
        <xdr:cNvPr id="6" name="Picture 5" descr="Ferrari F355 Spider blueprints">
          <a:extLst>
            <a:ext uri="{FF2B5EF4-FFF2-40B4-BE49-F238E27FC236}">
              <a16:creationId xmlns:a16="http://schemas.microsoft.com/office/drawing/2014/main" id="{B3EF9B62-68F4-4EFF-B071-F2E3F2968F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9825" y="733425"/>
          <a:ext cx="685800" cy="4191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9526</xdr:colOff>
      <xdr:row>8</xdr:row>
      <xdr:rowOff>38099</xdr:rowOff>
    </xdr:from>
    <xdr:to>
      <xdr:col>2</xdr:col>
      <xdr:colOff>740910</xdr:colOff>
      <xdr:row>8</xdr:row>
      <xdr:rowOff>447674</xdr:rowOff>
    </xdr:to>
    <xdr:pic>
      <xdr:nvPicPr>
        <xdr:cNvPr id="7" name="Picture 6" descr="Ferrari F355 yellow">
          <a:extLst>
            <a:ext uri="{FF2B5EF4-FFF2-40B4-BE49-F238E27FC236}">
              <a16:creationId xmlns:a16="http://schemas.microsoft.com/office/drawing/2014/main" id="{7DAB1338-47FF-41B4-BFE1-67D5473AEC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9826" y="1247774"/>
          <a:ext cx="731384" cy="409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9526</xdr:colOff>
      <xdr:row>7</xdr:row>
      <xdr:rowOff>28576</xdr:rowOff>
    </xdr:from>
    <xdr:to>
      <xdr:col>1</xdr:col>
      <xdr:colOff>638176</xdr:colOff>
      <xdr:row>7</xdr:row>
      <xdr:rowOff>477612</xdr:rowOff>
    </xdr:to>
    <xdr:pic>
      <xdr:nvPicPr>
        <xdr:cNvPr id="8" name="Picture 7" descr="Ferrari 250 Gt Blueprint Greeting Card featuring the drawing Ferrari 250 GT Blueprint by Jon Neidert">
          <a:extLst>
            <a:ext uri="{FF2B5EF4-FFF2-40B4-BE49-F238E27FC236}">
              <a16:creationId xmlns:a16="http://schemas.microsoft.com/office/drawing/2014/main" id="{BBA4F757-7893-4FF8-82B0-DA30FE37BD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6" y="733426"/>
          <a:ext cx="628650" cy="4490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9525</xdr:colOff>
      <xdr:row>8</xdr:row>
      <xdr:rowOff>28575</xdr:rowOff>
    </xdr:from>
    <xdr:to>
      <xdr:col>1</xdr:col>
      <xdr:colOff>737658</xdr:colOff>
      <xdr:row>8</xdr:row>
      <xdr:rowOff>438150</xdr:rowOff>
    </xdr:to>
    <xdr:pic>
      <xdr:nvPicPr>
        <xdr:cNvPr id="9" name="Picture 8" descr="  image">
          <a:extLst>
            <a:ext uri="{FF2B5EF4-FFF2-40B4-BE49-F238E27FC236}">
              <a16:creationId xmlns:a16="http://schemas.microsoft.com/office/drawing/2014/main" id="{952E1183-17E5-4ABC-ADDF-46F1BC7B53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1238250"/>
          <a:ext cx="728133" cy="409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9525</xdr:colOff>
      <xdr:row>7</xdr:row>
      <xdr:rowOff>38101</xdr:rowOff>
    </xdr:from>
    <xdr:to>
      <xdr:col>5</xdr:col>
      <xdr:colOff>690623</xdr:colOff>
      <xdr:row>7</xdr:row>
      <xdr:rowOff>457201</xdr:rowOff>
    </xdr:to>
    <xdr:pic>
      <xdr:nvPicPr>
        <xdr:cNvPr id="10" name="Picture 9" descr="Ferrari FF">
          <a:extLst>
            <a:ext uri="{FF2B5EF4-FFF2-40B4-BE49-F238E27FC236}">
              <a16:creationId xmlns:a16="http://schemas.microsoft.com/office/drawing/2014/main" id="{82C517C0-EBEC-4AAE-9292-B5A3772B3A3A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5575" b="7452"/>
        <a:stretch/>
      </xdr:blipFill>
      <xdr:spPr bwMode="auto">
        <a:xfrm>
          <a:off x="4791075" y="742951"/>
          <a:ext cx="681098" cy="419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8</xdr:row>
      <xdr:rowOff>19050</xdr:rowOff>
    </xdr:from>
    <xdr:to>
      <xdr:col>5</xdr:col>
      <xdr:colOff>704850</xdr:colOff>
      <xdr:row>8</xdr:row>
      <xdr:rowOff>485775</xdr:rowOff>
    </xdr:to>
    <xdr:pic>
      <xdr:nvPicPr>
        <xdr:cNvPr id="13" name="Picture 12" descr="Used Ferrari FF Coupe (2011 - 2016) Review | Parkers">
          <a:extLst>
            <a:ext uri="{FF2B5EF4-FFF2-40B4-BE49-F238E27FC236}">
              <a16:creationId xmlns:a16="http://schemas.microsoft.com/office/drawing/2014/main" id="{5DF2A6D9-3BCE-4BD6-8932-99BE0BC865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228725"/>
          <a:ext cx="704850" cy="469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471487</xdr:colOff>
      <xdr:row>45</xdr:row>
      <xdr:rowOff>61912</xdr:rowOff>
    </xdr:from>
    <xdr:to>
      <xdr:col>4</xdr:col>
      <xdr:colOff>747712</xdr:colOff>
      <xdr:row>62</xdr:row>
      <xdr:rowOff>52387</xdr:rowOff>
    </xdr:to>
    <xdr:graphicFrame macro="">
      <xdr:nvGraphicFramePr>
        <xdr:cNvPr id="15" name="Chart 14">
          <a:extLst>
            <a:ext uri="{FF2B5EF4-FFF2-40B4-BE49-F238E27FC236}">
              <a16:creationId xmlns:a16="http://schemas.microsoft.com/office/drawing/2014/main" id="{EF65A1FE-6DF6-417D-84AF-9EC9861ADD3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oneCellAnchor>
    <xdr:from>
      <xdr:col>6</xdr:col>
      <xdr:colOff>28803</xdr:colOff>
      <xdr:row>7</xdr:row>
      <xdr:rowOff>28575</xdr:rowOff>
    </xdr:from>
    <xdr:ext cx="676047" cy="451599"/>
    <xdr:pic>
      <xdr:nvPicPr>
        <xdr:cNvPr id="20" name="Picture 19" descr="Porsche Panamera">
          <a:extLst>
            <a:ext uri="{FF2B5EF4-FFF2-40B4-BE49-F238E27FC236}">
              <a16:creationId xmlns:a16="http://schemas.microsoft.com/office/drawing/2014/main" id="{D7871A03-1A31-4504-AB02-6AC7D0B3AB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20428" y="571500"/>
          <a:ext cx="676047" cy="4515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7</xdr:col>
      <xdr:colOff>38101</xdr:colOff>
      <xdr:row>7</xdr:row>
      <xdr:rowOff>28576</xdr:rowOff>
    </xdr:from>
    <xdr:to>
      <xdr:col>7</xdr:col>
      <xdr:colOff>680077</xdr:colOff>
      <xdr:row>7</xdr:row>
      <xdr:rowOff>466725</xdr:rowOff>
    </xdr:to>
    <xdr:pic>
      <xdr:nvPicPr>
        <xdr:cNvPr id="21" name="Picture 20" descr="Bentley Continental GT vector drawing">
          <a:extLst>
            <a:ext uri="{FF2B5EF4-FFF2-40B4-BE49-F238E27FC236}">
              <a16:creationId xmlns:a16="http://schemas.microsoft.com/office/drawing/2014/main" id="{103B6E11-4F1D-4C7B-A569-B2E59112C8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96376" y="571501"/>
          <a:ext cx="641976" cy="4381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8</xdr:col>
      <xdr:colOff>38101</xdr:colOff>
      <xdr:row>7</xdr:row>
      <xdr:rowOff>28576</xdr:rowOff>
    </xdr:from>
    <xdr:ext cx="641976" cy="438149"/>
    <xdr:pic>
      <xdr:nvPicPr>
        <xdr:cNvPr id="22" name="Picture 21" descr="Bentley Continental GT vector drawing">
          <a:extLst>
            <a:ext uri="{FF2B5EF4-FFF2-40B4-BE49-F238E27FC236}">
              <a16:creationId xmlns:a16="http://schemas.microsoft.com/office/drawing/2014/main" id="{648CE0D2-14AA-45FC-87BD-AC2F67048C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96376" y="571501"/>
          <a:ext cx="641976" cy="4381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6</xdr:col>
      <xdr:colOff>38101</xdr:colOff>
      <xdr:row>8</xdr:row>
      <xdr:rowOff>38100</xdr:rowOff>
    </xdr:from>
    <xdr:to>
      <xdr:col>6</xdr:col>
      <xdr:colOff>733987</xdr:colOff>
      <xdr:row>8</xdr:row>
      <xdr:rowOff>476250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F67998BF-70CA-4E6B-86A1-4502759FD2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34376" y="1085850"/>
          <a:ext cx="695886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19051</xdr:colOff>
      <xdr:row>8</xdr:row>
      <xdr:rowOff>47626</xdr:rowOff>
    </xdr:from>
    <xdr:to>
      <xdr:col>7</xdr:col>
      <xdr:colOff>742951</xdr:colOff>
      <xdr:row>8</xdr:row>
      <xdr:rowOff>457200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5E2DA236-B033-4BF3-B86C-BE31FE60EF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77326" y="1095376"/>
          <a:ext cx="723900" cy="4095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28575</xdr:colOff>
      <xdr:row>8</xdr:row>
      <xdr:rowOff>38101</xdr:rowOff>
    </xdr:from>
    <xdr:to>
      <xdr:col>8</xdr:col>
      <xdr:colOff>742950</xdr:colOff>
      <xdr:row>8</xdr:row>
      <xdr:rowOff>481879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FE46245B-3713-46BD-B734-10BAC80B5B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48850" y="1085851"/>
          <a:ext cx="714375" cy="44377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104775</xdr:colOff>
      <xdr:row>1</xdr:row>
      <xdr:rowOff>76200</xdr:rowOff>
    </xdr:from>
    <xdr:to>
      <xdr:col>1</xdr:col>
      <xdr:colOff>1295400</xdr:colOff>
      <xdr:row>1</xdr:row>
      <xdr:rowOff>808892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082916F-B555-4796-B663-73AC4174D8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6375" y="542925"/>
          <a:ext cx="1190625" cy="7326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1</xdr:row>
      <xdr:rowOff>76201</xdr:rowOff>
    </xdr:from>
    <xdr:to>
      <xdr:col>2</xdr:col>
      <xdr:colOff>1247775</xdr:colOff>
      <xdr:row>1</xdr:row>
      <xdr:rowOff>813859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3E010829-4916-4783-B14B-EC700E27EF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19400" y="542926"/>
          <a:ext cx="1171575" cy="7376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66674</xdr:colOff>
      <xdr:row>1</xdr:row>
      <xdr:rowOff>57151</xdr:rowOff>
    </xdr:from>
    <xdr:to>
      <xdr:col>4</xdr:col>
      <xdr:colOff>1293309</xdr:colOff>
      <xdr:row>1</xdr:row>
      <xdr:rowOff>819151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CDC0FEF6-412C-46B4-B973-BC44740846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4" y="523876"/>
          <a:ext cx="1226635" cy="76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57150</xdr:colOff>
      <xdr:row>1</xdr:row>
      <xdr:rowOff>76200</xdr:rowOff>
    </xdr:from>
    <xdr:to>
      <xdr:col>3</xdr:col>
      <xdr:colOff>1295400</xdr:colOff>
      <xdr:row>1</xdr:row>
      <xdr:rowOff>762000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5CD4810B-3EE6-4A49-94E2-DD475DF8F5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71950" y="542925"/>
          <a:ext cx="1238250" cy="685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</xdr:colOff>
      <xdr:row>3</xdr:row>
      <xdr:rowOff>57150</xdr:rowOff>
    </xdr:from>
    <xdr:to>
      <xdr:col>7</xdr:col>
      <xdr:colOff>66675</xdr:colOff>
      <xdr:row>15</xdr:row>
      <xdr:rowOff>9525</xdr:rowOff>
    </xdr:to>
    <xdr:pic>
      <xdr:nvPicPr>
        <xdr:cNvPr id="2" name="Picture 1" descr="Fig. 2">
          <a:extLst>
            <a:ext uri="{FF2B5EF4-FFF2-40B4-BE49-F238E27FC236}">
              <a16:creationId xmlns:a16="http://schemas.microsoft.com/office/drawing/2014/main" id="{BFCA1A40-EF2C-4AE1-A3BE-C259FF576C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175" y="628650"/>
          <a:ext cx="3695700" cy="2238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hyperlink" Target="http://blogs.youwheel.com/2014/04/14/engine-weight-a-comprehensive-list/" TargetMode="Externa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hyperlink" Target="https://www.goodcarbadcar.net/december-2018-ytd-u-s-suv-and-crossover-sales-rankings-every-suv-ranke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36C026-77C1-478C-9E77-33E5A063938F}">
  <sheetPr>
    <tabColor rgb="FFFFCCFF"/>
  </sheetPr>
  <dimension ref="A1:H71"/>
  <sheetViews>
    <sheetView workbookViewId="0"/>
  </sheetViews>
  <sheetFormatPr defaultRowHeight="12.75" x14ac:dyDescent="0.2"/>
  <cols>
    <col min="1" max="1" width="40.28515625" style="7" customWidth="1"/>
    <col min="2" max="2" width="5" style="7" customWidth="1"/>
    <col min="3" max="3" width="11.28515625" style="11" customWidth="1"/>
    <col min="4" max="4" width="50" style="7" customWidth="1"/>
    <col min="5" max="5" width="8.28515625" style="12" customWidth="1"/>
    <col min="6" max="6" width="50" style="7" customWidth="1"/>
    <col min="7" max="7" width="8.28515625" style="12" customWidth="1"/>
    <col min="8" max="16384" width="9.140625" style="7"/>
  </cols>
  <sheetData>
    <row r="1" spans="1:8" s="36" customFormat="1" ht="18.75" x14ac:dyDescent="0.3">
      <c r="A1" s="36" t="s">
        <v>332</v>
      </c>
      <c r="C1" s="37"/>
      <c r="D1" s="38"/>
      <c r="E1" s="39"/>
      <c r="F1" s="40"/>
      <c r="G1" s="41"/>
    </row>
    <row r="2" spans="1:8" x14ac:dyDescent="0.2">
      <c r="A2" s="10" t="s">
        <v>20</v>
      </c>
      <c r="G2" s="9"/>
    </row>
    <row r="3" spans="1:8" x14ac:dyDescent="0.2">
      <c r="A3" s="47" t="s">
        <v>95</v>
      </c>
      <c r="B3" s="47" t="s">
        <v>94</v>
      </c>
      <c r="C3" s="48" t="s">
        <v>164</v>
      </c>
      <c r="D3" s="13" t="s">
        <v>52</v>
      </c>
      <c r="E3" s="9"/>
      <c r="F3" s="14" t="s">
        <v>53</v>
      </c>
      <c r="G3" s="9"/>
    </row>
    <row r="4" spans="1:8" x14ac:dyDescent="0.2">
      <c r="A4" s="10"/>
      <c r="D4" s="13" t="s">
        <v>45</v>
      </c>
      <c r="E4" s="9"/>
      <c r="F4" s="14" t="s">
        <v>49</v>
      </c>
      <c r="G4" s="9"/>
    </row>
    <row r="5" spans="1:8" x14ac:dyDescent="0.2">
      <c r="A5" s="7" t="s">
        <v>8</v>
      </c>
      <c r="B5" s="7" t="s">
        <v>22</v>
      </c>
      <c r="C5" s="15">
        <v>1880</v>
      </c>
      <c r="D5" s="8" t="s">
        <v>23</v>
      </c>
      <c r="E5" s="9"/>
      <c r="F5" s="16" t="s">
        <v>24</v>
      </c>
      <c r="G5" s="9"/>
    </row>
    <row r="6" spans="1:8" x14ac:dyDescent="0.2">
      <c r="A6" s="7" t="s">
        <v>54</v>
      </c>
      <c r="B6" s="7" t="s">
        <v>0</v>
      </c>
      <c r="C6" s="17">
        <f>C5*0.47</f>
        <v>883.59999999999991</v>
      </c>
      <c r="D6" s="18" t="s">
        <v>39</v>
      </c>
    </row>
    <row r="7" spans="1:8" x14ac:dyDescent="0.2">
      <c r="A7" s="7" t="s">
        <v>55</v>
      </c>
      <c r="B7" s="7" t="s">
        <v>1</v>
      </c>
      <c r="C7" s="17">
        <f>C5*0.53</f>
        <v>996.40000000000009</v>
      </c>
      <c r="D7" s="7" t="s">
        <v>40</v>
      </c>
      <c r="E7" s="9"/>
      <c r="F7" s="14" t="s">
        <v>25</v>
      </c>
      <c r="G7" s="9"/>
    </row>
    <row r="8" spans="1:8" x14ac:dyDescent="0.2">
      <c r="A8" s="7" t="s">
        <v>56</v>
      </c>
      <c r="B8" s="7" t="s">
        <v>2</v>
      </c>
      <c r="C8" s="19">
        <v>240</v>
      </c>
      <c r="D8" s="7" t="s">
        <v>41</v>
      </c>
      <c r="E8" s="20">
        <f>(C10*C18-C9*C20-C6*C16)/C8+C16</f>
        <v>0.33940000000000037</v>
      </c>
      <c r="F8" s="14" t="s">
        <v>26</v>
      </c>
      <c r="G8" s="20">
        <f>(C7*C16-C10*C17-C9*(C16+C20))/C8</f>
        <v>0.33940000000000148</v>
      </c>
    </row>
    <row r="9" spans="1:8" x14ac:dyDescent="0.2">
      <c r="A9" s="7" t="s">
        <v>57</v>
      </c>
      <c r="B9" s="7" t="s">
        <v>27</v>
      </c>
      <c r="C9" s="19">
        <v>200</v>
      </c>
      <c r="D9" s="21" t="s">
        <v>28</v>
      </c>
      <c r="E9" s="22">
        <f>(C6*C16-C10*C18+C9*C20)/(C16-C19)</f>
        <v>239.99999999999997</v>
      </c>
      <c r="F9" s="23" t="s">
        <v>29</v>
      </c>
      <c r="G9" s="22">
        <f>(C7*C16-C10*C17-C9*(C16+C20))/C19</f>
        <v>240.00000000000108</v>
      </c>
    </row>
    <row r="10" spans="1:8" x14ac:dyDescent="0.2">
      <c r="A10" s="7" t="s">
        <v>58</v>
      </c>
      <c r="B10" s="7" t="s">
        <v>14</v>
      </c>
      <c r="C10" s="17">
        <f>C5-C8-C9</f>
        <v>1440</v>
      </c>
      <c r="D10" s="7" t="s">
        <v>43</v>
      </c>
      <c r="E10" s="9"/>
      <c r="F10" s="14" t="s">
        <v>42</v>
      </c>
      <c r="G10" s="9"/>
    </row>
    <row r="11" spans="1:8" x14ac:dyDescent="0.2">
      <c r="C11" s="24"/>
      <c r="D11" s="7" t="s">
        <v>30</v>
      </c>
      <c r="E11" s="25">
        <f>(C10*C18+C8*(C16-C19)-C6*C16)/C9</f>
        <v>0.30650000000000088</v>
      </c>
      <c r="F11" s="14" t="s">
        <v>44</v>
      </c>
      <c r="G11" s="25">
        <f>(C7*C16-C10*C17-C8*C19)/C9 - C16</f>
        <v>0.3065000000000011</v>
      </c>
    </row>
    <row r="12" spans="1:8" x14ac:dyDescent="0.2">
      <c r="D12" s="21" t="s">
        <v>31</v>
      </c>
      <c r="E12" s="22">
        <f>(C10*C18+C8*(C16-C19)-C6*C16)/C20</f>
        <v>200.0000000000006</v>
      </c>
      <c r="F12" s="23" t="s">
        <v>32</v>
      </c>
      <c r="G12" s="22">
        <f>(C7*C16-C10*C17-C8*C19)/(C16+C20)</f>
        <v>200.00000000000009</v>
      </c>
      <c r="H12" s="14"/>
    </row>
    <row r="13" spans="1:8" ht="13.5" thickBot="1" x14ac:dyDescent="0.25">
      <c r="E13" s="26"/>
      <c r="F13" s="14"/>
      <c r="G13" s="26"/>
      <c r="H13" s="14"/>
    </row>
    <row r="14" spans="1:8" ht="13.5" thickBot="1" x14ac:dyDescent="0.25">
      <c r="A14" s="7" t="s">
        <v>35</v>
      </c>
      <c r="B14" s="7" t="s">
        <v>3</v>
      </c>
      <c r="C14" s="27">
        <v>1.5847</v>
      </c>
      <c r="D14" s="14" t="s">
        <v>33</v>
      </c>
      <c r="E14" s="28">
        <f>(C7*C16-C9*(C16+C20)-C8*C19)/C10+C21</f>
        <v>1.5847000000000004</v>
      </c>
      <c r="F14" s="14"/>
      <c r="G14" s="9"/>
    </row>
    <row r="15" spans="1:8" ht="13.5" thickBot="1" x14ac:dyDescent="0.25">
      <c r="A15" s="7" t="s">
        <v>36</v>
      </c>
      <c r="B15" s="7" t="s">
        <v>4</v>
      </c>
      <c r="C15" s="27">
        <v>1.4053</v>
      </c>
      <c r="D15" s="7" t="s">
        <v>34</v>
      </c>
      <c r="E15" s="28">
        <f>(C8*(C19-C16)+C6*C16+C9*C20)/C10-C21</f>
        <v>1.4053</v>
      </c>
      <c r="F15" s="14"/>
      <c r="G15" s="9"/>
    </row>
    <row r="16" spans="1:8" x14ac:dyDescent="0.2">
      <c r="A16" s="29" t="s">
        <v>74</v>
      </c>
      <c r="B16" s="29" t="s">
        <v>9</v>
      </c>
      <c r="C16" s="45">
        <v>2.99</v>
      </c>
      <c r="D16" s="14"/>
      <c r="E16" s="9"/>
      <c r="F16" s="14"/>
      <c r="G16" s="9"/>
    </row>
    <row r="17" spans="1:7" x14ac:dyDescent="0.2">
      <c r="A17" s="7" t="s">
        <v>59</v>
      </c>
      <c r="B17" s="7" t="s">
        <v>11</v>
      </c>
      <c r="C17" s="30">
        <f>4.907/2-0.899</f>
        <v>1.5545</v>
      </c>
      <c r="D17" s="14" t="s">
        <v>12</v>
      </c>
      <c r="E17" s="31">
        <f>C14-C17</f>
        <v>3.0200000000000005E-2</v>
      </c>
      <c r="F17" s="14"/>
      <c r="G17" s="9"/>
    </row>
    <row r="18" spans="1:7" x14ac:dyDescent="0.2">
      <c r="A18" s="7" t="s">
        <v>60</v>
      </c>
      <c r="B18" s="7" t="s">
        <v>10</v>
      </c>
      <c r="C18" s="30">
        <f>4.907/2-1.018</f>
        <v>1.4355</v>
      </c>
      <c r="D18" s="14" t="s">
        <v>13</v>
      </c>
      <c r="E18" s="31">
        <f>C18-C15</f>
        <v>3.0200000000000005E-2</v>
      </c>
      <c r="F18" s="14"/>
      <c r="G18" s="9"/>
    </row>
    <row r="19" spans="1:7" x14ac:dyDescent="0.2">
      <c r="A19" s="7" t="s">
        <v>61</v>
      </c>
      <c r="B19" s="7" t="s">
        <v>5</v>
      </c>
      <c r="C19" s="32">
        <v>0.33939999999999998</v>
      </c>
      <c r="E19" s="7"/>
      <c r="F19" s="14"/>
      <c r="G19" s="9"/>
    </row>
    <row r="20" spans="1:7" ht="13.5" thickBot="1" x14ac:dyDescent="0.25">
      <c r="A20" s="7" t="s">
        <v>62</v>
      </c>
      <c r="B20" s="7" t="s">
        <v>6</v>
      </c>
      <c r="C20" s="32">
        <v>0.30649999999999999</v>
      </c>
      <c r="E20" s="7"/>
      <c r="F20" s="14"/>
      <c r="G20" s="9"/>
    </row>
    <row r="21" spans="1:7" ht="13.5" thickBot="1" x14ac:dyDescent="0.25">
      <c r="A21" s="7" t="s">
        <v>63</v>
      </c>
      <c r="B21" s="7" t="s">
        <v>7</v>
      </c>
      <c r="C21" s="27">
        <f>E17</f>
        <v>3.0200000000000005E-2</v>
      </c>
    </row>
    <row r="23" spans="1:7" s="42" customFormat="1" ht="18.75" x14ac:dyDescent="0.3">
      <c r="A23" s="36" t="s">
        <v>46</v>
      </c>
      <c r="C23" s="43"/>
      <c r="D23" s="38"/>
      <c r="E23" s="44"/>
      <c r="F23" s="40"/>
      <c r="G23" s="44"/>
    </row>
    <row r="25" spans="1:7" x14ac:dyDescent="0.2">
      <c r="A25" s="7" t="s">
        <v>38</v>
      </c>
      <c r="B25" s="7" t="s">
        <v>21</v>
      </c>
      <c r="C25" s="15">
        <f>C5+C26+C27</f>
        <v>2180</v>
      </c>
      <c r="D25" s="13" t="s">
        <v>52</v>
      </c>
      <c r="F25" s="14" t="s">
        <v>53</v>
      </c>
    </row>
    <row r="26" spans="1:7" x14ac:dyDescent="0.2">
      <c r="A26" s="7" t="s">
        <v>106</v>
      </c>
      <c r="B26" s="7" t="s">
        <v>16</v>
      </c>
      <c r="C26" s="15">
        <v>200</v>
      </c>
      <c r="D26" s="13" t="s">
        <v>45</v>
      </c>
      <c r="F26" s="14" t="s">
        <v>49</v>
      </c>
    </row>
    <row r="27" spans="1:7" x14ac:dyDescent="0.2">
      <c r="A27" s="7" t="s">
        <v>107</v>
      </c>
      <c r="B27" s="7" t="s">
        <v>17</v>
      </c>
      <c r="C27" s="15">
        <v>100</v>
      </c>
      <c r="D27" s="8" t="s">
        <v>47</v>
      </c>
      <c r="F27" s="16" t="s">
        <v>50</v>
      </c>
    </row>
    <row r="28" spans="1:7" ht="25.5" x14ac:dyDescent="0.2">
      <c r="D28" s="51" t="s">
        <v>48</v>
      </c>
      <c r="E28" s="194">
        <f>(C10*C18+C8*(C16+C19)+C26*C15+C27*C32-C9*C20)/C16</f>
        <v>1044.4602006688961</v>
      </c>
      <c r="F28" s="50" t="s">
        <v>51</v>
      </c>
      <c r="G28" s="194">
        <f>(C10*C17+C8*C19+C26*C14+C27*(C16-C32)+C9*(C16+C20))/C16</f>
        <v>1190.0254180602008</v>
      </c>
    </row>
    <row r="29" spans="1:7" x14ac:dyDescent="0.2">
      <c r="D29" s="7" t="s">
        <v>65</v>
      </c>
      <c r="E29" s="195">
        <f>E28+G28</f>
        <v>2234.485618729097</v>
      </c>
    </row>
    <row r="30" spans="1:7" x14ac:dyDescent="0.2">
      <c r="D30" s="7" t="s">
        <v>66</v>
      </c>
      <c r="E30" s="12">
        <f>E29-C25</f>
        <v>54.485618729097041</v>
      </c>
    </row>
    <row r="31" spans="1:7" x14ac:dyDescent="0.2">
      <c r="D31" s="7" t="s">
        <v>67</v>
      </c>
      <c r="E31" s="12">
        <f>E30/C25</f>
        <v>2.499340308674176E-2</v>
      </c>
    </row>
    <row r="32" spans="1:7" x14ac:dyDescent="0.2">
      <c r="A32" s="7" t="s">
        <v>64</v>
      </c>
      <c r="B32" s="7" t="s">
        <v>19</v>
      </c>
      <c r="C32" s="33">
        <v>0.37</v>
      </c>
      <c r="D32" s="49" t="s">
        <v>68</v>
      </c>
      <c r="E32" s="12">
        <f>(E29*C15-E28*C16)/E29</f>
        <v>7.6915420067800704E-3</v>
      </c>
    </row>
    <row r="33" spans="1:7" x14ac:dyDescent="0.2">
      <c r="A33" s="7" t="s">
        <v>37</v>
      </c>
      <c r="B33" s="7" t="s">
        <v>18</v>
      </c>
      <c r="C33" s="34">
        <f>E33</f>
        <v>7.6915420067798675E-3</v>
      </c>
      <c r="D33" s="35" t="s">
        <v>69</v>
      </c>
      <c r="E33" s="12">
        <f>(G28*C16-E29*C14)/E29</f>
        <v>7.6915420067798675E-3</v>
      </c>
    </row>
    <row r="34" spans="1:7" x14ac:dyDescent="0.2">
      <c r="B34" s="7" t="s">
        <v>270</v>
      </c>
      <c r="C34" s="196">
        <f>C14+C33</f>
        <v>1.5923915420067798</v>
      </c>
    </row>
    <row r="35" spans="1:7" x14ac:dyDescent="0.2">
      <c r="B35" s="7" t="s">
        <v>269</v>
      </c>
      <c r="C35" s="196">
        <f>C15-C33</f>
        <v>1.3976084579932202</v>
      </c>
    </row>
    <row r="36" spans="1:7" s="42" customFormat="1" ht="18.75" x14ac:dyDescent="0.3">
      <c r="A36" s="36" t="s">
        <v>87</v>
      </c>
      <c r="C36" s="43"/>
      <c r="E36" s="44"/>
      <c r="G36" s="44"/>
    </row>
    <row r="37" spans="1:7" x14ac:dyDescent="0.2">
      <c r="C37" s="7"/>
      <c r="E37" s="7"/>
    </row>
    <row r="38" spans="1:7" x14ac:dyDescent="0.2">
      <c r="A38" s="7" t="s">
        <v>71</v>
      </c>
      <c r="B38" s="7" t="s">
        <v>70</v>
      </c>
      <c r="C38" s="45">
        <v>4.907</v>
      </c>
      <c r="E38" s="7"/>
    </row>
    <row r="39" spans="1:7" x14ac:dyDescent="0.2">
      <c r="A39" s="7" t="s">
        <v>72</v>
      </c>
      <c r="B39" s="7" t="s">
        <v>73</v>
      </c>
      <c r="C39" s="45">
        <v>1.9530000000000001</v>
      </c>
      <c r="E39" s="7"/>
    </row>
    <row r="40" spans="1:7" x14ac:dyDescent="0.2">
      <c r="A40" s="7" t="s">
        <v>116</v>
      </c>
      <c r="B40" s="7" t="s">
        <v>75</v>
      </c>
      <c r="C40" s="45">
        <v>0.89900000000000002</v>
      </c>
      <c r="E40" s="7"/>
    </row>
    <row r="41" spans="1:7" x14ac:dyDescent="0.2">
      <c r="A41" s="7" t="s">
        <v>117</v>
      </c>
      <c r="B41" s="7" t="s">
        <v>76</v>
      </c>
      <c r="C41" s="45">
        <v>1.018</v>
      </c>
      <c r="E41" s="7"/>
    </row>
    <row r="42" spans="1:7" x14ac:dyDescent="0.2">
      <c r="A42" s="7" t="s">
        <v>150</v>
      </c>
      <c r="B42" s="7" t="s">
        <v>153</v>
      </c>
      <c r="C42" s="45"/>
      <c r="E42" s="7"/>
    </row>
    <row r="43" spans="1:7" x14ac:dyDescent="0.2">
      <c r="A43" s="7" t="s">
        <v>151</v>
      </c>
      <c r="B43" s="7" t="s">
        <v>154</v>
      </c>
      <c r="C43" s="45"/>
      <c r="E43" s="7"/>
    </row>
    <row r="44" spans="1:7" x14ac:dyDescent="0.2">
      <c r="A44" s="7" t="s">
        <v>103</v>
      </c>
      <c r="B44" s="7" t="s">
        <v>77</v>
      </c>
      <c r="C44" s="30">
        <f>C14+C40-C21</f>
        <v>2.4535</v>
      </c>
      <c r="E44" s="7"/>
    </row>
    <row r="45" spans="1:7" x14ac:dyDescent="0.2">
      <c r="A45" s="7" t="s">
        <v>102</v>
      </c>
      <c r="B45" s="7" t="s">
        <v>78</v>
      </c>
      <c r="C45" s="17">
        <f>2*C21/C38*C10</f>
        <v>17.724882820460568</v>
      </c>
      <c r="E45" s="7"/>
    </row>
    <row r="46" spans="1:7" x14ac:dyDescent="0.2">
      <c r="A46" s="7" t="s">
        <v>104</v>
      </c>
      <c r="B46" s="7" t="s">
        <v>81</v>
      </c>
      <c r="C46" s="30">
        <f>C48/PI()</f>
        <v>3.0129335161209374</v>
      </c>
      <c r="E46" s="7"/>
    </row>
    <row r="47" spans="1:7" x14ac:dyDescent="0.2">
      <c r="A47" s="7" t="s">
        <v>79</v>
      </c>
      <c r="B47" s="7" t="s">
        <v>82</v>
      </c>
      <c r="C47" s="17">
        <f>C10-C45</f>
        <v>1422.2751171795394</v>
      </c>
      <c r="E47" s="7"/>
    </row>
    <row r="48" spans="1:7" x14ac:dyDescent="0.2">
      <c r="A48" s="7" t="s">
        <v>80</v>
      </c>
      <c r="B48" s="7" t="s">
        <v>86</v>
      </c>
      <c r="C48" s="30">
        <f>(C38-2*C21)*C39</f>
        <v>9.4654098000000015</v>
      </c>
      <c r="E48" s="7"/>
    </row>
    <row r="49" spans="1:7" x14ac:dyDescent="0.2">
      <c r="A49" s="7" t="s">
        <v>83</v>
      </c>
      <c r="B49" s="7" t="s">
        <v>99</v>
      </c>
      <c r="C49" s="30">
        <f>C39/4</f>
        <v>0.48825000000000002</v>
      </c>
      <c r="E49" s="7"/>
    </row>
    <row r="50" spans="1:7" x14ac:dyDescent="0.2">
      <c r="E50" s="7"/>
    </row>
    <row r="51" spans="1:7" x14ac:dyDescent="0.2">
      <c r="A51" s="7" t="s">
        <v>92</v>
      </c>
      <c r="B51" s="7" t="s">
        <v>90</v>
      </c>
      <c r="C51" s="30">
        <f>C14+C40-C21-C33</f>
        <v>2.4458084579932202</v>
      </c>
      <c r="E51" s="7"/>
    </row>
    <row r="52" spans="1:7" x14ac:dyDescent="0.2">
      <c r="A52" s="7" t="s">
        <v>93</v>
      </c>
      <c r="B52" s="7" t="s">
        <v>91</v>
      </c>
      <c r="C52" s="17">
        <f>2*(C21+C33)/C38*C10</f>
        <v>22.239176885984516</v>
      </c>
      <c r="E52" s="7"/>
    </row>
    <row r="53" spans="1:7" x14ac:dyDescent="0.2">
      <c r="A53" s="7" t="s">
        <v>105</v>
      </c>
      <c r="B53" s="7" t="s">
        <v>98</v>
      </c>
      <c r="C53" s="30">
        <f>C55/PI()</f>
        <v>3.0033704803008248</v>
      </c>
      <c r="E53" s="7"/>
    </row>
    <row r="54" spans="1:7" x14ac:dyDescent="0.2">
      <c r="A54" s="7" t="s">
        <v>133</v>
      </c>
      <c r="B54" s="7" t="s">
        <v>96</v>
      </c>
      <c r="C54" s="17">
        <f>C10-C52</f>
        <v>1417.7608231140155</v>
      </c>
      <c r="E54" s="7"/>
    </row>
    <row r="55" spans="1:7" x14ac:dyDescent="0.2">
      <c r="A55" s="7" t="s">
        <v>134</v>
      </c>
      <c r="B55" s="7" t="s">
        <v>97</v>
      </c>
      <c r="C55" s="30">
        <f>(C38-2*C21-2*C33)*C39</f>
        <v>9.4353666369215201</v>
      </c>
      <c r="E55" s="7"/>
    </row>
    <row r="56" spans="1:7" x14ac:dyDescent="0.2">
      <c r="A56" s="46"/>
      <c r="B56" s="46"/>
    </row>
    <row r="58" spans="1:7" x14ac:dyDescent="0.2">
      <c r="B58" s="12"/>
    </row>
    <row r="59" spans="1:7" s="72" customFormat="1" x14ac:dyDescent="0.2">
      <c r="A59" s="76" t="s">
        <v>108</v>
      </c>
      <c r="B59" s="77"/>
      <c r="C59" s="78"/>
      <c r="E59" s="77"/>
      <c r="G59" s="77"/>
    </row>
    <row r="60" spans="1:7" s="72" customFormat="1" ht="25.5" x14ac:dyDescent="0.2">
      <c r="A60" s="79" t="s">
        <v>165</v>
      </c>
      <c r="B60" s="72" t="s">
        <v>139</v>
      </c>
      <c r="C60" s="192">
        <f>C8*POWER((C14-C19),2)+C45*POWER(C44,2)+C47*C46/2+C9*POWER((C15+C20),2)</f>
        <v>3207.5451424475341</v>
      </c>
      <c r="E60" s="77"/>
      <c r="G60" s="77"/>
    </row>
    <row r="61" spans="1:7" s="72" customFormat="1" x14ac:dyDescent="0.2">
      <c r="A61" s="72" t="s">
        <v>109</v>
      </c>
      <c r="B61" s="72" t="s">
        <v>140</v>
      </c>
      <c r="C61" s="191">
        <f>C60/((C5)*C14)</f>
        <v>1.0766334531562904</v>
      </c>
      <c r="E61" s="77"/>
      <c r="G61" s="77"/>
    </row>
    <row r="62" spans="1:7" s="72" customFormat="1" x14ac:dyDescent="0.2">
      <c r="A62" s="72" t="s">
        <v>85</v>
      </c>
      <c r="B62" s="72" t="s">
        <v>143</v>
      </c>
      <c r="C62" s="190">
        <f>C61/C15</f>
        <v>0.76612357016743071</v>
      </c>
      <c r="E62" s="77"/>
      <c r="G62" s="77"/>
    </row>
    <row r="63" spans="1:7" s="72" customFormat="1" x14ac:dyDescent="0.2">
      <c r="C63" s="77"/>
      <c r="E63" s="77"/>
      <c r="G63" s="77"/>
    </row>
    <row r="64" spans="1:7" s="72" customFormat="1" ht="16.5" customHeight="1" x14ac:dyDescent="0.2">
      <c r="A64" s="76" t="s">
        <v>88</v>
      </c>
      <c r="C64" s="77"/>
      <c r="E64" s="77"/>
      <c r="G64" s="77"/>
    </row>
    <row r="65" spans="1:7" s="72" customFormat="1" ht="25.5" x14ac:dyDescent="0.2">
      <c r="A65" s="79" t="s">
        <v>166</v>
      </c>
      <c r="B65" s="72" t="s">
        <v>139</v>
      </c>
      <c r="C65" s="193">
        <f>C8*POWER((C14-C19),2)+C45*POWER(C44,2)+C47*C46/2+C26*POWER(C49,2)+C9*POWER((C15+C20),2)</f>
        <v>3255.2227549475342</v>
      </c>
      <c r="E65" s="77"/>
      <c r="G65" s="77"/>
    </row>
    <row r="66" spans="1:7" s="72" customFormat="1" x14ac:dyDescent="0.2">
      <c r="A66" s="72" t="s">
        <v>84</v>
      </c>
      <c r="B66" s="72" t="s">
        <v>140</v>
      </c>
      <c r="C66" s="191">
        <f>C65/((C5+C26)*C14)</f>
        <v>0.9875755284146035</v>
      </c>
      <c r="E66" s="77"/>
      <c r="G66" s="77"/>
    </row>
    <row r="67" spans="1:7" s="72" customFormat="1" x14ac:dyDescent="0.2">
      <c r="A67" s="72" t="s">
        <v>85</v>
      </c>
      <c r="B67" s="72" t="s">
        <v>143</v>
      </c>
      <c r="C67" s="190">
        <f>C66/C15</f>
        <v>0.70275067844204331</v>
      </c>
      <c r="E67" s="77"/>
      <c r="G67" s="77"/>
    </row>
    <row r="68" spans="1:7" s="72" customFormat="1" x14ac:dyDescent="0.2">
      <c r="A68" s="76" t="s">
        <v>89</v>
      </c>
      <c r="C68" s="77"/>
      <c r="E68" s="77"/>
      <c r="G68" s="77"/>
    </row>
    <row r="69" spans="1:7" s="72" customFormat="1" ht="25.5" x14ac:dyDescent="0.2">
      <c r="A69" s="79" t="s">
        <v>167</v>
      </c>
      <c r="B69" s="72" t="s">
        <v>139</v>
      </c>
      <c r="C69" s="193">
        <f>C8*POWER((C14-C19+C33),2)+C52*POWER(C51,2)+C54*C53/2+C26*POWER(C49,2)+C27*POWER(C15-C33-C32,2)+C9*POWER((C15+C20-C33),2)</f>
        <v>3372.9345186928758</v>
      </c>
      <c r="E69" s="77"/>
      <c r="G69" s="77"/>
    </row>
    <row r="70" spans="1:7" s="72" customFormat="1" x14ac:dyDescent="0.2">
      <c r="A70" s="72" t="s">
        <v>101</v>
      </c>
      <c r="B70" s="72" t="s">
        <v>140</v>
      </c>
      <c r="C70" s="191">
        <f>C69/((C5+C26+C27)*(C14+C33))</f>
        <v>0.97163142877242492</v>
      </c>
      <c r="E70" s="77"/>
      <c r="G70" s="77"/>
    </row>
    <row r="71" spans="1:7" s="72" customFormat="1" x14ac:dyDescent="0.2">
      <c r="A71" s="72" t="s">
        <v>100</v>
      </c>
      <c r="B71" s="72" t="s">
        <v>143</v>
      </c>
      <c r="C71" s="190">
        <f>C70/(C15-C33)</f>
        <v>0.69521003770080092</v>
      </c>
      <c r="E71" s="77"/>
      <c r="G71" s="77"/>
    </row>
  </sheetData>
  <pageMargins left="0.7" right="0.7" top="0.75" bottom="0.75" header="0.3" footer="0.3"/>
  <pageSetup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896B6F-A080-4410-BEBD-B2299369182D}">
  <sheetPr>
    <tabColor rgb="FFFF66FF"/>
  </sheetPr>
  <dimension ref="A1:K41"/>
  <sheetViews>
    <sheetView tabSelected="1" workbookViewId="0">
      <selection activeCell="A3" sqref="A3"/>
    </sheetView>
  </sheetViews>
  <sheetFormatPr defaultRowHeight="12.75" x14ac:dyDescent="0.2"/>
  <cols>
    <col min="1" max="1" width="24.5703125" style="7" customWidth="1"/>
    <col min="2" max="5" width="11.42578125" style="7" customWidth="1"/>
    <col min="6" max="9" width="11.42578125" style="21" customWidth="1"/>
    <col min="10" max="10" width="7.28515625" style="62" customWidth="1"/>
    <col min="11" max="11" width="29.85546875" style="81" customWidth="1"/>
    <col min="12" max="16384" width="9.140625" style="7"/>
  </cols>
  <sheetData>
    <row r="1" spans="1:11" ht="18.75" x14ac:dyDescent="0.3">
      <c r="A1" s="36" t="s">
        <v>330</v>
      </c>
    </row>
    <row r="2" spans="1:11" ht="18.75" x14ac:dyDescent="0.3">
      <c r="A2" s="36"/>
      <c r="B2" s="36" t="s">
        <v>331</v>
      </c>
    </row>
    <row r="3" spans="1:11" ht="18.75" x14ac:dyDescent="0.3">
      <c r="A3" s="36"/>
    </row>
    <row r="4" spans="1:11" s="8" customFormat="1" ht="15" x14ac:dyDescent="0.25">
      <c r="B4" s="8" t="s">
        <v>128</v>
      </c>
      <c r="C4" s="483" t="s">
        <v>129</v>
      </c>
      <c r="F4" s="52"/>
      <c r="G4" s="52"/>
      <c r="H4" s="52"/>
      <c r="I4" s="52"/>
      <c r="J4" s="61"/>
      <c r="K4" s="80"/>
    </row>
    <row r="5" spans="1:11" ht="15" x14ac:dyDescent="0.25">
      <c r="C5" s="483" t="s">
        <v>130</v>
      </c>
    </row>
    <row r="6" spans="1:11" ht="40.5" customHeight="1" x14ac:dyDescent="0.2">
      <c r="A6" s="99"/>
      <c r="B6" s="100" t="s">
        <v>173</v>
      </c>
      <c r="C6" s="100" t="s">
        <v>174</v>
      </c>
      <c r="D6" s="100" t="s">
        <v>175</v>
      </c>
      <c r="E6" s="100" t="s">
        <v>176</v>
      </c>
      <c r="F6" s="189" t="s">
        <v>177</v>
      </c>
      <c r="G6" s="188" t="s">
        <v>178</v>
      </c>
      <c r="H6" s="188" t="s">
        <v>180</v>
      </c>
      <c r="I6" s="188" t="s">
        <v>182</v>
      </c>
    </row>
    <row r="7" spans="1:11" x14ac:dyDescent="0.2">
      <c r="A7" s="102" t="s">
        <v>271</v>
      </c>
      <c r="B7" s="200">
        <v>1963</v>
      </c>
      <c r="C7" s="200">
        <v>1997</v>
      </c>
      <c r="D7" s="200">
        <v>2004</v>
      </c>
      <c r="E7" s="200">
        <v>1996</v>
      </c>
      <c r="F7" s="201">
        <v>2011</v>
      </c>
      <c r="G7" s="201">
        <v>2011</v>
      </c>
      <c r="H7" s="201">
        <v>2011</v>
      </c>
      <c r="I7" s="201">
        <v>2011</v>
      </c>
    </row>
    <row r="8" spans="1:11" ht="39.75" customHeight="1" x14ac:dyDescent="0.25">
      <c r="A8" s="197" t="s">
        <v>110</v>
      </c>
      <c r="B8" s="198"/>
      <c r="C8" s="198"/>
      <c r="D8" s="198"/>
      <c r="E8" s="198"/>
      <c r="F8" s="199"/>
      <c r="G8" s="199"/>
      <c r="H8"/>
      <c r="I8"/>
    </row>
    <row r="9" spans="1:11" ht="39.75" customHeight="1" x14ac:dyDescent="0.25">
      <c r="A9" s="103" t="s">
        <v>111</v>
      </c>
      <c r="B9" s="53"/>
      <c r="C9" s="53"/>
      <c r="D9" s="53"/>
      <c r="E9" s="53"/>
      <c r="F9"/>
      <c r="G9"/>
      <c r="H9"/>
      <c r="I9"/>
    </row>
    <row r="10" spans="1:11" x14ac:dyDescent="0.2">
      <c r="A10" s="102" t="s">
        <v>119</v>
      </c>
      <c r="B10" s="56">
        <v>4.4000000000000004</v>
      </c>
      <c r="C10" s="56">
        <v>4.25</v>
      </c>
      <c r="D10" s="56">
        <v>4.5119999999999996</v>
      </c>
      <c r="E10" s="56">
        <v>4.55</v>
      </c>
      <c r="F10" s="57">
        <v>4.907</v>
      </c>
      <c r="G10" s="57">
        <v>4.97</v>
      </c>
      <c r="H10" s="57">
        <v>4.806</v>
      </c>
      <c r="I10" s="57">
        <v>4.806</v>
      </c>
      <c r="J10" s="62" t="s">
        <v>70</v>
      </c>
    </row>
    <row r="11" spans="1:11" x14ac:dyDescent="0.2">
      <c r="A11" s="102" t="s">
        <v>120</v>
      </c>
      <c r="B11" s="56">
        <v>1.6739999999999999</v>
      </c>
      <c r="C11" s="56">
        <v>1.9</v>
      </c>
      <c r="D11" s="56">
        <v>1.923</v>
      </c>
      <c r="E11" s="56">
        <v>1.94</v>
      </c>
      <c r="F11" s="57">
        <v>1.9530000000000001</v>
      </c>
      <c r="G11" s="57">
        <v>1.931</v>
      </c>
      <c r="H11" s="57">
        <v>1.9430000000000001</v>
      </c>
      <c r="I11" s="57">
        <v>1.944</v>
      </c>
      <c r="J11" s="62" t="s">
        <v>73</v>
      </c>
    </row>
    <row r="12" spans="1:11" x14ac:dyDescent="0.2">
      <c r="A12" s="86" t="s">
        <v>121</v>
      </c>
      <c r="B12" s="87">
        <v>2.3889999999999998</v>
      </c>
      <c r="C12" s="87">
        <v>2.4500000000000002</v>
      </c>
      <c r="D12" s="87">
        <v>2.6</v>
      </c>
      <c r="E12" s="87">
        <v>2.4900000000000002</v>
      </c>
      <c r="F12" s="88">
        <v>2.99</v>
      </c>
      <c r="G12" s="88">
        <v>2.92</v>
      </c>
      <c r="H12" s="88">
        <v>2.746</v>
      </c>
      <c r="I12" s="88">
        <v>2.746</v>
      </c>
      <c r="J12" s="62" t="s">
        <v>141</v>
      </c>
      <c r="K12" s="80"/>
    </row>
    <row r="13" spans="1:11" x14ac:dyDescent="0.2">
      <c r="A13" s="102" t="s">
        <v>122</v>
      </c>
      <c r="B13" s="58">
        <v>1277</v>
      </c>
      <c r="C13" s="58">
        <v>1350</v>
      </c>
      <c r="D13" s="58">
        <v>1450</v>
      </c>
      <c r="E13" s="58">
        <v>1690</v>
      </c>
      <c r="F13" s="59">
        <v>1880</v>
      </c>
      <c r="G13" s="59">
        <v>1995</v>
      </c>
      <c r="H13" s="105">
        <v>2495</v>
      </c>
      <c r="I13" s="105">
        <v>2320</v>
      </c>
      <c r="J13" s="62" t="s">
        <v>22</v>
      </c>
    </row>
    <row r="14" spans="1:11" x14ac:dyDescent="0.2">
      <c r="A14" s="102" t="s">
        <v>123</v>
      </c>
      <c r="B14" s="54" t="s">
        <v>112</v>
      </c>
      <c r="C14" s="54" t="s">
        <v>113</v>
      </c>
      <c r="D14" s="54" t="s">
        <v>114</v>
      </c>
      <c r="E14" s="54" t="s">
        <v>115</v>
      </c>
      <c r="F14" s="55" t="s">
        <v>118</v>
      </c>
      <c r="G14" s="55" t="s">
        <v>112</v>
      </c>
      <c r="H14" s="55" t="s">
        <v>181</v>
      </c>
      <c r="I14" s="55" t="s">
        <v>181</v>
      </c>
      <c r="J14" s="62" t="s">
        <v>142</v>
      </c>
    </row>
    <row r="15" spans="1:11" x14ac:dyDescent="0.2">
      <c r="A15" s="102" t="s">
        <v>124</v>
      </c>
      <c r="B15" s="56">
        <v>0.78600000000000003</v>
      </c>
      <c r="C15" s="56">
        <v>1.032</v>
      </c>
      <c r="D15" s="56">
        <v>1.1000000000000001</v>
      </c>
      <c r="E15" s="56">
        <v>1.085</v>
      </c>
      <c r="F15" s="57">
        <v>0.89900000000000002</v>
      </c>
      <c r="G15" s="57">
        <f>(G10-G12)/2</f>
        <v>1.0249999999999999</v>
      </c>
      <c r="H15" s="57">
        <f>(H10-H12)/2</f>
        <v>1.03</v>
      </c>
      <c r="I15" s="57">
        <f>(I10-I12)/2</f>
        <v>1.03</v>
      </c>
      <c r="J15" s="62" t="s">
        <v>75</v>
      </c>
    </row>
    <row r="16" spans="1:11" x14ac:dyDescent="0.2">
      <c r="A16" s="102" t="s">
        <v>125</v>
      </c>
      <c r="B16" s="56">
        <v>1.2250000000000001</v>
      </c>
      <c r="C16" s="56">
        <v>0.76800000000000002</v>
      </c>
      <c r="D16" s="56">
        <v>0.81200000000000006</v>
      </c>
      <c r="E16" s="56">
        <v>0.97499999999999998</v>
      </c>
      <c r="F16" s="57">
        <v>1.018</v>
      </c>
      <c r="G16" s="57">
        <f>G15</f>
        <v>1.0249999999999999</v>
      </c>
      <c r="H16" s="57">
        <f>H15</f>
        <v>1.03</v>
      </c>
      <c r="I16" s="57">
        <f>I15</f>
        <v>1.03</v>
      </c>
      <c r="J16" s="62" t="s">
        <v>76</v>
      </c>
    </row>
    <row r="17" spans="1:11" x14ac:dyDescent="0.2">
      <c r="A17" s="102" t="s">
        <v>126</v>
      </c>
      <c r="B17" s="56">
        <f>B12*0.48</f>
        <v>1.14672</v>
      </c>
      <c r="C17" s="56">
        <f>C12*0.59</f>
        <v>1.4455</v>
      </c>
      <c r="D17" s="56">
        <f>D12*0.57</f>
        <v>1.482</v>
      </c>
      <c r="E17" s="56">
        <f>E12*0.5</f>
        <v>1.2450000000000001</v>
      </c>
      <c r="F17" s="57">
        <f>F12*0.53</f>
        <v>1.5847000000000002</v>
      </c>
      <c r="G17" s="57">
        <f>G12*0.48</f>
        <v>1.4016</v>
      </c>
      <c r="H17" s="57">
        <f>H12*0.45</f>
        <v>1.2357</v>
      </c>
      <c r="I17" s="57">
        <f>I12*0.45</f>
        <v>1.2357</v>
      </c>
      <c r="J17" s="62" t="s">
        <v>3</v>
      </c>
    </row>
    <row r="18" spans="1:11" x14ac:dyDescent="0.2">
      <c r="A18" s="102" t="s">
        <v>127</v>
      </c>
      <c r="B18" s="56">
        <f t="shared" ref="B18:I18" si="0">B12-B17</f>
        <v>1.2422799999999998</v>
      </c>
      <c r="C18" s="56">
        <f t="shared" si="0"/>
        <v>1.0045000000000002</v>
      </c>
      <c r="D18" s="56">
        <f t="shared" si="0"/>
        <v>1.1180000000000001</v>
      </c>
      <c r="E18" s="56">
        <f t="shared" si="0"/>
        <v>1.2450000000000001</v>
      </c>
      <c r="F18" s="57">
        <f t="shared" si="0"/>
        <v>1.4053</v>
      </c>
      <c r="G18" s="57">
        <f t="shared" si="0"/>
        <v>1.5184</v>
      </c>
      <c r="H18" s="57">
        <f t="shared" si="0"/>
        <v>1.5103</v>
      </c>
      <c r="I18" s="57">
        <f t="shared" si="0"/>
        <v>1.5103</v>
      </c>
      <c r="J18" s="62" t="s">
        <v>4</v>
      </c>
      <c r="K18" s="81" t="s">
        <v>179</v>
      </c>
    </row>
    <row r="19" spans="1:11" x14ac:dyDescent="0.2">
      <c r="A19" s="89" t="s">
        <v>170</v>
      </c>
      <c r="B19" s="90">
        <f t="shared" ref="B19:I19" si="1">B35*POWER(B33,2)+(B36*B34)/2</f>
        <v>1906.2414049423203</v>
      </c>
      <c r="C19" s="90">
        <f t="shared" si="1"/>
        <v>2218.3560553387474</v>
      </c>
      <c r="D19" s="90">
        <f t="shared" si="1"/>
        <v>2531.8677166496091</v>
      </c>
      <c r="E19" s="90">
        <f t="shared" si="1"/>
        <v>2472.2662748102766</v>
      </c>
      <c r="F19" s="91">
        <f t="shared" si="1"/>
        <v>2936.5965462176136</v>
      </c>
      <c r="G19" s="91">
        <f t="shared" si="1"/>
        <v>3195.185723458048</v>
      </c>
      <c r="H19" s="91">
        <f t="shared" si="1"/>
        <v>4119.6150885992138</v>
      </c>
      <c r="I19" s="91">
        <f t="shared" si="1"/>
        <v>3832.2417023402609</v>
      </c>
      <c r="J19" s="62" t="s">
        <v>139</v>
      </c>
      <c r="K19" s="82" t="s">
        <v>163</v>
      </c>
    </row>
    <row r="20" spans="1:11" x14ac:dyDescent="0.2">
      <c r="A20" s="89" t="s">
        <v>131</v>
      </c>
      <c r="B20" s="92">
        <f>B19/(B13*B17)</f>
        <v>1.3017560780228687</v>
      </c>
      <c r="C20" s="92">
        <f t="shared" ref="C20:F20" si="2">C19/(C13*C17)</f>
        <v>1.1367877604000909</v>
      </c>
      <c r="D20" s="92">
        <f t="shared" si="2"/>
        <v>1.1782156994972353</v>
      </c>
      <c r="E20" s="92">
        <f t="shared" si="2"/>
        <v>1.1750035763457505</v>
      </c>
      <c r="F20" s="93">
        <f t="shared" si="2"/>
        <v>0.98568778915722466</v>
      </c>
      <c r="G20" s="93">
        <f t="shared" ref="G20:H20" si="3">G19/(G13*G17)</f>
        <v>1.142691819252057</v>
      </c>
      <c r="H20" s="93">
        <f t="shared" si="3"/>
        <v>1.3362048491574761</v>
      </c>
      <c r="I20" s="93">
        <f t="shared" ref="I20" si="4">I19/(I13*I17)</f>
        <v>1.3367551347206039</v>
      </c>
      <c r="J20" s="62" t="s">
        <v>140</v>
      </c>
      <c r="K20" s="81" t="s">
        <v>109</v>
      </c>
    </row>
    <row r="21" spans="1:11" x14ac:dyDescent="0.2">
      <c r="A21" s="96" t="s">
        <v>169</v>
      </c>
      <c r="B21" s="97">
        <f>B20/B18</f>
        <v>1.047876547978611</v>
      </c>
      <c r="C21" s="97">
        <f t="shared" ref="C21:F21" si="5">C20/C18</f>
        <v>1.1316951323047195</v>
      </c>
      <c r="D21" s="97">
        <f t="shared" si="5"/>
        <v>1.0538601963302641</v>
      </c>
      <c r="E21" s="97">
        <f t="shared" si="5"/>
        <v>0.94377797296847421</v>
      </c>
      <c r="F21" s="98">
        <f t="shared" si="5"/>
        <v>0.70140737860757463</v>
      </c>
      <c r="G21" s="98">
        <f t="shared" ref="G21:H21" si="6">G20/G18</f>
        <v>0.75256310540836213</v>
      </c>
      <c r="H21" s="98">
        <f t="shared" si="6"/>
        <v>0.88472809981955647</v>
      </c>
      <c r="I21" s="98">
        <f t="shared" ref="I21" si="7">I20/I18</f>
        <v>0.8850924549563689</v>
      </c>
      <c r="J21" s="62" t="s">
        <v>143</v>
      </c>
      <c r="K21" s="81" t="s">
        <v>85</v>
      </c>
    </row>
    <row r="22" spans="1:11" x14ac:dyDescent="0.2">
      <c r="A22" s="102" t="s">
        <v>171</v>
      </c>
      <c r="B22" s="94" t="str">
        <f>IF(B20&gt;B18,"Behind","Infront")</f>
        <v>Behind</v>
      </c>
      <c r="C22" s="94" t="str">
        <f t="shared" ref="C22:F22" si="8">IF(C20&gt;C18,"Behind","Infront")</f>
        <v>Behind</v>
      </c>
      <c r="D22" s="94" t="str">
        <f t="shared" si="8"/>
        <v>Behind</v>
      </c>
      <c r="E22" s="95" t="str">
        <f t="shared" si="8"/>
        <v>Infront</v>
      </c>
      <c r="F22" s="95" t="str">
        <f t="shared" si="8"/>
        <v>Infront</v>
      </c>
      <c r="G22" s="95" t="str">
        <f t="shared" ref="G22:H22" si="9">IF(G20&gt;G18,"Behind","Infront")</f>
        <v>Infront</v>
      </c>
      <c r="H22" s="95" t="str">
        <f t="shared" si="9"/>
        <v>Infront</v>
      </c>
      <c r="I22" s="95" t="str">
        <f t="shared" ref="I22" si="10">IF(I20&gt;I18,"Behind","Infront")</f>
        <v>Infront</v>
      </c>
    </row>
    <row r="23" spans="1:11" ht="25.5" x14ac:dyDescent="0.2">
      <c r="A23" s="202" t="s">
        <v>172</v>
      </c>
      <c r="B23" s="56">
        <f>ABS(B20-B18)</f>
        <v>5.9476078022868917E-2</v>
      </c>
      <c r="C23" s="56">
        <f t="shared" ref="C23:F23" si="11">ABS(C20-C18)</f>
        <v>0.13228776040009071</v>
      </c>
      <c r="D23" s="56">
        <f t="shared" si="11"/>
        <v>6.0215699497235153E-2</v>
      </c>
      <c r="E23" s="56">
        <f t="shared" si="11"/>
        <v>6.9996423654249629E-2</v>
      </c>
      <c r="F23" s="57">
        <f t="shared" si="11"/>
        <v>0.41961221084277533</v>
      </c>
      <c r="G23" s="57">
        <f t="shared" ref="G23:H23" si="12">ABS(G20-G18)</f>
        <v>0.37570818074794299</v>
      </c>
      <c r="H23" s="57">
        <f t="shared" si="12"/>
        <v>0.17409515084252392</v>
      </c>
      <c r="I23" s="57">
        <f t="shared" ref="I23" si="13">ABS(I20-I18)</f>
        <v>0.17354486527939605</v>
      </c>
    </row>
    <row r="25" spans="1:11" x14ac:dyDescent="0.2">
      <c r="A25" s="14"/>
      <c r="B25" s="9"/>
      <c r="C25" s="9"/>
      <c r="D25" s="9"/>
      <c r="E25" s="9"/>
      <c r="F25" s="104"/>
      <c r="G25" s="104"/>
      <c r="H25" s="104"/>
      <c r="I25" s="104"/>
    </row>
    <row r="27" spans="1:11" x14ac:dyDescent="0.2">
      <c r="A27" s="8" t="s">
        <v>132</v>
      </c>
      <c r="B27" s="14"/>
      <c r="C27" s="14"/>
      <c r="D27" s="14"/>
      <c r="E27" s="14"/>
      <c r="F27" s="23"/>
      <c r="G27" s="23"/>
      <c r="H27" s="23"/>
      <c r="I27" s="23"/>
    </row>
    <row r="28" spans="1:11" x14ac:dyDescent="0.2">
      <c r="A28" s="7" t="s">
        <v>135</v>
      </c>
      <c r="B28" s="12">
        <f t="shared" ref="B28:F29" si="14">B17+B15</f>
        <v>1.93272</v>
      </c>
      <c r="C28" s="12">
        <f t="shared" si="14"/>
        <v>2.4775</v>
      </c>
      <c r="D28" s="12">
        <f t="shared" si="14"/>
        <v>2.5819999999999999</v>
      </c>
      <c r="E28" s="12">
        <f t="shared" si="14"/>
        <v>2.33</v>
      </c>
      <c r="F28" s="73">
        <f t="shared" si="14"/>
        <v>2.4837000000000002</v>
      </c>
      <c r="G28" s="73">
        <f t="shared" ref="G28:H28" si="15">G17+G15</f>
        <v>2.4265999999999996</v>
      </c>
      <c r="H28" s="73">
        <f t="shared" si="15"/>
        <v>2.2656999999999998</v>
      </c>
      <c r="I28" s="73">
        <f t="shared" ref="I28" si="16">I17+I15</f>
        <v>2.2656999999999998</v>
      </c>
      <c r="J28" s="62" t="s">
        <v>144</v>
      </c>
      <c r="K28" s="81" t="s">
        <v>160</v>
      </c>
    </row>
    <row r="29" spans="1:11" x14ac:dyDescent="0.2">
      <c r="A29" s="7" t="s">
        <v>136</v>
      </c>
      <c r="B29" s="12">
        <f t="shared" si="14"/>
        <v>2.4672799999999997</v>
      </c>
      <c r="C29" s="12">
        <f t="shared" si="14"/>
        <v>1.7725000000000002</v>
      </c>
      <c r="D29" s="12">
        <f t="shared" si="14"/>
        <v>1.9300000000000002</v>
      </c>
      <c r="E29" s="12">
        <f t="shared" si="14"/>
        <v>2.2200000000000002</v>
      </c>
      <c r="F29" s="73">
        <f t="shared" si="14"/>
        <v>2.4233000000000002</v>
      </c>
      <c r="G29" s="73">
        <f t="shared" ref="G29:H29" si="17">G18+G16</f>
        <v>2.5434000000000001</v>
      </c>
      <c r="H29" s="73">
        <f t="shared" si="17"/>
        <v>2.5403000000000002</v>
      </c>
      <c r="I29" s="73">
        <f t="shared" ref="I29" si="18">I18+I16</f>
        <v>2.5403000000000002</v>
      </c>
      <c r="J29" s="62" t="s">
        <v>145</v>
      </c>
      <c r="K29" s="81" t="s">
        <v>161</v>
      </c>
    </row>
    <row r="30" spans="1:11" x14ac:dyDescent="0.2">
      <c r="A30" s="7" t="s">
        <v>150</v>
      </c>
      <c r="B30" s="12">
        <f>ABS(B28-B29)</f>
        <v>0.5345599999999997</v>
      </c>
      <c r="C30" s="12">
        <f t="shared" ref="C30:E30" si="19">ABS(C28-C29)</f>
        <v>0.70499999999999985</v>
      </c>
      <c r="D30" s="12">
        <f t="shared" si="19"/>
        <v>0.65199999999999969</v>
      </c>
      <c r="E30" s="12">
        <f t="shared" si="19"/>
        <v>0.10999999999999988</v>
      </c>
      <c r="F30" s="73">
        <f>ABS(F28-F29)</f>
        <v>6.0400000000000009E-2</v>
      </c>
      <c r="G30" s="73">
        <f>ABS(G28-G29)</f>
        <v>0.11680000000000046</v>
      </c>
      <c r="H30" s="73">
        <f>ABS(H28-H29)</f>
        <v>0.2746000000000004</v>
      </c>
      <c r="I30" s="73">
        <f>ABS(I28-I29)</f>
        <v>0.2746000000000004</v>
      </c>
      <c r="J30" s="62" t="s">
        <v>153</v>
      </c>
      <c r="K30" s="81" t="s">
        <v>149</v>
      </c>
    </row>
    <row r="31" spans="1:11" x14ac:dyDescent="0.2">
      <c r="A31" s="7" t="s">
        <v>151</v>
      </c>
      <c r="B31" s="12">
        <f t="shared" ref="B31:I31" si="20">B10-B30</f>
        <v>3.8654400000000004</v>
      </c>
      <c r="C31" s="12">
        <f t="shared" si="20"/>
        <v>3.5449999999999999</v>
      </c>
      <c r="D31" s="12">
        <f t="shared" si="20"/>
        <v>3.86</v>
      </c>
      <c r="E31" s="12">
        <f t="shared" si="20"/>
        <v>4.4399999999999995</v>
      </c>
      <c r="F31" s="73">
        <f t="shared" si="20"/>
        <v>4.8466000000000005</v>
      </c>
      <c r="G31" s="73">
        <f t="shared" si="20"/>
        <v>4.8531999999999993</v>
      </c>
      <c r="H31" s="73">
        <f t="shared" si="20"/>
        <v>4.5313999999999997</v>
      </c>
      <c r="I31" s="73">
        <f t="shared" si="20"/>
        <v>4.5313999999999997</v>
      </c>
      <c r="J31" s="62" t="s">
        <v>154</v>
      </c>
      <c r="K31" s="81" t="s">
        <v>155</v>
      </c>
    </row>
    <row r="32" spans="1:11" x14ac:dyDescent="0.2">
      <c r="A32" s="10" t="s">
        <v>137</v>
      </c>
    </row>
    <row r="33" spans="1:11" x14ac:dyDescent="0.2">
      <c r="A33" s="66" t="s">
        <v>152</v>
      </c>
      <c r="B33" s="67">
        <f>B10/2</f>
        <v>2.2000000000000002</v>
      </c>
      <c r="C33" s="67">
        <f>C10/2</f>
        <v>2.125</v>
      </c>
      <c r="D33" s="67">
        <f>D10/2</f>
        <v>2.2559999999999998</v>
      </c>
      <c r="E33" s="67">
        <f>(E31+E30)/2</f>
        <v>2.2749999999999995</v>
      </c>
      <c r="F33" s="74">
        <f>(F31+F30)/2</f>
        <v>2.4535</v>
      </c>
      <c r="G33" s="74">
        <f>(G31+G30)/2</f>
        <v>2.4849999999999999</v>
      </c>
      <c r="H33" s="74">
        <f>(H31+H30)/2</f>
        <v>2.403</v>
      </c>
      <c r="I33" s="74">
        <f>(I31+I30)/2</f>
        <v>2.403</v>
      </c>
      <c r="J33" s="68" t="s">
        <v>77</v>
      </c>
      <c r="K33" s="83" t="s">
        <v>156</v>
      </c>
    </row>
    <row r="34" spans="1:11" s="72" customFormat="1" x14ac:dyDescent="0.2">
      <c r="A34" s="69" t="s">
        <v>157</v>
      </c>
      <c r="B34" s="70">
        <f>B37/PI()</f>
        <v>2.0597026010377553</v>
      </c>
      <c r="C34" s="70">
        <f t="shared" ref="C34:F34" si="21">C37/PI()</f>
        <v>2.143976238390922</v>
      </c>
      <c r="D34" s="70">
        <f t="shared" si="21"/>
        <v>2.3627442569673178</v>
      </c>
      <c r="E34" s="70">
        <f t="shared" si="21"/>
        <v>2.7417940356326986</v>
      </c>
      <c r="F34" s="70">
        <f t="shared" si="21"/>
        <v>3.0129335161209374</v>
      </c>
      <c r="G34" s="70">
        <f t="shared" ref="G34:H34" si="22">G37/PI()</f>
        <v>2.9830503930200707</v>
      </c>
      <c r="H34" s="70">
        <f t="shared" si="22"/>
        <v>2.8025626396660237</v>
      </c>
      <c r="I34" s="70">
        <f t="shared" ref="I34" si="23">I37/PI()</f>
        <v>2.8040050290842768</v>
      </c>
      <c r="J34" s="71" t="s">
        <v>162</v>
      </c>
      <c r="K34" s="83" t="s">
        <v>168</v>
      </c>
    </row>
    <row r="35" spans="1:11" x14ac:dyDescent="0.2">
      <c r="A35" s="63" t="s">
        <v>138</v>
      </c>
      <c r="B35" s="64">
        <f t="shared" ref="B35:I35" si="24">B30/B10*B13</f>
        <v>155.1438909090908</v>
      </c>
      <c r="C35" s="64">
        <f t="shared" si="24"/>
        <v>223.94117647058818</v>
      </c>
      <c r="D35" s="64">
        <f t="shared" si="24"/>
        <v>209.53014184397156</v>
      </c>
      <c r="E35" s="64">
        <f t="shared" si="24"/>
        <v>40.857142857142811</v>
      </c>
      <c r="F35" s="75">
        <f t="shared" si="24"/>
        <v>23.140819237823521</v>
      </c>
      <c r="G35" s="75">
        <f t="shared" si="24"/>
        <v>46.884507042253709</v>
      </c>
      <c r="H35" s="75">
        <f t="shared" si="24"/>
        <v>142.55659592176468</v>
      </c>
      <c r="I35" s="75">
        <f t="shared" si="24"/>
        <v>132.55763628797357</v>
      </c>
      <c r="J35" s="65" t="s">
        <v>78</v>
      </c>
      <c r="K35" s="84" t="s">
        <v>147</v>
      </c>
    </row>
    <row r="36" spans="1:11" x14ac:dyDescent="0.2">
      <c r="A36" s="63" t="s">
        <v>146</v>
      </c>
      <c r="B36" s="64">
        <f t="shared" ref="B36:I36" si="25">B13-B35</f>
        <v>1121.8561090909093</v>
      </c>
      <c r="C36" s="64">
        <f t="shared" si="25"/>
        <v>1126.0588235294117</v>
      </c>
      <c r="D36" s="64">
        <f t="shared" si="25"/>
        <v>1240.4698581560285</v>
      </c>
      <c r="E36" s="64">
        <f t="shared" si="25"/>
        <v>1649.1428571428571</v>
      </c>
      <c r="F36" s="75">
        <f t="shared" si="25"/>
        <v>1856.8591807621765</v>
      </c>
      <c r="G36" s="75">
        <f t="shared" si="25"/>
        <v>1948.1154929577463</v>
      </c>
      <c r="H36" s="75">
        <f t="shared" si="25"/>
        <v>2352.4434040782353</v>
      </c>
      <c r="I36" s="75">
        <f t="shared" si="25"/>
        <v>2187.4423637120262</v>
      </c>
      <c r="J36" s="65" t="s">
        <v>82</v>
      </c>
      <c r="K36" s="84" t="s">
        <v>148</v>
      </c>
    </row>
    <row r="37" spans="1:11" x14ac:dyDescent="0.2">
      <c r="A37" s="7" t="s">
        <v>158</v>
      </c>
      <c r="B37" s="12">
        <f t="shared" ref="B37:I37" si="26">B31*B11</f>
        <v>6.4707465600000003</v>
      </c>
      <c r="C37" s="12">
        <f t="shared" si="26"/>
        <v>6.7354999999999992</v>
      </c>
      <c r="D37" s="12">
        <f t="shared" si="26"/>
        <v>7.4227799999999995</v>
      </c>
      <c r="E37" s="12">
        <f t="shared" si="26"/>
        <v>8.6135999999999981</v>
      </c>
      <c r="F37" s="73">
        <f t="shared" si="26"/>
        <v>9.4654098000000015</v>
      </c>
      <c r="G37" s="73">
        <f t="shared" si="26"/>
        <v>9.3715291999999994</v>
      </c>
      <c r="H37" s="73">
        <f t="shared" si="26"/>
        <v>8.8045101999999993</v>
      </c>
      <c r="I37" s="73">
        <f t="shared" si="26"/>
        <v>8.8090415999999987</v>
      </c>
      <c r="J37" s="62" t="s">
        <v>86</v>
      </c>
      <c r="K37" s="81" t="s">
        <v>159</v>
      </c>
    </row>
    <row r="38" spans="1:11" x14ac:dyDescent="0.2">
      <c r="K38" s="85"/>
    </row>
    <row r="40" spans="1:11" ht="38.25" x14ac:dyDescent="0.2">
      <c r="A40" s="99"/>
      <c r="B40" s="100" t="s">
        <v>173</v>
      </c>
      <c r="C40" s="100" t="s">
        <v>174</v>
      </c>
      <c r="D40" s="100" t="s">
        <v>175</v>
      </c>
      <c r="E40" s="100" t="s">
        <v>176</v>
      </c>
      <c r="F40" s="101" t="s">
        <v>177</v>
      </c>
      <c r="G40" s="188" t="s">
        <v>178</v>
      </c>
      <c r="H40" s="188" t="s">
        <v>180</v>
      </c>
      <c r="I40" s="188" t="s">
        <v>182</v>
      </c>
    </row>
    <row r="41" spans="1:11" x14ac:dyDescent="0.2">
      <c r="A41" s="96" t="s">
        <v>169</v>
      </c>
      <c r="B41" s="97">
        <f>B21</f>
        <v>1.047876547978611</v>
      </c>
      <c r="C41" s="97">
        <f t="shared" ref="C41:E41" si="27">C21</f>
        <v>1.1316951323047195</v>
      </c>
      <c r="D41" s="97">
        <f t="shared" si="27"/>
        <v>1.0538601963302641</v>
      </c>
      <c r="E41" s="97">
        <f t="shared" si="27"/>
        <v>0.94377797296847421</v>
      </c>
      <c r="F41" s="98">
        <f>F21</f>
        <v>0.70140737860757463</v>
      </c>
      <c r="G41" s="98">
        <f>G21</f>
        <v>0.75256310540836213</v>
      </c>
      <c r="H41" s="98">
        <f>H21</f>
        <v>0.88472809981955647</v>
      </c>
      <c r="I41" s="98">
        <f>I21</f>
        <v>0.8850924549563689</v>
      </c>
    </row>
  </sheetData>
  <pageMargins left="0.7" right="0.7" top="0.75" bottom="0.75" header="0.3" footer="0.3"/>
  <pageSetup orientation="landscape" horizontalDpi="360" verticalDpi="36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5FF43E-8412-4840-876A-AE6370311955}">
  <sheetPr>
    <tabColor rgb="FFFFFF00"/>
  </sheetPr>
  <dimension ref="A1:H61"/>
  <sheetViews>
    <sheetView topLeftCell="A28" workbookViewId="0"/>
  </sheetViews>
  <sheetFormatPr defaultRowHeight="15" x14ac:dyDescent="0.25"/>
  <cols>
    <col min="2" max="2" width="17.7109375" style="3" customWidth="1"/>
    <col min="3" max="11" width="13.5703125" customWidth="1"/>
    <col min="12" max="12" width="14.140625" customWidth="1"/>
  </cols>
  <sheetData>
    <row r="1" spans="1:8" s="36" customFormat="1" ht="18.75" x14ac:dyDescent="0.3">
      <c r="A1" s="36" t="s">
        <v>242</v>
      </c>
      <c r="B1" s="106"/>
    </row>
    <row r="2" spans="1:8" s="36" customFormat="1" ht="18.75" x14ac:dyDescent="0.3">
      <c r="B2" s="106"/>
    </row>
    <row r="3" spans="1:8" s="134" customFormat="1" x14ac:dyDescent="0.25">
      <c r="A3" s="135" t="s">
        <v>183</v>
      </c>
    </row>
    <row r="4" spans="1:8" s="134" customFormat="1" x14ac:dyDescent="0.25">
      <c r="A4" s="136"/>
      <c r="B4" s="135" t="s">
        <v>280</v>
      </c>
    </row>
    <row r="5" spans="1:8" s="134" customFormat="1" x14ac:dyDescent="0.25">
      <c r="A5" s="136"/>
      <c r="B5" s="135" t="s">
        <v>281</v>
      </c>
    </row>
    <row r="6" spans="1:8" s="134" customFormat="1" ht="15.75" thickBot="1" x14ac:dyDescent="0.3">
      <c r="A6" s="136"/>
      <c r="C6" s="134" t="s">
        <v>185</v>
      </c>
    </row>
    <row r="7" spans="1:8" ht="15.75" thickBot="1" x14ac:dyDescent="0.3">
      <c r="A7" s="110" t="s">
        <v>184</v>
      </c>
      <c r="B7"/>
      <c r="C7" s="144">
        <v>683</v>
      </c>
      <c r="D7" t="s">
        <v>202</v>
      </c>
      <c r="E7" s="144">
        <v>486</v>
      </c>
      <c r="F7" t="s">
        <v>203</v>
      </c>
      <c r="G7" s="111" t="s">
        <v>196</v>
      </c>
      <c r="H7" s="120">
        <v>8000</v>
      </c>
    </row>
    <row r="8" spans="1:8" x14ac:dyDescent="0.25">
      <c r="A8" s="3"/>
      <c r="B8" t="s">
        <v>215</v>
      </c>
      <c r="D8" s="111" t="s">
        <v>216</v>
      </c>
      <c r="G8" s="115"/>
    </row>
    <row r="9" spans="1:8" x14ac:dyDescent="0.25">
      <c r="A9" s="3"/>
      <c r="B9" t="s">
        <v>214</v>
      </c>
    </row>
    <row r="10" spans="1:8" s="6" customFormat="1" x14ac:dyDescent="0.25">
      <c r="A10" s="114" t="s">
        <v>227</v>
      </c>
    </row>
    <row r="11" spans="1:8" s="6" customFormat="1" ht="15.75" thickBot="1" x14ac:dyDescent="0.3">
      <c r="A11" s="119"/>
      <c r="B11" s="131" t="s">
        <v>221</v>
      </c>
    </row>
    <row r="12" spans="1:8" s="6" customFormat="1" ht="15.75" thickBot="1" x14ac:dyDescent="0.3">
      <c r="A12" s="119"/>
      <c r="B12" s="131" t="s">
        <v>266</v>
      </c>
      <c r="D12" s="132">
        <v>0.9</v>
      </c>
    </row>
    <row r="13" spans="1:8" s="6" customFormat="1" ht="15.75" thickBot="1" x14ac:dyDescent="0.3">
      <c r="A13" s="119"/>
      <c r="B13" s="119" t="s">
        <v>209</v>
      </c>
      <c r="C13" s="133" t="s">
        <v>220</v>
      </c>
      <c r="D13" s="167">
        <v>7</v>
      </c>
      <c r="E13" s="179" t="s">
        <v>222</v>
      </c>
      <c r="F13" s="167">
        <v>0.05</v>
      </c>
      <c r="G13" s="133" t="s">
        <v>211</v>
      </c>
      <c r="H13" s="167">
        <v>0.1</v>
      </c>
    </row>
    <row r="14" spans="1:8" s="107" customFormat="1" ht="36" customHeight="1" thickBot="1" x14ac:dyDescent="0.3">
      <c r="A14" s="108"/>
      <c r="B14" s="234" t="s">
        <v>228</v>
      </c>
      <c r="C14" s="236" t="s">
        <v>282</v>
      </c>
      <c r="D14" s="168">
        <v>2080</v>
      </c>
      <c r="E14" s="235" t="s">
        <v>233</v>
      </c>
      <c r="F14" s="236" t="s">
        <v>283</v>
      </c>
      <c r="G14" s="168">
        <f>1880+200+100</f>
        <v>2180</v>
      </c>
      <c r="H14" s="235" t="s">
        <v>233</v>
      </c>
    </row>
    <row r="15" spans="1:8" x14ac:dyDescent="0.25">
      <c r="B15" s="155"/>
      <c r="C15" s="156" t="s">
        <v>219</v>
      </c>
      <c r="D15" s="157"/>
      <c r="E15" s="158"/>
      <c r="F15" s="156" t="s">
        <v>231</v>
      </c>
      <c r="G15" s="157"/>
      <c r="H15" s="159"/>
    </row>
    <row r="16" spans="1:8" x14ac:dyDescent="0.25">
      <c r="B16" s="160" t="s">
        <v>226</v>
      </c>
      <c r="C16" s="151" t="s">
        <v>229</v>
      </c>
      <c r="D16" s="152" t="s">
        <v>230</v>
      </c>
      <c r="E16" s="1"/>
      <c r="F16" s="151" t="s">
        <v>229</v>
      </c>
      <c r="G16" s="152" t="s">
        <v>230</v>
      </c>
      <c r="H16" s="161"/>
    </row>
    <row r="17" spans="1:8" ht="15.75" thickBot="1" x14ac:dyDescent="0.3">
      <c r="B17" s="162" t="s">
        <v>3</v>
      </c>
      <c r="C17" s="163">
        <f>G28/D14</f>
        <v>9.2692857142857132</v>
      </c>
      <c r="D17" s="164">
        <f>G29/D14</f>
        <v>7.8788928571428558</v>
      </c>
      <c r="E17" s="165" t="s">
        <v>232</v>
      </c>
      <c r="F17" s="163">
        <f>G28/G14</f>
        <v>8.8440891218872864</v>
      </c>
      <c r="G17" s="164">
        <f>G29/G14</f>
        <v>7.5174757536041925</v>
      </c>
      <c r="H17" s="166" t="s">
        <v>232</v>
      </c>
    </row>
    <row r="18" spans="1:8" x14ac:dyDescent="0.25">
      <c r="B18" s="110" t="s">
        <v>235</v>
      </c>
      <c r="C18" t="s">
        <v>234</v>
      </c>
      <c r="F18" s="111" t="s">
        <v>240</v>
      </c>
    </row>
    <row r="19" spans="1:8" s="5" customFormat="1" x14ac:dyDescent="0.25">
      <c r="B19" s="154" t="s">
        <v>284</v>
      </c>
      <c r="D19" s="154" t="s">
        <v>236</v>
      </c>
      <c r="E19" s="154" t="s">
        <v>237</v>
      </c>
      <c r="F19" s="154" t="s">
        <v>238</v>
      </c>
    </row>
    <row r="20" spans="1:8" x14ac:dyDescent="0.25">
      <c r="B20" s="110" t="s">
        <v>239</v>
      </c>
      <c r="D20">
        <v>7.9</v>
      </c>
      <c r="E20" s="116" t="s">
        <v>232</v>
      </c>
    </row>
    <row r="21" spans="1:8" s="251" customFormat="1" x14ac:dyDescent="0.25">
      <c r="B21" s="251" t="s">
        <v>304</v>
      </c>
      <c r="C21" s="252"/>
      <c r="G21" s="252"/>
    </row>
    <row r="22" spans="1:8" s="251" customFormat="1" x14ac:dyDescent="0.25">
      <c r="B22" s="251" t="s">
        <v>303</v>
      </c>
      <c r="C22" s="252"/>
      <c r="G22" s="252"/>
    </row>
    <row r="23" spans="1:8" s="251" customFormat="1" ht="15.75" thickBot="1" x14ac:dyDescent="0.3">
      <c r="C23" s="252"/>
      <c r="G23" s="252"/>
    </row>
    <row r="24" spans="1:8" x14ac:dyDescent="0.25">
      <c r="B24" s="140"/>
      <c r="C24" s="141" t="s">
        <v>204</v>
      </c>
      <c r="D24" s="141" t="s">
        <v>205</v>
      </c>
      <c r="E24" s="141" t="s">
        <v>206</v>
      </c>
      <c r="F24" s="141" t="s">
        <v>207</v>
      </c>
      <c r="G24" s="228" t="s">
        <v>208</v>
      </c>
      <c r="H24" s="232" t="s">
        <v>218</v>
      </c>
    </row>
    <row r="25" spans="1:8" s="107" customFormat="1" ht="30" x14ac:dyDescent="0.25">
      <c r="B25" s="142" t="s">
        <v>272</v>
      </c>
      <c r="C25" s="129">
        <f>G25*0.2/2</f>
        <v>68.3</v>
      </c>
      <c r="D25" s="129">
        <f>G25*0.2/2</f>
        <v>68.3</v>
      </c>
      <c r="E25" s="129">
        <f>G25*0.8/2</f>
        <v>273.2</v>
      </c>
      <c r="F25" s="129">
        <f>G25*0.8/2</f>
        <v>273.2</v>
      </c>
      <c r="G25" s="229">
        <f>C7</f>
        <v>683</v>
      </c>
      <c r="H25" s="233" t="s">
        <v>202</v>
      </c>
    </row>
    <row r="26" spans="1:8" ht="30" customHeight="1" x14ac:dyDescent="0.25">
      <c r="B26" s="142" t="s">
        <v>273</v>
      </c>
      <c r="C26" s="130">
        <f>C25*0.85</f>
        <v>58.054999999999993</v>
      </c>
      <c r="D26" s="130">
        <f>D25*0.85</f>
        <v>58.054999999999993</v>
      </c>
      <c r="E26" s="130">
        <f>E25*0.85</f>
        <v>232.21999999999997</v>
      </c>
      <c r="F26" s="130">
        <f>F25*0.85</f>
        <v>232.21999999999997</v>
      </c>
      <c r="G26" s="230">
        <f>SUM(C26:F26)</f>
        <v>580.54999999999995</v>
      </c>
      <c r="H26" s="233" t="s">
        <v>202</v>
      </c>
    </row>
    <row r="27" spans="1:8" s="5" customFormat="1" ht="30" x14ac:dyDescent="0.25">
      <c r="B27" s="143" t="s">
        <v>274</v>
      </c>
      <c r="C27" s="146">
        <f>C25/($F$13*$H$13*$D$13)</f>
        <v>1951.4285714285711</v>
      </c>
      <c r="D27" s="146">
        <f t="shared" ref="D27:F27" si="0">D25/($F$13*$H$13*$D$13)</f>
        <v>1951.4285714285711</v>
      </c>
      <c r="E27" s="146">
        <f t="shared" si="0"/>
        <v>7805.7142857142844</v>
      </c>
      <c r="F27" s="146">
        <f t="shared" si="0"/>
        <v>7805.7142857142844</v>
      </c>
      <c r="G27" s="230">
        <f t="shared" ref="G27:G29" si="1">SUM(C27:F27)</f>
        <v>19514.28571428571</v>
      </c>
      <c r="H27" s="214" t="s">
        <v>210</v>
      </c>
    </row>
    <row r="28" spans="1:8" s="4" customFormat="1" ht="45" x14ac:dyDescent="0.25">
      <c r="A28" s="226" t="s">
        <v>229</v>
      </c>
      <c r="B28" s="148" t="s">
        <v>275</v>
      </c>
      <c r="C28" s="147">
        <f>C27*0.94</f>
        <v>1834.3428571428567</v>
      </c>
      <c r="D28" s="147">
        <f>D27*0.94</f>
        <v>1834.3428571428567</v>
      </c>
      <c r="E28" s="147">
        <f>E27</f>
        <v>7805.7142857142844</v>
      </c>
      <c r="F28" s="147">
        <f>F27</f>
        <v>7805.7142857142844</v>
      </c>
      <c r="G28" s="231">
        <f t="shared" si="1"/>
        <v>19280.114285714284</v>
      </c>
      <c r="H28" s="214" t="s">
        <v>210</v>
      </c>
    </row>
    <row r="29" spans="1:8" s="112" customFormat="1" ht="45.75" thickBot="1" x14ac:dyDescent="0.3">
      <c r="A29" s="227" t="s">
        <v>230</v>
      </c>
      <c r="B29" s="149" t="s">
        <v>276</v>
      </c>
      <c r="C29" s="150">
        <f>C28*0.85</f>
        <v>1559.1914285714281</v>
      </c>
      <c r="D29" s="150">
        <f t="shared" ref="D29:F29" si="2">D28*0.85</f>
        <v>1559.1914285714281</v>
      </c>
      <c r="E29" s="150">
        <f t="shared" si="2"/>
        <v>6634.8571428571413</v>
      </c>
      <c r="F29" s="150">
        <f t="shared" si="2"/>
        <v>6634.8571428571413</v>
      </c>
      <c r="G29" s="237">
        <f t="shared" si="1"/>
        <v>16388.097142857139</v>
      </c>
      <c r="H29" s="220" t="s">
        <v>210</v>
      </c>
    </row>
    <row r="30" spans="1:8" x14ac:dyDescent="0.25">
      <c r="H30" s="145"/>
    </row>
    <row r="31" spans="1:8" x14ac:dyDescent="0.25">
      <c r="H31" s="145"/>
    </row>
    <row r="32" spans="1:8" ht="18.75" x14ac:dyDescent="0.3">
      <c r="A32" s="36" t="s">
        <v>241</v>
      </c>
      <c r="E32" t="s">
        <v>247</v>
      </c>
      <c r="G32" t="s">
        <v>243</v>
      </c>
      <c r="H32" s="145"/>
    </row>
    <row r="33" spans="2:8" x14ac:dyDescent="0.25">
      <c r="B33" s="110" t="s">
        <v>252</v>
      </c>
    </row>
    <row r="34" spans="2:8" ht="15.75" thickBot="1" x14ac:dyDescent="0.3">
      <c r="B34" s="169" t="s">
        <v>253</v>
      </c>
      <c r="C34" s="110" t="s">
        <v>260</v>
      </c>
      <c r="G34" s="174" t="s">
        <v>286</v>
      </c>
      <c r="H34" s="238">
        <v>0.47</v>
      </c>
    </row>
    <row r="35" spans="2:8" ht="15.75" thickBot="1" x14ac:dyDescent="0.3">
      <c r="B35" s="110" t="s">
        <v>258</v>
      </c>
      <c r="C35" s="144">
        <v>2080</v>
      </c>
      <c r="D35" s="110" t="s">
        <v>257</v>
      </c>
      <c r="G35" t="s">
        <v>287</v>
      </c>
      <c r="H35" s="238">
        <v>0.53</v>
      </c>
    </row>
    <row r="37" spans="2:8" ht="15.75" thickBot="1" x14ac:dyDescent="0.3">
      <c r="B37" s="170" t="s">
        <v>285</v>
      </c>
    </row>
    <row r="38" spans="2:8" s="107" customFormat="1" ht="30" x14ac:dyDescent="0.25">
      <c r="B38" s="178" t="s">
        <v>244</v>
      </c>
      <c r="C38" s="223"/>
      <c r="D38" s="187" t="s">
        <v>248</v>
      </c>
      <c r="E38" s="187" t="s">
        <v>250</v>
      </c>
      <c r="F38" s="187" t="s">
        <v>249</v>
      </c>
      <c r="G38" s="203" t="s">
        <v>245</v>
      </c>
      <c r="H38" s="224" t="s">
        <v>218</v>
      </c>
    </row>
    <row r="39" spans="2:8" ht="30.75" thickBot="1" x14ac:dyDescent="0.3">
      <c r="B39" s="177"/>
      <c r="C39" s="225" t="s">
        <v>251</v>
      </c>
      <c r="D39" s="171">
        <v>0.9</v>
      </c>
      <c r="E39" s="171">
        <v>0.6</v>
      </c>
      <c r="F39" s="171">
        <v>0.2</v>
      </c>
      <c r="G39" s="204">
        <v>0.1</v>
      </c>
      <c r="H39" s="220" t="s">
        <v>277</v>
      </c>
    </row>
    <row r="40" spans="2:8" x14ac:dyDescent="0.25">
      <c r="B40" s="173" t="s">
        <v>254</v>
      </c>
      <c r="C40" s="222" t="s">
        <v>255</v>
      </c>
      <c r="D40" s="176">
        <f>$C$35*0.53*9.8</f>
        <v>10803.520000000002</v>
      </c>
      <c r="E40" s="176">
        <f>D40</f>
        <v>10803.520000000002</v>
      </c>
      <c r="F40" s="176">
        <f>E40</f>
        <v>10803.520000000002</v>
      </c>
      <c r="G40" s="206">
        <f>F40</f>
        <v>10803.520000000002</v>
      </c>
      <c r="H40" s="212" t="s">
        <v>210</v>
      </c>
    </row>
    <row r="41" spans="2:8" x14ac:dyDescent="0.25">
      <c r="B41" s="173"/>
      <c r="C41" s="213" t="s">
        <v>256</v>
      </c>
      <c r="D41" s="181">
        <f>D39*D40</f>
        <v>9723.1680000000015</v>
      </c>
      <c r="E41" s="181">
        <f>E39*E40</f>
        <v>6482.112000000001</v>
      </c>
      <c r="F41" s="181">
        <f>F39*F40</f>
        <v>2160.7040000000006</v>
      </c>
      <c r="G41" s="205">
        <f>G39*G40</f>
        <v>1080.3520000000003</v>
      </c>
      <c r="H41" s="214" t="s">
        <v>210</v>
      </c>
    </row>
    <row r="42" spans="2:8" ht="15.75" thickBot="1" x14ac:dyDescent="0.3">
      <c r="B42" s="173"/>
      <c r="C42" s="217" t="s">
        <v>246</v>
      </c>
      <c r="D42" s="218">
        <f>D41/$C$35</f>
        <v>4.6746000000000008</v>
      </c>
      <c r="E42" s="218">
        <f>E41/$C$35</f>
        <v>3.1164000000000005</v>
      </c>
      <c r="F42" s="218">
        <f>F41/$C$35</f>
        <v>1.0388000000000004</v>
      </c>
      <c r="G42" s="219">
        <f>G41/$C$35</f>
        <v>0.51940000000000019</v>
      </c>
      <c r="H42" s="220" t="s">
        <v>278</v>
      </c>
    </row>
    <row r="43" spans="2:8" x14ac:dyDescent="0.25">
      <c r="B43" s="172" t="s">
        <v>259</v>
      </c>
      <c r="C43" s="211" t="s">
        <v>261</v>
      </c>
      <c r="D43" s="176">
        <f>C35*0.47*9.8</f>
        <v>9580.48</v>
      </c>
      <c r="E43" s="176">
        <f>C35*0.47*9.8</f>
        <v>9580.48</v>
      </c>
      <c r="F43" s="176">
        <f>C35*0.47*9.8</f>
        <v>9580.48</v>
      </c>
      <c r="G43" s="206">
        <f>C35*0.47*9.8</f>
        <v>9580.48</v>
      </c>
      <c r="H43" s="212" t="s">
        <v>210</v>
      </c>
    </row>
    <row r="44" spans="2:8" x14ac:dyDescent="0.25">
      <c r="B44" s="175"/>
      <c r="C44" s="213" t="s">
        <v>262</v>
      </c>
      <c r="D44" s="153">
        <f>D39*D43</f>
        <v>8622.4320000000007</v>
      </c>
      <c r="E44" s="153">
        <f>E39*E43</f>
        <v>5748.2879999999996</v>
      </c>
      <c r="F44" s="153">
        <f t="shared" ref="F44:G44" si="3">F39*F43</f>
        <v>1916.096</v>
      </c>
      <c r="G44" s="207">
        <f t="shared" si="3"/>
        <v>958.048</v>
      </c>
      <c r="H44" s="214" t="s">
        <v>210</v>
      </c>
    </row>
    <row r="45" spans="2:8" s="6" customFormat="1" ht="32.25" customHeight="1" x14ac:dyDescent="0.25">
      <c r="B45" s="182"/>
      <c r="C45" s="215" t="s">
        <v>267</v>
      </c>
      <c r="D45" s="183">
        <f>C28*2</f>
        <v>3668.6857142857134</v>
      </c>
      <c r="E45" s="183">
        <f>D45</f>
        <v>3668.6857142857134</v>
      </c>
      <c r="F45" s="183">
        <f>E45</f>
        <v>3668.6857142857134</v>
      </c>
      <c r="G45" s="208">
        <f>F45</f>
        <v>3668.6857142857134</v>
      </c>
      <c r="H45" s="214" t="s">
        <v>210</v>
      </c>
    </row>
    <row r="46" spans="2:8" x14ac:dyDescent="0.25">
      <c r="B46" s="173"/>
      <c r="C46" s="216" t="s">
        <v>263</v>
      </c>
      <c r="D46" s="147">
        <f>C35*0.53*9.8</f>
        <v>10803.520000000002</v>
      </c>
      <c r="E46" s="147">
        <f>D46</f>
        <v>10803.520000000002</v>
      </c>
      <c r="F46" s="147">
        <f t="shared" ref="F46:G46" si="4">E46</f>
        <v>10803.520000000002</v>
      </c>
      <c r="G46" s="209">
        <f t="shared" si="4"/>
        <v>10803.520000000002</v>
      </c>
      <c r="H46" s="214" t="s">
        <v>210</v>
      </c>
    </row>
    <row r="47" spans="2:8" x14ac:dyDescent="0.25">
      <c r="B47" s="173"/>
      <c r="C47" s="213" t="s">
        <v>264</v>
      </c>
      <c r="D47" s="153">
        <f>D39*D46</f>
        <v>9723.1680000000015</v>
      </c>
      <c r="E47" s="153">
        <f t="shared" ref="E47:F47" si="5">E39*E46</f>
        <v>6482.112000000001</v>
      </c>
      <c r="F47" s="153">
        <f t="shared" si="5"/>
        <v>2160.7040000000006</v>
      </c>
      <c r="G47" s="207">
        <f>G39*G46</f>
        <v>1080.3520000000003</v>
      </c>
      <c r="H47" s="214" t="s">
        <v>210</v>
      </c>
    </row>
    <row r="48" spans="2:8" s="4" customFormat="1" x14ac:dyDescent="0.25">
      <c r="B48" s="180"/>
      <c r="C48" s="213" t="s">
        <v>265</v>
      </c>
      <c r="D48" s="181">
        <f>D47+IF(D45&lt;D44,D45,D44)</f>
        <v>13391.853714285715</v>
      </c>
      <c r="E48" s="181">
        <f t="shared" ref="E48" si="6">E47+IF(E45&lt;E44,E45,E44)</f>
        <v>10150.797714285714</v>
      </c>
      <c r="F48" s="181">
        <f>F47+IF(F45&lt;F44,F45,F44)</f>
        <v>4076.8000000000006</v>
      </c>
      <c r="G48" s="205">
        <f>G47+IF(G45&lt;G44,G45,G44)</f>
        <v>2038.4000000000003</v>
      </c>
      <c r="H48" s="214" t="s">
        <v>210</v>
      </c>
    </row>
    <row r="49" spans="2:8" ht="15.75" thickBot="1" x14ac:dyDescent="0.3">
      <c r="B49" s="175"/>
      <c r="C49" s="217" t="s">
        <v>246</v>
      </c>
      <c r="D49" s="218">
        <f>D48/$C$35</f>
        <v>6.4383912087912094</v>
      </c>
      <c r="E49" s="218">
        <f t="shared" ref="E49:G49" si="7">E48/$C$35</f>
        <v>4.8801912087912092</v>
      </c>
      <c r="F49" s="218">
        <f t="shared" si="7"/>
        <v>1.9600000000000004</v>
      </c>
      <c r="G49" s="219">
        <f t="shared" si="7"/>
        <v>0.9800000000000002</v>
      </c>
      <c r="H49" s="220" t="s">
        <v>278</v>
      </c>
    </row>
    <row r="50" spans="2:8" s="184" customFormat="1" ht="15.75" thickBot="1" x14ac:dyDescent="0.3">
      <c r="B50" s="186" t="s">
        <v>268</v>
      </c>
      <c r="C50" s="185"/>
      <c r="D50" s="210">
        <f>(D49/D42-1)*100</f>
        <v>37.731382552329798</v>
      </c>
      <c r="E50" s="210">
        <f t="shared" ref="E50:G50" si="8">(E49/E42-1)*100</f>
        <v>56.597073828494679</v>
      </c>
      <c r="F50" s="210">
        <f t="shared" si="8"/>
        <v>88.67924528301883</v>
      </c>
      <c r="G50" s="210">
        <f t="shared" si="8"/>
        <v>88.67924528301883</v>
      </c>
      <c r="H50" s="221" t="s">
        <v>279</v>
      </c>
    </row>
    <row r="51" spans="2:8" x14ac:dyDescent="0.25">
      <c r="B51" s="3" t="s">
        <v>317</v>
      </c>
    </row>
    <row r="52" spans="2:8" x14ac:dyDescent="0.25">
      <c r="B52"/>
    </row>
    <row r="53" spans="2:8" x14ac:dyDescent="0.25">
      <c r="B53"/>
    </row>
    <row r="54" spans="2:8" x14ac:dyDescent="0.25">
      <c r="B54"/>
    </row>
    <row r="55" spans="2:8" x14ac:dyDescent="0.25">
      <c r="B55"/>
    </row>
    <row r="56" spans="2:8" x14ac:dyDescent="0.25">
      <c r="B56"/>
    </row>
    <row r="57" spans="2:8" x14ac:dyDescent="0.25">
      <c r="B57"/>
    </row>
    <row r="58" spans="2:8" x14ac:dyDescent="0.25">
      <c r="B58"/>
    </row>
    <row r="59" spans="2:8" x14ac:dyDescent="0.25">
      <c r="B59"/>
    </row>
    <row r="60" spans="2:8" x14ac:dyDescent="0.25">
      <c r="B60"/>
    </row>
    <row r="61" spans="2:8" x14ac:dyDescent="0.25">
      <c r="B61"/>
    </row>
  </sheetData>
  <pageMargins left="0.7" right="0.7" top="0.75" bottom="0.75" header="0.3" footer="0.3"/>
  <pageSetup orientation="portrait" horizontalDpi="360" verticalDpi="36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803C0D-EE73-4D8E-B9C1-FA3F6DF393BA}">
  <sheetPr>
    <tabColor theme="8" tint="0.59999389629810485"/>
  </sheetPr>
  <dimension ref="A1:P35"/>
  <sheetViews>
    <sheetView topLeftCell="A7" workbookViewId="0">
      <selection activeCell="S17" sqref="S17"/>
    </sheetView>
  </sheetViews>
  <sheetFormatPr defaultRowHeight="15" x14ac:dyDescent="0.25"/>
  <cols>
    <col min="2" max="2" width="17.7109375" style="3" customWidth="1"/>
    <col min="3" max="8" width="13.5703125" customWidth="1"/>
    <col min="10" max="10" width="17.7109375" style="3" customWidth="1"/>
    <col min="11" max="16" width="13.5703125" customWidth="1"/>
  </cols>
  <sheetData>
    <row r="1" spans="1:16" s="36" customFormat="1" ht="18.75" x14ac:dyDescent="0.3">
      <c r="A1" s="36" t="s">
        <v>301</v>
      </c>
      <c r="B1" s="106"/>
      <c r="I1" s="134"/>
      <c r="J1" s="106"/>
    </row>
    <row r="2" spans="1:16" s="36" customFormat="1" ht="19.5" thickBot="1" x14ac:dyDescent="0.35">
      <c r="B2" s="106"/>
      <c r="I2" s="134"/>
      <c r="J2" s="106"/>
    </row>
    <row r="3" spans="1:16" s="134" customFormat="1" ht="30.75" thickBot="1" x14ac:dyDescent="0.3">
      <c r="A3" s="135" t="s">
        <v>183</v>
      </c>
      <c r="D3" s="309" t="s">
        <v>228</v>
      </c>
      <c r="E3" s="266" t="s">
        <v>282</v>
      </c>
      <c r="F3" s="168">
        <v>2080</v>
      </c>
      <c r="G3" s="266" t="s">
        <v>233</v>
      </c>
      <c r="L3" s="309" t="s">
        <v>228</v>
      </c>
      <c r="M3" s="266" t="s">
        <v>282</v>
      </c>
      <c r="N3" s="168">
        <v>2080</v>
      </c>
      <c r="O3" s="266" t="s">
        <v>233</v>
      </c>
    </row>
    <row r="4" spans="1:16" s="134" customFormat="1" x14ac:dyDescent="0.25">
      <c r="A4" s="136"/>
      <c r="B4" s="135" t="s">
        <v>280</v>
      </c>
      <c r="I4" s="136"/>
    </row>
    <row r="5" spans="1:16" s="134" customFormat="1" x14ac:dyDescent="0.25">
      <c r="A5" s="136"/>
      <c r="B5" s="135" t="s">
        <v>281</v>
      </c>
      <c r="I5" s="136"/>
    </row>
    <row r="6" spans="1:16" s="112" customFormat="1" x14ac:dyDescent="0.25">
      <c r="C6" s="112" t="s">
        <v>185</v>
      </c>
      <c r="J6" s="134"/>
      <c r="K6" s="134"/>
    </row>
    <row r="7" spans="1:16" x14ac:dyDescent="0.25">
      <c r="A7" s="3"/>
      <c r="B7"/>
      <c r="D7" s="111"/>
      <c r="G7" s="115"/>
      <c r="I7" s="3"/>
      <c r="J7"/>
      <c r="L7" s="111"/>
      <c r="O7" s="115"/>
    </row>
    <row r="8" spans="1:16" ht="15.75" thickBot="1" x14ac:dyDescent="0.3">
      <c r="B8" s="170" t="s">
        <v>309</v>
      </c>
      <c r="J8" s="170" t="s">
        <v>309</v>
      </c>
    </row>
    <row r="9" spans="1:16" s="319" customFormat="1" ht="30" x14ac:dyDescent="0.25">
      <c r="B9" s="320" t="s">
        <v>244</v>
      </c>
      <c r="C9" s="321"/>
      <c r="D9" s="313" t="s">
        <v>248</v>
      </c>
      <c r="E9" s="313" t="s">
        <v>250</v>
      </c>
      <c r="F9" s="313" t="s">
        <v>249</v>
      </c>
      <c r="G9" s="314" t="s">
        <v>245</v>
      </c>
      <c r="H9" s="322" t="s">
        <v>218</v>
      </c>
      <c r="J9" s="320" t="s">
        <v>244</v>
      </c>
      <c r="K9" s="321"/>
      <c r="L9" s="313" t="s">
        <v>248</v>
      </c>
      <c r="M9" s="313" t="s">
        <v>250</v>
      </c>
      <c r="N9" s="313" t="s">
        <v>249</v>
      </c>
      <c r="O9" s="314" t="s">
        <v>245</v>
      </c>
      <c r="P9" s="322" t="s">
        <v>218</v>
      </c>
    </row>
    <row r="10" spans="1:16" s="323" customFormat="1" ht="30.75" thickBot="1" x14ac:dyDescent="0.3">
      <c r="B10" s="324"/>
      <c r="C10" s="325" t="s">
        <v>251</v>
      </c>
      <c r="D10" s="326">
        <v>0.9</v>
      </c>
      <c r="E10" s="326">
        <v>0.6</v>
      </c>
      <c r="F10" s="326">
        <v>0.2</v>
      </c>
      <c r="G10" s="327">
        <v>0.1</v>
      </c>
      <c r="H10" s="328" t="s">
        <v>277</v>
      </c>
      <c r="J10" s="324"/>
      <c r="K10" s="325" t="s">
        <v>251</v>
      </c>
      <c r="L10" s="326">
        <v>0.9</v>
      </c>
      <c r="M10" s="326">
        <v>0.6</v>
      </c>
      <c r="N10" s="326">
        <v>0.2</v>
      </c>
      <c r="O10" s="327">
        <v>0.1</v>
      </c>
      <c r="P10" s="328" t="s">
        <v>277</v>
      </c>
    </row>
    <row r="11" spans="1:16" s="323" customFormat="1" x14ac:dyDescent="0.25">
      <c r="B11" s="329" t="s">
        <v>259</v>
      </c>
      <c r="C11" s="330" t="s">
        <v>261</v>
      </c>
      <c r="D11" s="331">
        <v>9580.48</v>
      </c>
      <c r="E11" s="331">
        <v>9580.48</v>
      </c>
      <c r="F11" s="331">
        <v>9580.48</v>
      </c>
      <c r="G11" s="332">
        <v>9580.48</v>
      </c>
      <c r="H11" s="333" t="s">
        <v>210</v>
      </c>
      <c r="J11" s="329" t="s">
        <v>259</v>
      </c>
      <c r="K11" s="330" t="s">
        <v>261</v>
      </c>
      <c r="L11" s="331">
        <v>9580.48</v>
      </c>
      <c r="M11" s="331">
        <v>9580.48</v>
      </c>
      <c r="N11" s="331">
        <v>9580.48</v>
      </c>
      <c r="O11" s="332">
        <v>9580.48</v>
      </c>
      <c r="P11" s="333" t="s">
        <v>210</v>
      </c>
    </row>
    <row r="12" spans="1:16" s="323" customFormat="1" x14ac:dyDescent="0.25">
      <c r="B12" s="334"/>
      <c r="C12" s="335" t="s">
        <v>262</v>
      </c>
      <c r="D12" s="336">
        <v>8622.4320000000007</v>
      </c>
      <c r="E12" s="336">
        <v>5748.2879999999996</v>
      </c>
      <c r="F12" s="336">
        <v>1916.096</v>
      </c>
      <c r="G12" s="337">
        <v>958.048</v>
      </c>
      <c r="H12" s="338" t="s">
        <v>210</v>
      </c>
      <c r="J12" s="334"/>
      <c r="K12" s="335" t="s">
        <v>262</v>
      </c>
      <c r="L12" s="336">
        <v>8622.4320000000007</v>
      </c>
      <c r="M12" s="336">
        <v>5748.2879999999996</v>
      </c>
      <c r="N12" s="336">
        <v>1916.096</v>
      </c>
      <c r="O12" s="337">
        <v>958.048</v>
      </c>
      <c r="P12" s="338" t="s">
        <v>210</v>
      </c>
    </row>
    <row r="13" spans="1:16" s="323" customFormat="1" ht="32.25" customHeight="1" x14ac:dyDescent="0.25">
      <c r="B13" s="334"/>
      <c r="C13" s="339" t="s">
        <v>267</v>
      </c>
      <c r="D13" s="336">
        <v>3668.6857142857134</v>
      </c>
      <c r="E13" s="336">
        <v>3668.6857142857134</v>
      </c>
      <c r="F13" s="336">
        <v>3668.6857142857134</v>
      </c>
      <c r="G13" s="337">
        <v>3668.6857142857134</v>
      </c>
      <c r="H13" s="338" t="s">
        <v>210</v>
      </c>
      <c r="J13" s="334"/>
      <c r="K13" s="339" t="s">
        <v>267</v>
      </c>
      <c r="L13" s="336">
        <v>3668.6857142857134</v>
      </c>
      <c r="M13" s="336">
        <v>3668.6857142857134</v>
      </c>
      <c r="N13" s="336">
        <v>3668.6857142857134</v>
      </c>
      <c r="O13" s="337">
        <v>3668.6857142857134</v>
      </c>
      <c r="P13" s="338" t="s">
        <v>210</v>
      </c>
    </row>
    <row r="14" spans="1:16" s="323" customFormat="1" x14ac:dyDescent="0.25">
      <c r="B14" s="340"/>
      <c r="C14" s="335" t="s">
        <v>263</v>
      </c>
      <c r="D14" s="336">
        <v>10803.520000000002</v>
      </c>
      <c r="E14" s="336">
        <v>10803.520000000002</v>
      </c>
      <c r="F14" s="336">
        <v>10803.520000000002</v>
      </c>
      <c r="G14" s="337">
        <v>10803.520000000002</v>
      </c>
      <c r="H14" s="338" t="s">
        <v>210</v>
      </c>
      <c r="J14" s="340"/>
      <c r="K14" s="335" t="s">
        <v>263</v>
      </c>
      <c r="L14" s="336">
        <v>10803.520000000002</v>
      </c>
      <c r="M14" s="336">
        <v>10803.520000000002</v>
      </c>
      <c r="N14" s="336">
        <v>10803.520000000002</v>
      </c>
      <c r="O14" s="337">
        <v>10803.520000000002</v>
      </c>
      <c r="P14" s="338" t="s">
        <v>210</v>
      </c>
    </row>
    <row r="15" spans="1:16" s="323" customFormat="1" x14ac:dyDescent="0.25">
      <c r="B15" s="340"/>
      <c r="C15" s="335" t="s">
        <v>264</v>
      </c>
      <c r="D15" s="336">
        <v>9723.1680000000015</v>
      </c>
      <c r="E15" s="336">
        <v>6482.112000000001</v>
      </c>
      <c r="F15" s="336">
        <v>2160.7040000000006</v>
      </c>
      <c r="G15" s="337">
        <v>1080.3520000000003</v>
      </c>
      <c r="H15" s="338" t="s">
        <v>210</v>
      </c>
      <c r="J15" s="340"/>
      <c r="K15" s="335" t="s">
        <v>264</v>
      </c>
      <c r="L15" s="336">
        <v>9723.1680000000015</v>
      </c>
      <c r="M15" s="336">
        <v>6482.112000000001</v>
      </c>
      <c r="N15" s="336">
        <v>2160.7040000000006</v>
      </c>
      <c r="O15" s="337">
        <v>1080.3520000000003</v>
      </c>
      <c r="P15" s="338" t="s">
        <v>210</v>
      </c>
    </row>
    <row r="16" spans="1:16" s="323" customFormat="1" x14ac:dyDescent="0.25">
      <c r="B16" s="334"/>
      <c r="C16" s="335" t="s">
        <v>265</v>
      </c>
      <c r="D16" s="336">
        <v>13391.853714285715</v>
      </c>
      <c r="E16" s="336">
        <v>10150.797714285714</v>
      </c>
      <c r="F16" s="336">
        <v>4076.8000000000006</v>
      </c>
      <c r="G16" s="337">
        <v>2038.4000000000003</v>
      </c>
      <c r="H16" s="338" t="s">
        <v>210</v>
      </c>
      <c r="J16" s="334"/>
      <c r="K16" s="335" t="s">
        <v>265</v>
      </c>
      <c r="L16" s="336">
        <v>13391.853714285715</v>
      </c>
      <c r="M16" s="336">
        <v>10150.797714285714</v>
      </c>
      <c r="N16" s="336">
        <v>4076.8000000000006</v>
      </c>
      <c r="O16" s="337">
        <v>2038.4000000000003</v>
      </c>
      <c r="P16" s="338" t="s">
        <v>210</v>
      </c>
    </row>
    <row r="17" spans="1:16" s="323" customFormat="1" ht="15.75" thickBot="1" x14ac:dyDescent="0.3">
      <c r="B17" s="334"/>
      <c r="C17" s="341" t="s">
        <v>246</v>
      </c>
      <c r="D17" s="342">
        <v>6.4383912087912094</v>
      </c>
      <c r="E17" s="342">
        <v>4.8801912087912092</v>
      </c>
      <c r="F17" s="342">
        <v>1.9600000000000004</v>
      </c>
      <c r="G17" s="343">
        <v>0.9800000000000002</v>
      </c>
      <c r="H17" s="328" t="s">
        <v>278</v>
      </c>
      <c r="J17" s="334"/>
      <c r="K17" s="341" t="s">
        <v>246</v>
      </c>
      <c r="L17" s="342">
        <v>6.4383912087912094</v>
      </c>
      <c r="M17" s="342">
        <v>4.8801912087912092</v>
      </c>
      <c r="N17" s="342">
        <v>1.9600000000000004</v>
      </c>
      <c r="O17" s="343">
        <v>0.9800000000000002</v>
      </c>
      <c r="P17" s="328" t="s">
        <v>278</v>
      </c>
    </row>
    <row r="18" spans="1:16" s="315" customFormat="1" ht="15.75" thickBot="1" x14ac:dyDescent="0.3">
      <c r="B18" s="316" t="s">
        <v>268</v>
      </c>
      <c r="C18" s="317"/>
      <c r="D18" s="318">
        <v>37.731382552329798</v>
      </c>
      <c r="E18" s="318">
        <v>56.597073828494679</v>
      </c>
      <c r="F18" s="318">
        <v>88.67924528301883</v>
      </c>
      <c r="G18" s="318">
        <v>88.67924528301883</v>
      </c>
      <c r="H18" s="344" t="s">
        <v>279</v>
      </c>
      <c r="J18" s="316" t="s">
        <v>268</v>
      </c>
      <c r="K18" s="317"/>
      <c r="L18" s="318">
        <v>37.731382552329798</v>
      </c>
      <c r="M18" s="318">
        <v>56.597073828494679</v>
      </c>
      <c r="N18" s="318">
        <v>88.67924528301883</v>
      </c>
      <c r="O18" s="318">
        <v>88.67924528301883</v>
      </c>
      <c r="P18" s="344" t="s">
        <v>279</v>
      </c>
    </row>
    <row r="19" spans="1:16" x14ac:dyDescent="0.25">
      <c r="A19" s="3"/>
      <c r="B19"/>
      <c r="D19" s="111"/>
      <c r="G19" s="115"/>
      <c r="I19" s="3"/>
      <c r="J19"/>
      <c r="L19" s="111"/>
      <c r="O19" s="115"/>
    </row>
    <row r="20" spans="1:16" s="5" customFormat="1" x14ac:dyDescent="0.25">
      <c r="A20" s="311"/>
      <c r="B20" s="5" t="s">
        <v>324</v>
      </c>
      <c r="C20" s="5" t="s">
        <v>323</v>
      </c>
      <c r="I20" s="311"/>
      <c r="J20" s="5" t="s">
        <v>324</v>
      </c>
      <c r="K20" s="5" t="s">
        <v>323</v>
      </c>
    </row>
    <row r="21" spans="1:16" s="5" customFormat="1" x14ac:dyDescent="0.25">
      <c r="A21" s="154"/>
      <c r="B21" s="5" t="s">
        <v>322</v>
      </c>
      <c r="C21" s="5" t="s">
        <v>327</v>
      </c>
      <c r="I21" s="154"/>
      <c r="J21" s="5" t="s">
        <v>322</v>
      </c>
      <c r="K21" s="5" t="s">
        <v>327</v>
      </c>
    </row>
    <row r="22" spans="1:16" s="5" customFormat="1" ht="15.75" thickBot="1" x14ac:dyDescent="0.3">
      <c r="A22" s="311"/>
      <c r="B22" s="5" t="s">
        <v>325</v>
      </c>
      <c r="C22" s="5" t="s">
        <v>326</v>
      </c>
      <c r="I22" s="311"/>
      <c r="J22" s="5" t="s">
        <v>325</v>
      </c>
      <c r="K22" s="5" t="s">
        <v>326</v>
      </c>
    </row>
    <row r="23" spans="1:16" s="6" customFormat="1" ht="15.75" thickBot="1" x14ac:dyDescent="0.3">
      <c r="A23" s="119"/>
      <c r="B23" s="302" t="s">
        <v>251</v>
      </c>
      <c r="C23" s="307">
        <f>D10</f>
        <v>0.9</v>
      </c>
      <c r="D23" s="304" t="s">
        <v>311</v>
      </c>
      <c r="E23" s="303">
        <v>1.776</v>
      </c>
      <c r="F23" s="304" t="s">
        <v>312</v>
      </c>
      <c r="G23" s="303">
        <v>1.6759999999999999</v>
      </c>
      <c r="H23" s="305"/>
      <c r="I23" s="119"/>
      <c r="J23" s="302" t="s">
        <v>251</v>
      </c>
      <c r="K23" s="307">
        <f>L10</f>
        <v>0.9</v>
      </c>
      <c r="L23" s="304" t="s">
        <v>311</v>
      </c>
      <c r="M23" s="303">
        <v>1.776</v>
      </c>
      <c r="N23" s="304" t="s">
        <v>312</v>
      </c>
      <c r="O23" s="303">
        <v>1.6759999999999999</v>
      </c>
      <c r="P23" s="305"/>
    </row>
    <row r="24" spans="1:16" s="6" customFormat="1" ht="15.75" thickBot="1" x14ac:dyDescent="0.3">
      <c r="A24" s="119"/>
      <c r="B24" s="350" t="s">
        <v>328</v>
      </c>
      <c r="C24" s="239">
        <v>1.9530000000000001</v>
      </c>
      <c r="D24" s="310" t="s">
        <v>320</v>
      </c>
      <c r="E24" s="351">
        <f>E23/2</f>
        <v>0.88800000000000001</v>
      </c>
      <c r="F24" s="310" t="s">
        <v>321</v>
      </c>
      <c r="G24" s="259">
        <f>G23/2</f>
        <v>0.83799999999999997</v>
      </c>
      <c r="H24" s="306"/>
      <c r="I24" s="119"/>
      <c r="J24" s="350" t="s">
        <v>328</v>
      </c>
      <c r="K24" s="239">
        <v>1.9530000000000001</v>
      </c>
      <c r="L24" s="310" t="s">
        <v>320</v>
      </c>
      <c r="M24" s="351">
        <f>M23/2</f>
        <v>0.88800000000000001</v>
      </c>
      <c r="N24" s="310" t="s">
        <v>321</v>
      </c>
      <c r="O24" s="257">
        <f>O23/2</f>
        <v>0.83799999999999997</v>
      </c>
      <c r="P24" s="306"/>
    </row>
    <row r="25" spans="1:16" ht="15.75" thickBot="1" x14ac:dyDescent="0.3">
      <c r="B25" s="352" t="s">
        <v>310</v>
      </c>
      <c r="C25" s="353"/>
      <c r="D25" s="354" t="s">
        <v>313</v>
      </c>
      <c r="E25" s="359">
        <v>0.6</v>
      </c>
      <c r="F25" s="355" t="s">
        <v>314</v>
      </c>
      <c r="G25" s="359">
        <v>0.4</v>
      </c>
      <c r="H25" s="356"/>
      <c r="J25" s="352" t="s">
        <v>310</v>
      </c>
      <c r="K25" s="353"/>
      <c r="L25" s="354" t="s">
        <v>313</v>
      </c>
      <c r="M25" s="359">
        <v>0.35</v>
      </c>
      <c r="N25" s="355" t="s">
        <v>314</v>
      </c>
      <c r="O25" s="359">
        <v>0.65</v>
      </c>
      <c r="P25" s="356"/>
    </row>
    <row r="26" spans="1:16" x14ac:dyDescent="0.25">
      <c r="B26" s="140"/>
      <c r="C26" s="141" t="s">
        <v>204</v>
      </c>
      <c r="D26" s="141" t="s">
        <v>205</v>
      </c>
      <c r="E26" s="141" t="s">
        <v>206</v>
      </c>
      <c r="F26" s="141" t="s">
        <v>207</v>
      </c>
      <c r="G26" s="366" t="s">
        <v>208</v>
      </c>
      <c r="H26" s="360" t="s">
        <v>218</v>
      </c>
      <c r="J26" s="140"/>
      <c r="K26" s="141" t="s">
        <v>204</v>
      </c>
      <c r="L26" s="141" t="s">
        <v>205</v>
      </c>
      <c r="M26" s="141" t="s">
        <v>206</v>
      </c>
      <c r="N26" s="141" t="s">
        <v>207</v>
      </c>
      <c r="O26" s="141" t="s">
        <v>208</v>
      </c>
      <c r="P26" s="232" t="s">
        <v>218</v>
      </c>
    </row>
    <row r="27" spans="1:16" s="312" customFormat="1" ht="30" x14ac:dyDescent="0.25">
      <c r="B27" s="345" t="s">
        <v>319</v>
      </c>
      <c r="C27" s="346">
        <f>IF(D13&lt;D12,D13,D12)/2</f>
        <v>1834.3428571428567</v>
      </c>
      <c r="D27" s="346">
        <f>C27</f>
        <v>1834.3428571428567</v>
      </c>
      <c r="E27" s="346">
        <f>D15/2</f>
        <v>4861.5840000000007</v>
      </c>
      <c r="F27" s="346">
        <f>E27</f>
        <v>4861.5840000000007</v>
      </c>
      <c r="G27" s="367">
        <f>SUM(C27:F27)</f>
        <v>13391.853714285715</v>
      </c>
      <c r="H27" s="361" t="s">
        <v>210</v>
      </c>
      <c r="J27" s="345" t="s">
        <v>319</v>
      </c>
      <c r="K27" s="346">
        <f>IF(L13&lt;L12,L13,L12)/2</f>
        <v>1834.3428571428567</v>
      </c>
      <c r="L27" s="346">
        <f>K27</f>
        <v>1834.3428571428567</v>
      </c>
      <c r="M27" s="346">
        <f>L15/2</f>
        <v>4861.5840000000007</v>
      </c>
      <c r="N27" s="346">
        <f>M27</f>
        <v>4861.5840000000007</v>
      </c>
      <c r="O27" s="346">
        <f>SUM(K27:N27)</f>
        <v>13391.853714285715</v>
      </c>
      <c r="P27" s="347" t="s">
        <v>210</v>
      </c>
    </row>
    <row r="28" spans="1:16" s="60" customFormat="1" ht="30" customHeight="1" x14ac:dyDescent="0.25">
      <c r="B28" s="345" t="s">
        <v>315</v>
      </c>
      <c r="C28" s="348">
        <f>C27*2*E25</f>
        <v>2201.2114285714279</v>
      </c>
      <c r="D28" s="348">
        <f>D27*2*G25</f>
        <v>1467.4742857142855</v>
      </c>
      <c r="E28" s="348">
        <f>E27*2*E25</f>
        <v>5833.9008000000003</v>
      </c>
      <c r="F28" s="348">
        <f>F27*2*G25</f>
        <v>3889.2672000000007</v>
      </c>
      <c r="G28" s="368">
        <f>SUM(C28:F28)</f>
        <v>13391.853714285715</v>
      </c>
      <c r="H28" s="361" t="s">
        <v>210</v>
      </c>
      <c r="J28" s="345" t="s">
        <v>315</v>
      </c>
      <c r="K28" s="348">
        <f>K27*2*M25</f>
        <v>1284.0399999999995</v>
      </c>
      <c r="L28" s="348">
        <f>L27*2*O25</f>
        <v>2384.6457142857139</v>
      </c>
      <c r="M28" s="348">
        <f>M27*2*M25</f>
        <v>3403.1088000000004</v>
      </c>
      <c r="N28" s="348">
        <f>N27*2*O25</f>
        <v>6320.0592000000015</v>
      </c>
      <c r="O28" s="349">
        <f>SUM(K28:N28)</f>
        <v>13391.853714285715</v>
      </c>
      <c r="P28" s="347" t="s">
        <v>210</v>
      </c>
    </row>
    <row r="29" spans="1:16" s="4" customFormat="1" ht="30" x14ac:dyDescent="0.25">
      <c r="A29" s="226" t="s">
        <v>229</v>
      </c>
      <c r="B29" s="290" t="s">
        <v>316</v>
      </c>
      <c r="C29" s="295">
        <f>C28*0.94</f>
        <v>2069.138742857142</v>
      </c>
      <c r="D29" s="295">
        <f>D28*0.94</f>
        <v>1379.4258285714284</v>
      </c>
      <c r="E29" s="295">
        <f>E28</f>
        <v>5833.9008000000003</v>
      </c>
      <c r="F29" s="295">
        <f>F28</f>
        <v>3889.2672000000007</v>
      </c>
      <c r="G29" s="369">
        <f>SUM(C29:F29)</f>
        <v>13171.732571428571</v>
      </c>
      <c r="H29" s="362" t="s">
        <v>210</v>
      </c>
      <c r="I29" s="226" t="s">
        <v>229</v>
      </c>
      <c r="J29" s="290" t="s">
        <v>316</v>
      </c>
      <c r="K29" s="295">
        <f>K28*0.94</f>
        <v>1206.9975999999995</v>
      </c>
      <c r="L29" s="295">
        <f>L28*0.94</f>
        <v>2241.5669714285709</v>
      </c>
      <c r="M29" s="295">
        <f>M28</f>
        <v>3403.1088000000004</v>
      </c>
      <c r="N29" s="295">
        <f>N28</f>
        <v>6320.0592000000015</v>
      </c>
      <c r="O29" s="295">
        <f>SUM(K29:N29)</f>
        <v>13171.732571428573</v>
      </c>
      <c r="P29" s="233" t="s">
        <v>210</v>
      </c>
    </row>
    <row r="30" spans="1:16" s="4" customFormat="1" ht="15.75" thickBot="1" x14ac:dyDescent="0.3">
      <c r="A30" s="226"/>
      <c r="B30" s="289" t="s">
        <v>329</v>
      </c>
      <c r="C30" s="476">
        <f>F3*0.47*POWER(C24/2,2)/2</f>
        <v>466.09633980000001</v>
      </c>
      <c r="D30" s="477"/>
      <c r="E30" s="476">
        <f>F3*0.53*POWER(C24/2,2)/2</f>
        <v>525.59800020000012</v>
      </c>
      <c r="F30" s="477"/>
      <c r="G30" s="370">
        <f>C30+E30</f>
        <v>991.69434000000012</v>
      </c>
      <c r="H30" s="363"/>
      <c r="I30" s="226"/>
      <c r="J30" s="289" t="s">
        <v>329</v>
      </c>
      <c r="K30" s="476">
        <f>N3*0.47*POWER(K24/2,2)/2</f>
        <v>466.09633980000001</v>
      </c>
      <c r="L30" s="477"/>
      <c r="M30" s="476">
        <f>N3*0.53*POWER(K24/2,2)/2</f>
        <v>525.59800020000012</v>
      </c>
      <c r="N30" s="477"/>
      <c r="O30" s="288">
        <f>K30+M30</f>
        <v>991.69434000000012</v>
      </c>
      <c r="P30" s="291"/>
    </row>
    <row r="31" spans="1:16" s="4" customFormat="1" ht="15.75" thickBot="1" x14ac:dyDescent="0.3">
      <c r="A31" s="226"/>
      <c r="B31" s="297" t="s">
        <v>307</v>
      </c>
      <c r="C31" s="478">
        <f>ABS(C29-D29)*(E24)/C30</f>
        <v>1.314031060935857</v>
      </c>
      <c r="D31" s="479"/>
      <c r="E31" s="478">
        <f>ABS(E29-F29)*(G24)/E30</f>
        <v>3.1004740432419919</v>
      </c>
      <c r="F31" s="479"/>
      <c r="G31" s="371">
        <f>C31+E31</f>
        <v>4.4145051041778487</v>
      </c>
      <c r="H31" s="363"/>
      <c r="I31" s="226"/>
      <c r="J31" s="297" t="s">
        <v>307</v>
      </c>
      <c r="K31" s="478">
        <f>ABS(K29-L29)*(M24)/K30</f>
        <v>1.9710465914037874</v>
      </c>
      <c r="L31" s="479"/>
      <c r="M31" s="478">
        <f>ABS(M29-N29)*(O24)/M30</f>
        <v>4.6507110648629908</v>
      </c>
      <c r="N31" s="479"/>
      <c r="O31" s="358">
        <f>K31+M31</f>
        <v>6.6217576562667784</v>
      </c>
      <c r="P31" s="291"/>
    </row>
    <row r="32" spans="1:16" s="112" customFormat="1" ht="30" x14ac:dyDescent="0.25">
      <c r="A32" s="227" t="s">
        <v>230</v>
      </c>
      <c r="B32" s="296" t="s">
        <v>318</v>
      </c>
      <c r="C32" s="298">
        <f>C29*0.85</f>
        <v>1758.7679314285706</v>
      </c>
      <c r="D32" s="298">
        <f>D29*0.85</f>
        <v>1172.5119542857142</v>
      </c>
      <c r="E32" s="298">
        <f>E29*0.85</f>
        <v>4958.8156800000006</v>
      </c>
      <c r="F32" s="298">
        <f>F29*0.85</f>
        <v>3305.8771200000006</v>
      </c>
      <c r="G32" s="372">
        <f t="shared" ref="G32" si="0">SUM(C32:F32)</f>
        <v>11195.972685714287</v>
      </c>
      <c r="H32" s="364" t="s">
        <v>210</v>
      </c>
      <c r="I32" s="227" t="s">
        <v>230</v>
      </c>
      <c r="J32" s="296" t="s">
        <v>318</v>
      </c>
      <c r="K32" s="298">
        <f>K29*0.85</f>
        <v>1025.9479599999995</v>
      </c>
      <c r="L32" s="298">
        <f>L29*0.85</f>
        <v>1905.3319257142853</v>
      </c>
      <c r="M32" s="298">
        <f>M29*0.85</f>
        <v>2892.6424800000004</v>
      </c>
      <c r="N32" s="298">
        <f>N29*0.85</f>
        <v>5372.0503200000012</v>
      </c>
      <c r="O32" s="308">
        <f t="shared" ref="O32" si="1">SUM(K32:N32)</f>
        <v>11195.972685714285</v>
      </c>
      <c r="P32" s="214" t="s">
        <v>210</v>
      </c>
    </row>
    <row r="33" spans="1:16" s="112" customFormat="1" ht="15.75" thickBot="1" x14ac:dyDescent="0.3">
      <c r="A33" s="227"/>
      <c r="B33" s="299" t="s">
        <v>329</v>
      </c>
      <c r="C33" s="480">
        <f>F3*0.47*POWER(C24/2,2)/2</f>
        <v>466.09633980000001</v>
      </c>
      <c r="D33" s="480"/>
      <c r="E33" s="480">
        <f>F3*0.53*POWER(C24/2,2)/2</f>
        <v>525.59800020000012</v>
      </c>
      <c r="F33" s="480"/>
      <c r="G33" s="373">
        <f>C33+E33</f>
        <v>991.69434000000012</v>
      </c>
      <c r="H33" s="363"/>
      <c r="I33" s="227"/>
      <c r="J33" s="299" t="s">
        <v>329</v>
      </c>
      <c r="K33" s="480">
        <f>N3*0.47*POWER(K24/2,2)/2</f>
        <v>466.09633980000001</v>
      </c>
      <c r="L33" s="480"/>
      <c r="M33" s="480">
        <f>N3*0.53*POWER(K24/2,2)/2</f>
        <v>525.59800020000012</v>
      </c>
      <c r="N33" s="480"/>
      <c r="O33" s="287">
        <f>K33+M33</f>
        <v>991.69434000000012</v>
      </c>
      <c r="P33" s="291"/>
    </row>
    <row r="34" spans="1:16" s="112" customFormat="1" ht="15.75" thickBot="1" x14ac:dyDescent="0.3">
      <c r="A34" s="227"/>
      <c r="B34" s="300" t="s">
        <v>307</v>
      </c>
      <c r="C34" s="481">
        <f>ABS(C32-D32)*(E24)/C33</f>
        <v>1.1169264017954781</v>
      </c>
      <c r="D34" s="482"/>
      <c r="E34" s="481">
        <f>ABS(E32-F32)*(G24)/E33</f>
        <v>2.6354029367556935</v>
      </c>
      <c r="F34" s="482"/>
      <c r="G34" s="374">
        <f>C34+E34</f>
        <v>3.7523293385511716</v>
      </c>
      <c r="H34" s="365"/>
      <c r="I34" s="227"/>
      <c r="J34" s="300" t="s">
        <v>307</v>
      </c>
      <c r="K34" s="481">
        <f>ABS(K32-L32)*(M24)/K33</f>
        <v>1.6753896026932193</v>
      </c>
      <c r="L34" s="482"/>
      <c r="M34" s="481">
        <f>ABS(M32-N32)*(O24)/M33</f>
        <v>3.9531044051335416</v>
      </c>
      <c r="N34" s="482"/>
      <c r="O34" s="357">
        <f>K34+M34</f>
        <v>5.6284940078267613</v>
      </c>
      <c r="P34" s="301"/>
    </row>
    <row r="35" spans="1:16" s="112" customFormat="1" x14ac:dyDescent="0.25">
      <c r="A35" s="227"/>
      <c r="B35" s="292"/>
      <c r="C35" s="293"/>
      <c r="D35" s="293"/>
      <c r="E35" s="293"/>
      <c r="F35" s="293"/>
      <c r="G35"/>
      <c r="H35" s="294"/>
      <c r="I35" s="227"/>
      <c r="J35" s="292"/>
      <c r="K35" s="293"/>
      <c r="L35" s="293"/>
      <c r="M35" s="293"/>
      <c r="N35" s="293"/>
      <c r="O35"/>
      <c r="P35" s="294"/>
    </row>
  </sheetData>
  <mergeCells count="16">
    <mergeCell ref="E30:F30"/>
    <mergeCell ref="E31:F31"/>
    <mergeCell ref="C31:D31"/>
    <mergeCell ref="C30:D30"/>
    <mergeCell ref="K34:L34"/>
    <mergeCell ref="K30:L30"/>
    <mergeCell ref="M34:N34"/>
    <mergeCell ref="C33:D33"/>
    <mergeCell ref="E33:F33"/>
    <mergeCell ref="C34:D34"/>
    <mergeCell ref="E34:F34"/>
    <mergeCell ref="M30:N30"/>
    <mergeCell ref="K31:L31"/>
    <mergeCell ref="M31:N31"/>
    <mergeCell ref="K33:L33"/>
    <mergeCell ref="M33:N33"/>
  </mergeCells>
  <pageMargins left="0.7" right="0.7" top="0.75" bottom="0.75" header="0.3" footer="0.3"/>
  <pageSetup orientation="portrait" horizontalDpi="360" verticalDpi="36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472307-F481-4102-80BB-5D13A69D2E51}">
  <sheetPr>
    <tabColor theme="9" tint="0.79998168889431442"/>
  </sheetPr>
  <dimension ref="A1:L43"/>
  <sheetViews>
    <sheetView topLeftCell="B1" workbookViewId="0">
      <selection activeCell="A2" sqref="A2:XFD2"/>
    </sheetView>
  </sheetViews>
  <sheetFormatPr defaultRowHeight="15" x14ac:dyDescent="0.25"/>
  <cols>
    <col min="2" max="2" width="17.7109375" style="3" customWidth="1"/>
    <col min="3" max="11" width="13.5703125" customWidth="1"/>
    <col min="12" max="12" width="14.140625" customWidth="1"/>
  </cols>
  <sheetData>
    <row r="1" spans="1:11" s="36" customFormat="1" ht="18.75" x14ac:dyDescent="0.3">
      <c r="A1" s="36" t="s">
        <v>308</v>
      </c>
      <c r="B1" s="106"/>
    </row>
    <row r="2" spans="1:11" s="36" customFormat="1" ht="18.75" x14ac:dyDescent="0.3">
      <c r="B2" s="106"/>
    </row>
    <row r="3" spans="1:11" s="134" customFormat="1" x14ac:dyDescent="0.25">
      <c r="A3" s="135" t="s">
        <v>183</v>
      </c>
    </row>
    <row r="4" spans="1:11" s="134" customFormat="1" x14ac:dyDescent="0.25">
      <c r="A4" s="136"/>
      <c r="B4" s="135" t="s">
        <v>280</v>
      </c>
    </row>
    <row r="5" spans="1:11" s="134" customFormat="1" x14ac:dyDescent="0.25">
      <c r="A5" s="136"/>
      <c r="B5" s="135" t="s">
        <v>281</v>
      </c>
    </row>
    <row r="6" spans="1:11" s="112" customFormat="1" ht="15.75" thickBot="1" x14ac:dyDescent="0.3">
      <c r="C6" s="112" t="s">
        <v>185</v>
      </c>
    </row>
    <row r="7" spans="1:11" ht="15.75" thickBot="1" x14ac:dyDescent="0.3">
      <c r="A7" s="110" t="s">
        <v>184</v>
      </c>
      <c r="B7"/>
      <c r="C7" s="144">
        <v>683</v>
      </c>
      <c r="D7" t="s">
        <v>202</v>
      </c>
      <c r="E7" s="144">
        <v>486</v>
      </c>
      <c r="F7" t="s">
        <v>203</v>
      </c>
      <c r="G7" s="111" t="s">
        <v>196</v>
      </c>
      <c r="H7" s="120">
        <v>8000</v>
      </c>
    </row>
    <row r="8" spans="1:11" x14ac:dyDescent="0.25">
      <c r="A8" s="3"/>
      <c r="B8" t="s">
        <v>289</v>
      </c>
      <c r="D8" s="111" t="s">
        <v>290</v>
      </c>
      <c r="G8" s="115">
        <f>E7/C7</f>
        <v>0.71156661786237185</v>
      </c>
    </row>
    <row r="9" spans="1:11" ht="15.75" thickBot="1" x14ac:dyDescent="0.3">
      <c r="A9" s="3"/>
      <c r="B9"/>
      <c r="D9" s="111"/>
      <c r="G9" s="115"/>
    </row>
    <row r="10" spans="1:11" ht="15.75" thickBot="1" x14ac:dyDescent="0.3">
      <c r="A10" s="253" t="s">
        <v>291</v>
      </c>
      <c r="B10" s="254"/>
      <c r="C10" s="254"/>
      <c r="D10" s="254"/>
      <c r="E10" s="254"/>
      <c r="F10" s="254"/>
      <c r="G10" s="254"/>
      <c r="H10" s="254"/>
      <c r="I10" s="254"/>
      <c r="J10" s="254"/>
      <c r="K10" s="255"/>
    </row>
    <row r="11" spans="1:11" s="6" customFormat="1" ht="15.75" thickBot="1" x14ac:dyDescent="0.3">
      <c r="A11" s="256"/>
      <c r="B11" s="257"/>
      <c r="C11" s="257" t="s">
        <v>292</v>
      </c>
      <c r="E11" s="257"/>
      <c r="F11" s="258" t="s">
        <v>293</v>
      </c>
      <c r="G11" s="257" t="s">
        <v>294</v>
      </c>
      <c r="H11" s="239">
        <v>3000</v>
      </c>
      <c r="I11" s="257"/>
      <c r="J11" s="257" t="s">
        <v>305</v>
      </c>
      <c r="K11" s="259"/>
    </row>
    <row r="12" spans="1:11" s="6" customFormat="1" ht="15.75" thickBot="1" x14ac:dyDescent="0.3">
      <c r="A12" s="260" t="s">
        <v>295</v>
      </c>
      <c r="B12" s="257"/>
      <c r="C12" s="257"/>
      <c r="D12" s="257"/>
      <c r="E12" s="257"/>
      <c r="F12" s="257"/>
      <c r="G12" s="257"/>
      <c r="H12" s="261"/>
      <c r="I12" s="257"/>
      <c r="J12" s="257"/>
      <c r="K12" s="259"/>
    </row>
    <row r="13" spans="1:11" s="6" customFormat="1" ht="15.75" thickBot="1" x14ac:dyDescent="0.3">
      <c r="A13" s="256"/>
      <c r="B13" s="257"/>
      <c r="C13" s="257" t="s">
        <v>296</v>
      </c>
      <c r="E13" s="257"/>
      <c r="F13" s="258" t="s">
        <v>293</v>
      </c>
      <c r="G13" s="257" t="s">
        <v>294</v>
      </c>
      <c r="H13" s="239">
        <v>5583</v>
      </c>
      <c r="I13" s="257"/>
      <c r="J13" s="257"/>
      <c r="K13" s="259"/>
    </row>
    <row r="14" spans="1:11" ht="15.75" thickBot="1" x14ac:dyDescent="0.3">
      <c r="A14" s="262"/>
      <c r="B14" s="263"/>
      <c r="C14" s="116"/>
      <c r="D14" s="116"/>
      <c r="E14" s="116"/>
      <c r="F14" s="116"/>
      <c r="G14" s="116"/>
      <c r="H14" s="116"/>
      <c r="I14" s="116"/>
      <c r="J14" s="116"/>
      <c r="K14" s="264"/>
    </row>
    <row r="15" spans="1:11" s="107" customFormat="1" ht="30" x14ac:dyDescent="0.25">
      <c r="A15" s="265"/>
      <c r="B15" s="245"/>
      <c r="C15" s="246" t="s">
        <v>198</v>
      </c>
      <c r="D15" s="246" t="s">
        <v>195</v>
      </c>
      <c r="E15" s="246" t="s">
        <v>192</v>
      </c>
      <c r="F15" s="139" t="s">
        <v>217</v>
      </c>
      <c r="G15" s="246" t="s">
        <v>297</v>
      </c>
      <c r="H15" s="247" t="s">
        <v>298</v>
      </c>
      <c r="I15" s="266"/>
      <c r="J15" s="266"/>
      <c r="K15" s="267"/>
    </row>
    <row r="16" spans="1:11" x14ac:dyDescent="0.25">
      <c r="A16" s="262"/>
      <c r="B16" s="248" t="s">
        <v>190</v>
      </c>
      <c r="C16" s="123" t="s">
        <v>193</v>
      </c>
      <c r="D16" s="123">
        <f>0.245*0.35*2+0.508</f>
        <v>0.67949999999999999</v>
      </c>
      <c r="E16" s="123">
        <f>PI()*D16</f>
        <v>2.1347122081142644</v>
      </c>
      <c r="F16" s="124">
        <f>D16/2</f>
        <v>0.33975</v>
      </c>
      <c r="G16" s="124">
        <f>H11/E16</f>
        <v>1405.3416608555881</v>
      </c>
      <c r="H16" s="137"/>
      <c r="I16" s="116"/>
      <c r="J16" s="116"/>
      <c r="K16" s="264"/>
    </row>
    <row r="17" spans="1:12" ht="15.75" thickBot="1" x14ac:dyDescent="0.3">
      <c r="A17" s="262"/>
      <c r="B17" s="249" t="s">
        <v>191</v>
      </c>
      <c r="C17" s="125" t="s">
        <v>194</v>
      </c>
      <c r="D17" s="125">
        <f>0.295*0.35*2+0.508</f>
        <v>0.71450000000000002</v>
      </c>
      <c r="E17" s="125">
        <f>PI()*D17</f>
        <v>2.2446679509899075</v>
      </c>
      <c r="F17" s="126">
        <f>D17/2</f>
        <v>0.35725000000000001</v>
      </c>
      <c r="G17" s="126">
        <f>H11/E17</f>
        <v>1336.5005718003806</v>
      </c>
      <c r="H17" s="138">
        <f>H13/E17</f>
        <v>2487.2275641205083</v>
      </c>
      <c r="I17" s="116"/>
      <c r="J17" s="116"/>
      <c r="K17" s="264"/>
    </row>
    <row r="18" spans="1:12" x14ac:dyDescent="0.25">
      <c r="A18" s="262"/>
      <c r="B18" s="257"/>
      <c r="C18" s="257"/>
      <c r="D18" s="257"/>
      <c r="E18" s="257"/>
      <c r="F18" s="257"/>
      <c r="G18" s="257"/>
      <c r="H18" s="257"/>
      <c r="I18" s="116"/>
      <c r="J18" s="116"/>
      <c r="K18" s="264"/>
    </row>
    <row r="19" spans="1:12" ht="18.75" x14ac:dyDescent="0.3">
      <c r="A19" s="268" t="s">
        <v>302</v>
      </c>
      <c r="B19" s="263"/>
      <c r="C19" s="116"/>
      <c r="D19" s="116"/>
      <c r="E19" s="116"/>
      <c r="F19" s="116"/>
      <c r="G19" s="116"/>
      <c r="H19" s="116"/>
      <c r="I19" s="116"/>
      <c r="J19" s="116"/>
      <c r="K19" s="264"/>
    </row>
    <row r="20" spans="1:12" s="109" customFormat="1" ht="30" x14ac:dyDescent="0.25">
      <c r="A20" s="269"/>
      <c r="B20" s="270"/>
      <c r="C20" s="118" t="s">
        <v>225</v>
      </c>
      <c r="D20" s="118" t="s">
        <v>212</v>
      </c>
      <c r="E20" s="118" t="s">
        <v>224</v>
      </c>
      <c r="F20" s="118" t="s">
        <v>197</v>
      </c>
      <c r="G20" s="118" t="s">
        <v>188</v>
      </c>
      <c r="H20" s="118" t="s">
        <v>189</v>
      </c>
      <c r="I20" s="118" t="s">
        <v>199</v>
      </c>
      <c r="J20" s="118" t="s">
        <v>299</v>
      </c>
      <c r="K20" s="271" t="s">
        <v>300</v>
      </c>
      <c r="L20" s="113" t="s">
        <v>15</v>
      </c>
    </row>
    <row r="21" spans="1:12" x14ac:dyDescent="0.25">
      <c r="A21" s="262"/>
      <c r="B21" s="263"/>
      <c r="C21" s="2">
        <v>1</v>
      </c>
      <c r="D21" s="250">
        <v>3.4</v>
      </c>
      <c r="E21" s="1"/>
      <c r="F21" s="1"/>
      <c r="G21" s="1"/>
      <c r="H21" s="1"/>
      <c r="I21" s="1"/>
      <c r="J21" s="1"/>
      <c r="K21" s="161"/>
      <c r="L21" s="112"/>
    </row>
    <row r="22" spans="1:12" x14ac:dyDescent="0.25">
      <c r="A22" s="262"/>
      <c r="B22" s="263"/>
      <c r="C22" s="2">
        <v>2</v>
      </c>
      <c r="D22" s="250">
        <v>2.1800000000000002</v>
      </c>
      <c r="E22" s="1"/>
      <c r="F22" s="1"/>
      <c r="G22" s="1"/>
      <c r="H22" s="1"/>
      <c r="I22" s="1"/>
      <c r="J22" s="1"/>
      <c r="K22" s="161"/>
      <c r="L22" s="112" t="s">
        <v>186</v>
      </c>
    </row>
    <row r="23" spans="1:12" x14ac:dyDescent="0.25">
      <c r="A23" s="262"/>
      <c r="B23" s="263"/>
      <c r="C23" s="2">
        <v>3</v>
      </c>
      <c r="D23" s="250">
        <v>1.63</v>
      </c>
      <c r="E23" s="1"/>
      <c r="F23" s="1"/>
      <c r="G23" s="1"/>
      <c r="H23" s="1"/>
      <c r="I23" s="1"/>
      <c r="J23" s="1"/>
      <c r="K23" s="161"/>
      <c r="L23" s="112"/>
    </row>
    <row r="24" spans="1:12" x14ac:dyDescent="0.25">
      <c r="A24" s="262"/>
      <c r="B24" s="263"/>
      <c r="C24" s="240">
        <v>4</v>
      </c>
      <c r="D24" s="250">
        <v>1.29</v>
      </c>
      <c r="E24" s="243"/>
      <c r="F24" s="241">
        <f>H7/G24</f>
        <v>5.9857812026397532</v>
      </c>
      <c r="G24" s="242">
        <f>G17</f>
        <v>1336.5005718003806</v>
      </c>
      <c r="H24" s="242">
        <f>G16</f>
        <v>1405.3416608555881</v>
      </c>
      <c r="I24" s="241">
        <f>H7/H24</f>
        <v>5.6925658883047046</v>
      </c>
      <c r="J24" s="241">
        <f>H24/G24*100-100</f>
        <v>5.1508462104488757</v>
      </c>
      <c r="K24" s="272"/>
      <c r="L24" s="244" t="s">
        <v>200</v>
      </c>
    </row>
    <row r="25" spans="1:12" x14ac:dyDescent="0.25">
      <c r="A25" s="262"/>
      <c r="B25" s="263"/>
      <c r="C25" s="2">
        <v>5</v>
      </c>
      <c r="D25" s="250">
        <v>1.03</v>
      </c>
      <c r="E25" s="1"/>
      <c r="F25" s="1"/>
      <c r="G25" s="1"/>
      <c r="H25" s="117"/>
      <c r="I25" s="117"/>
      <c r="J25" s="117"/>
      <c r="K25" s="273"/>
      <c r="L25" s="112" t="s">
        <v>187</v>
      </c>
    </row>
    <row r="26" spans="1:12" x14ac:dyDescent="0.25">
      <c r="A26" s="262"/>
      <c r="B26" s="263"/>
      <c r="C26" s="2">
        <v>6</v>
      </c>
      <c r="D26" s="250">
        <v>0.84</v>
      </c>
      <c r="E26" s="1"/>
      <c r="F26" s="1"/>
      <c r="G26" s="1"/>
      <c r="H26" s="117"/>
      <c r="I26" s="117"/>
      <c r="J26" s="117"/>
      <c r="K26" s="273"/>
      <c r="L26" s="112" t="s">
        <v>187</v>
      </c>
    </row>
    <row r="27" spans="1:12" ht="15.75" thickBot="1" x14ac:dyDescent="0.3">
      <c r="A27" s="274"/>
      <c r="B27" s="275"/>
      <c r="C27" s="276">
        <v>7</v>
      </c>
      <c r="D27" s="277">
        <v>0.63</v>
      </c>
      <c r="E27" s="278"/>
      <c r="F27" s="279">
        <f>H7/G27</f>
        <v>3.2164326720256597</v>
      </c>
      <c r="G27" s="280">
        <f>H17</f>
        <v>2487.2275641205083</v>
      </c>
      <c r="H27" s="281"/>
      <c r="I27" s="281"/>
      <c r="J27" s="281"/>
      <c r="K27" s="282"/>
      <c r="L27" s="112" t="s">
        <v>201</v>
      </c>
    </row>
    <row r="29" spans="1:12" ht="18.75" x14ac:dyDescent="0.3">
      <c r="A29" s="36" t="s">
        <v>213</v>
      </c>
    </row>
    <row r="30" spans="1:12" x14ac:dyDescent="0.25">
      <c r="C30" s="110" t="s">
        <v>306</v>
      </c>
    </row>
    <row r="31" spans="1:12" s="109" customFormat="1" ht="30" x14ac:dyDescent="0.25">
      <c r="C31" s="118" t="s">
        <v>225</v>
      </c>
      <c r="D31" s="118" t="s">
        <v>212</v>
      </c>
      <c r="E31" s="118" t="s">
        <v>224</v>
      </c>
      <c r="F31" s="118" t="s">
        <v>197</v>
      </c>
      <c r="G31" s="118" t="s">
        <v>188</v>
      </c>
      <c r="H31" s="118" t="s">
        <v>189</v>
      </c>
      <c r="I31" s="118" t="s">
        <v>199</v>
      </c>
      <c r="J31" s="118" t="s">
        <v>288</v>
      </c>
      <c r="K31" s="118" t="s">
        <v>223</v>
      </c>
      <c r="L31" s="113" t="s">
        <v>15</v>
      </c>
    </row>
    <row r="32" spans="1:12" x14ac:dyDescent="0.25">
      <c r="C32" s="2">
        <v>1</v>
      </c>
      <c r="D32" s="283">
        <v>3.4</v>
      </c>
      <c r="E32" s="284">
        <v>4.38</v>
      </c>
      <c r="F32" s="122">
        <f>D32*E32</f>
        <v>14.891999999999999</v>
      </c>
      <c r="G32" s="127">
        <f>H7/F32</f>
        <v>537.20118184260002</v>
      </c>
      <c r="H32" s="127">
        <f>H33</f>
        <v>888.10690796363781</v>
      </c>
      <c r="I32" s="128">
        <f>I33</f>
        <v>9.0079245283018867</v>
      </c>
      <c r="J32" s="121">
        <f>H32-G32</f>
        <v>350.90572612103779</v>
      </c>
      <c r="K32" s="121">
        <f>(H32/G32-1)*100</f>
        <v>65.321100917431195</v>
      </c>
      <c r="L32" s="112"/>
    </row>
    <row r="33" spans="1:12" x14ac:dyDescent="0.25">
      <c r="C33" s="2">
        <v>2</v>
      </c>
      <c r="D33" s="283">
        <v>2.1800000000000002</v>
      </c>
      <c r="E33" s="284">
        <v>4.38</v>
      </c>
      <c r="F33" s="122">
        <f t="shared" ref="F33:F38" si="0">D33*E33</f>
        <v>9.5484000000000009</v>
      </c>
      <c r="G33" s="127">
        <f>H7/F33</f>
        <v>837.83670562607335</v>
      </c>
      <c r="H33" s="127">
        <f>G33*1.06</f>
        <v>888.10690796363781</v>
      </c>
      <c r="I33" s="128">
        <f>H7/H33</f>
        <v>9.0079245283018867</v>
      </c>
      <c r="J33" s="121">
        <f t="shared" ref="J33:J35" si="1">H33-G33</f>
        <v>50.270202337564456</v>
      </c>
      <c r="K33" s="121">
        <f t="shared" ref="K33:K35" si="2">(H33/G33-1)*100</f>
        <v>6.0000000000000053</v>
      </c>
      <c r="L33" s="112" t="s">
        <v>186</v>
      </c>
    </row>
    <row r="34" spans="1:12" x14ac:dyDescent="0.25">
      <c r="C34" s="2">
        <v>3</v>
      </c>
      <c r="D34" s="283">
        <v>1.63</v>
      </c>
      <c r="E34" s="284">
        <v>4.38</v>
      </c>
      <c r="F34" s="122">
        <f t="shared" si="0"/>
        <v>7.1393999999999993</v>
      </c>
      <c r="G34" s="127">
        <f>H7/F34</f>
        <v>1120.5423424937671</v>
      </c>
      <c r="H34" s="127">
        <f>H35</f>
        <v>1500.8318289618067</v>
      </c>
      <c r="I34" s="128">
        <f>I35</f>
        <v>5.3303773584905665</v>
      </c>
      <c r="J34" s="121">
        <f t="shared" si="1"/>
        <v>380.28948646803951</v>
      </c>
      <c r="K34" s="121">
        <f t="shared" si="2"/>
        <v>33.937984496124017</v>
      </c>
      <c r="L34" s="112"/>
    </row>
    <row r="35" spans="1:12" x14ac:dyDescent="0.25">
      <c r="C35" s="240">
        <v>4</v>
      </c>
      <c r="D35" s="285">
        <v>1.29</v>
      </c>
      <c r="E35" s="286">
        <v>4.38</v>
      </c>
      <c r="F35" s="241">
        <f t="shared" si="0"/>
        <v>5.6501999999999999</v>
      </c>
      <c r="G35" s="127">
        <f>H7/F35</f>
        <v>1415.8790839262326</v>
      </c>
      <c r="H35" s="127">
        <f>G35*1.06</f>
        <v>1500.8318289618067</v>
      </c>
      <c r="I35" s="241">
        <f>H7/H35</f>
        <v>5.3303773584905665</v>
      </c>
      <c r="J35" s="127">
        <f t="shared" si="1"/>
        <v>84.952745035574026</v>
      </c>
      <c r="K35" s="127">
        <f t="shared" si="2"/>
        <v>6.0000000000000053</v>
      </c>
      <c r="L35" s="244" t="s">
        <v>200</v>
      </c>
    </row>
    <row r="36" spans="1:12" x14ac:dyDescent="0.25">
      <c r="C36" s="2">
        <v>5</v>
      </c>
      <c r="D36" s="283">
        <v>1.03</v>
      </c>
      <c r="E36" s="284">
        <v>4.38</v>
      </c>
      <c r="F36" s="122">
        <f t="shared" si="0"/>
        <v>4.5114000000000001</v>
      </c>
      <c r="G36" s="127">
        <f>H7/F36</f>
        <v>1773.2854546260585</v>
      </c>
      <c r="H36" s="117"/>
      <c r="I36" s="117"/>
      <c r="J36" s="117"/>
      <c r="K36" s="117"/>
      <c r="L36" s="112" t="s">
        <v>187</v>
      </c>
    </row>
    <row r="37" spans="1:12" x14ac:dyDescent="0.25">
      <c r="C37" s="2">
        <v>6</v>
      </c>
      <c r="D37" s="283">
        <v>0.84</v>
      </c>
      <c r="E37" s="284">
        <v>4.38</v>
      </c>
      <c r="F37" s="122">
        <f t="shared" si="0"/>
        <v>3.6791999999999998</v>
      </c>
      <c r="G37" s="127">
        <f>H7/F37</f>
        <v>2174.3857360295719</v>
      </c>
      <c r="H37" s="117"/>
      <c r="I37" s="117"/>
      <c r="J37" s="117"/>
      <c r="K37" s="117"/>
      <c r="L37" s="112" t="s">
        <v>187</v>
      </c>
    </row>
    <row r="38" spans="1:12" x14ac:dyDescent="0.25">
      <c r="C38" s="240">
        <v>7</v>
      </c>
      <c r="D38" s="285">
        <v>0.63</v>
      </c>
      <c r="E38" s="286">
        <v>4.38</v>
      </c>
      <c r="F38" s="241">
        <f t="shared" si="0"/>
        <v>2.7593999999999999</v>
      </c>
      <c r="G38" s="127">
        <f>H7/F38</f>
        <v>2899.1809813727623</v>
      </c>
      <c r="H38" s="117"/>
      <c r="I38" s="117"/>
      <c r="J38" s="117"/>
      <c r="K38" s="117"/>
      <c r="L38" s="112" t="s">
        <v>201</v>
      </c>
    </row>
    <row r="39" spans="1:12" x14ac:dyDescent="0.25">
      <c r="A39" s="3"/>
      <c r="B39"/>
      <c r="D39" s="111"/>
      <c r="G39" s="115"/>
    </row>
    <row r="40" spans="1:12" x14ac:dyDescent="0.25">
      <c r="A40" s="3"/>
      <c r="B40"/>
      <c r="D40" s="111"/>
      <c r="G40" s="115"/>
    </row>
    <row r="41" spans="1:12" x14ac:dyDescent="0.25">
      <c r="A41" s="3"/>
      <c r="B41"/>
      <c r="D41" s="111"/>
      <c r="G41" s="115"/>
    </row>
    <row r="42" spans="1:12" x14ac:dyDescent="0.25">
      <c r="A42" s="3"/>
      <c r="B42"/>
      <c r="D42" s="111"/>
      <c r="G42" s="115"/>
    </row>
    <row r="43" spans="1:12" x14ac:dyDescent="0.25">
      <c r="A43" s="3"/>
      <c r="B43"/>
      <c r="D43" s="111"/>
      <c r="G43" s="115"/>
    </row>
  </sheetData>
  <pageMargins left="0.7" right="0.7" top="0.75" bottom="0.75" header="0.3" footer="0.3"/>
  <pageSetup orientation="portrait" horizontalDpi="360" verticalDpi="36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DDED7C-0027-43C1-A615-1B679CB395B4}">
  <dimension ref="A1:E48"/>
  <sheetViews>
    <sheetView topLeftCell="A13" workbookViewId="0">
      <selection activeCell="B47" sqref="B47"/>
    </sheetView>
  </sheetViews>
  <sheetFormatPr defaultRowHeight="12.75" x14ac:dyDescent="0.2"/>
  <cols>
    <col min="1" max="5" width="20.5703125" style="7" customWidth="1"/>
    <col min="6" max="16384" width="9.140625" style="7"/>
  </cols>
  <sheetData>
    <row r="1" spans="1:5" ht="36.75" customHeight="1" x14ac:dyDescent="0.25">
      <c r="A1" s="111" t="s">
        <v>333</v>
      </c>
    </row>
    <row r="2" spans="1:5" ht="72" customHeight="1" x14ac:dyDescent="0.2"/>
    <row r="3" spans="1:5" s="378" customFormat="1" ht="33" customHeight="1" x14ac:dyDescent="0.25">
      <c r="A3" s="375"/>
      <c r="B3" s="376" t="s">
        <v>177</v>
      </c>
      <c r="C3" s="377" t="s">
        <v>334</v>
      </c>
      <c r="D3" s="377" t="s">
        <v>180</v>
      </c>
      <c r="E3" s="377" t="s">
        <v>335</v>
      </c>
    </row>
    <row r="4" spans="1:5" x14ac:dyDescent="0.2">
      <c r="A4" s="379" t="s">
        <v>336</v>
      </c>
      <c r="B4" s="380" t="s">
        <v>337</v>
      </c>
      <c r="C4" s="380" t="s">
        <v>338</v>
      </c>
      <c r="D4" s="380" t="s">
        <v>339</v>
      </c>
      <c r="E4" s="380" t="s">
        <v>340</v>
      </c>
    </row>
    <row r="5" spans="1:5" x14ac:dyDescent="0.2">
      <c r="A5" s="381" t="s">
        <v>341</v>
      </c>
      <c r="B5" s="382" t="s">
        <v>342</v>
      </c>
      <c r="C5" s="382" t="s">
        <v>343</v>
      </c>
      <c r="D5" s="382" t="s">
        <v>344</v>
      </c>
      <c r="E5" s="382" t="s">
        <v>344</v>
      </c>
    </row>
    <row r="6" spans="1:5" x14ac:dyDescent="0.2">
      <c r="A6" s="383" t="s">
        <v>345</v>
      </c>
      <c r="B6" s="384" t="s">
        <v>346</v>
      </c>
      <c r="C6" s="384" t="s">
        <v>347</v>
      </c>
      <c r="D6" s="384" t="s">
        <v>348</v>
      </c>
      <c r="E6" s="384" t="s">
        <v>348</v>
      </c>
    </row>
    <row r="7" spans="1:5" x14ac:dyDescent="0.2">
      <c r="A7" s="381" t="s">
        <v>349</v>
      </c>
      <c r="B7" s="382" t="s">
        <v>350</v>
      </c>
      <c r="C7" s="382" t="s">
        <v>350</v>
      </c>
      <c r="D7" s="382" t="s">
        <v>350</v>
      </c>
      <c r="E7" s="382" t="s">
        <v>350</v>
      </c>
    </row>
    <row r="8" spans="1:5" x14ac:dyDescent="0.2">
      <c r="A8" s="383" t="s">
        <v>351</v>
      </c>
      <c r="B8" s="384" t="s">
        <v>352</v>
      </c>
      <c r="C8" s="384" t="s">
        <v>352</v>
      </c>
      <c r="D8" s="384" t="s">
        <v>352</v>
      </c>
      <c r="E8" s="384" t="s">
        <v>352</v>
      </c>
    </row>
    <row r="9" spans="1:5" x14ac:dyDescent="0.2">
      <c r="A9" s="381" t="s">
        <v>353</v>
      </c>
      <c r="B9" s="382" t="s">
        <v>354</v>
      </c>
      <c r="C9" s="382" t="s">
        <v>355</v>
      </c>
      <c r="D9" s="382" t="s">
        <v>356</v>
      </c>
      <c r="E9" s="382" t="s">
        <v>357</v>
      </c>
    </row>
    <row r="10" spans="1:5" x14ac:dyDescent="0.2">
      <c r="A10" s="379" t="s">
        <v>358</v>
      </c>
      <c r="B10" s="380"/>
      <c r="C10" s="380"/>
      <c r="D10" s="380"/>
      <c r="E10" s="380"/>
    </row>
    <row r="11" spans="1:5" x14ac:dyDescent="0.2">
      <c r="A11" s="381" t="s">
        <v>359</v>
      </c>
      <c r="B11" s="382" t="s">
        <v>360</v>
      </c>
      <c r="C11" s="382" t="s">
        <v>361</v>
      </c>
      <c r="D11" s="382" t="s">
        <v>362</v>
      </c>
      <c r="E11" s="382" t="s">
        <v>362</v>
      </c>
    </row>
    <row r="12" spans="1:5" x14ac:dyDescent="0.2">
      <c r="A12" s="383" t="s">
        <v>363</v>
      </c>
      <c r="B12" s="384" t="s">
        <v>364</v>
      </c>
      <c r="C12" s="384" t="s">
        <v>365</v>
      </c>
      <c r="D12" s="384" t="s">
        <v>366</v>
      </c>
      <c r="E12" s="384" t="s">
        <v>366</v>
      </c>
    </row>
    <row r="13" spans="1:5" x14ac:dyDescent="0.2">
      <c r="A13" s="381" t="s">
        <v>367</v>
      </c>
      <c r="B13" s="382" t="s">
        <v>368</v>
      </c>
      <c r="C13" s="382" t="s">
        <v>369</v>
      </c>
      <c r="D13" s="382" t="s">
        <v>370</v>
      </c>
      <c r="E13" s="382" t="s">
        <v>371</v>
      </c>
    </row>
    <row r="14" spans="1:5" x14ac:dyDescent="0.2">
      <c r="A14" s="383" t="s">
        <v>372</v>
      </c>
      <c r="B14" s="384" t="s">
        <v>373</v>
      </c>
      <c r="C14" s="384" t="s">
        <v>374</v>
      </c>
      <c r="D14" s="384" t="s">
        <v>375</v>
      </c>
      <c r="E14" s="384" t="s">
        <v>376</v>
      </c>
    </row>
    <row r="15" spans="1:5" x14ac:dyDescent="0.2">
      <c r="A15" s="381" t="s">
        <v>377</v>
      </c>
      <c r="B15" s="382" t="s">
        <v>378</v>
      </c>
      <c r="C15" s="382" t="s">
        <v>379</v>
      </c>
      <c r="D15" s="382" t="s">
        <v>380</v>
      </c>
      <c r="E15" s="382" t="s">
        <v>381</v>
      </c>
    </row>
    <row r="16" spans="1:5" x14ac:dyDescent="0.2">
      <c r="A16" s="379" t="s">
        <v>382</v>
      </c>
      <c r="B16" s="380"/>
      <c r="C16" s="380"/>
      <c r="D16" s="380"/>
      <c r="E16" s="380"/>
    </row>
    <row r="17" spans="1:5" x14ac:dyDescent="0.2">
      <c r="A17" s="381" t="s">
        <v>383</v>
      </c>
      <c r="B17" s="382" t="s">
        <v>384</v>
      </c>
      <c r="C17" s="382" t="s">
        <v>385</v>
      </c>
      <c r="D17" s="382" t="s">
        <v>386</v>
      </c>
      <c r="E17" s="382" t="s">
        <v>386</v>
      </c>
    </row>
    <row r="18" spans="1:5" x14ac:dyDescent="0.2">
      <c r="A18" s="383" t="s">
        <v>387</v>
      </c>
      <c r="B18" s="384" t="s">
        <v>388</v>
      </c>
      <c r="C18" s="384" t="s">
        <v>389</v>
      </c>
      <c r="D18" s="384" t="s">
        <v>390</v>
      </c>
      <c r="E18" s="384" t="s">
        <v>390</v>
      </c>
    </row>
    <row r="19" spans="1:5" ht="25.5" x14ac:dyDescent="0.2">
      <c r="A19" s="381" t="s">
        <v>391</v>
      </c>
      <c r="B19" s="382" t="s">
        <v>392</v>
      </c>
      <c r="C19" s="382" t="s">
        <v>393</v>
      </c>
      <c r="D19" s="382" t="s">
        <v>394</v>
      </c>
      <c r="E19" s="382" t="s">
        <v>395</v>
      </c>
    </row>
    <row r="20" spans="1:5" ht="25.5" x14ac:dyDescent="0.2">
      <c r="A20" s="383" t="s">
        <v>396</v>
      </c>
      <c r="B20" s="384" t="s">
        <v>397</v>
      </c>
      <c r="C20" s="384" t="s">
        <v>398</v>
      </c>
      <c r="D20" s="384" t="s">
        <v>399</v>
      </c>
      <c r="E20" s="384" t="s">
        <v>400</v>
      </c>
    </row>
    <row r="21" spans="1:5" x14ac:dyDescent="0.2">
      <c r="A21" s="381" t="s">
        <v>401</v>
      </c>
      <c r="B21" s="382" t="s">
        <v>402</v>
      </c>
      <c r="C21" s="382" t="s">
        <v>403</v>
      </c>
      <c r="D21" s="382" t="s">
        <v>404</v>
      </c>
      <c r="E21" s="382" t="s">
        <v>405</v>
      </c>
    </row>
    <row r="22" spans="1:5" x14ac:dyDescent="0.2">
      <c r="A22" s="383" t="s">
        <v>406</v>
      </c>
      <c r="B22" s="384" t="s">
        <v>407</v>
      </c>
      <c r="C22" s="384" t="s">
        <v>408</v>
      </c>
      <c r="D22" s="384" t="s">
        <v>409</v>
      </c>
      <c r="E22" s="384" t="s">
        <v>410</v>
      </c>
    </row>
    <row r="23" spans="1:5" x14ac:dyDescent="0.2">
      <c r="A23" s="379" t="s">
        <v>411</v>
      </c>
      <c r="B23" s="380"/>
      <c r="C23" s="380"/>
      <c r="D23" s="380"/>
      <c r="E23" s="380"/>
    </row>
    <row r="24" spans="1:5" x14ac:dyDescent="0.2">
      <c r="A24" s="381" t="s">
        <v>412</v>
      </c>
      <c r="B24" s="382" t="s">
        <v>413</v>
      </c>
      <c r="C24" s="382" t="s">
        <v>414</v>
      </c>
      <c r="D24" s="382" t="s">
        <v>414</v>
      </c>
      <c r="E24" s="382" t="s">
        <v>415</v>
      </c>
    </row>
    <row r="25" spans="1:5" x14ac:dyDescent="0.2">
      <c r="A25" s="383" t="s">
        <v>416</v>
      </c>
      <c r="B25" s="384" t="s">
        <v>417</v>
      </c>
      <c r="C25" s="384" t="s">
        <v>418</v>
      </c>
      <c r="D25" s="384" t="s">
        <v>414</v>
      </c>
      <c r="E25" s="384" t="s">
        <v>415</v>
      </c>
    </row>
    <row r="26" spans="1:5" x14ac:dyDescent="0.2">
      <c r="A26" s="381" t="s">
        <v>419</v>
      </c>
      <c r="B26" s="382" t="s">
        <v>420</v>
      </c>
      <c r="C26" s="382" t="s">
        <v>421</v>
      </c>
      <c r="D26" s="382" t="s">
        <v>422</v>
      </c>
      <c r="E26" s="382" t="s">
        <v>423</v>
      </c>
    </row>
    <row r="27" spans="1:5" x14ac:dyDescent="0.2">
      <c r="A27" s="383" t="s">
        <v>424</v>
      </c>
      <c r="B27" s="384" t="s">
        <v>425</v>
      </c>
      <c r="C27" s="384" t="s">
        <v>425</v>
      </c>
      <c r="D27" s="384" t="s">
        <v>422</v>
      </c>
      <c r="E27" s="384" t="s">
        <v>423</v>
      </c>
    </row>
    <row r="28" spans="1:5" x14ac:dyDescent="0.2">
      <c r="A28" s="381" t="s">
        <v>426</v>
      </c>
      <c r="B28" s="382" t="s">
        <v>427</v>
      </c>
      <c r="C28" s="382" t="s">
        <v>428</v>
      </c>
      <c r="D28" s="382" t="s">
        <v>429</v>
      </c>
      <c r="E28" s="382" t="s">
        <v>429</v>
      </c>
    </row>
    <row r="29" spans="1:5" x14ac:dyDescent="0.2">
      <c r="A29" s="383" t="s">
        <v>430</v>
      </c>
      <c r="B29" s="384" t="s">
        <v>431</v>
      </c>
      <c r="C29" s="384" t="s">
        <v>432</v>
      </c>
      <c r="D29" s="384" t="s">
        <v>433</v>
      </c>
      <c r="E29" s="384" t="s">
        <v>433</v>
      </c>
    </row>
    <row r="32" spans="1:5" s="21" customFormat="1" x14ac:dyDescent="0.2">
      <c r="A32" s="385" t="s">
        <v>434</v>
      </c>
      <c r="C32" s="21" t="s">
        <v>435</v>
      </c>
      <c r="E32" s="21" t="s">
        <v>436</v>
      </c>
    </row>
    <row r="33" spans="1:5" s="21" customFormat="1" x14ac:dyDescent="0.2">
      <c r="A33" s="386" t="s">
        <v>336</v>
      </c>
      <c r="B33" s="21" t="s">
        <v>177</v>
      </c>
      <c r="C33" s="21" t="s">
        <v>437</v>
      </c>
      <c r="D33" s="21" t="s">
        <v>438</v>
      </c>
      <c r="E33" s="21" t="s">
        <v>439</v>
      </c>
    </row>
    <row r="34" spans="1:5" s="21" customFormat="1" x14ac:dyDescent="0.2">
      <c r="A34" s="386">
        <v>2019</v>
      </c>
      <c r="D34" s="21">
        <v>2019</v>
      </c>
      <c r="E34" s="21">
        <v>2.1419999999999999</v>
      </c>
    </row>
    <row r="35" spans="1:5" s="21" customFormat="1" x14ac:dyDescent="0.2">
      <c r="A35" s="386">
        <v>2018</v>
      </c>
      <c r="D35" s="21">
        <v>2018</v>
      </c>
      <c r="E35" s="21">
        <v>1.4019999999999999</v>
      </c>
    </row>
    <row r="36" spans="1:5" s="21" customFormat="1" x14ac:dyDescent="0.2">
      <c r="A36" s="386">
        <v>2017</v>
      </c>
      <c r="D36" s="21">
        <v>2017</v>
      </c>
      <c r="E36" s="21">
        <v>1.512</v>
      </c>
    </row>
    <row r="37" spans="1:5" s="21" customFormat="1" x14ac:dyDescent="0.2">
      <c r="A37" s="386">
        <v>2016</v>
      </c>
      <c r="D37" s="21">
        <v>2016</v>
      </c>
      <c r="E37" s="21">
        <v>1.7050000000000001</v>
      </c>
    </row>
    <row r="38" spans="1:5" s="21" customFormat="1" x14ac:dyDescent="0.2">
      <c r="A38" s="386">
        <v>2015</v>
      </c>
      <c r="D38" s="21">
        <v>2015</v>
      </c>
      <c r="E38" s="21">
        <v>1.631</v>
      </c>
    </row>
    <row r="39" spans="1:5" s="21" customFormat="1" x14ac:dyDescent="0.2">
      <c r="A39" s="387">
        <v>2014</v>
      </c>
      <c r="B39" s="388"/>
      <c r="C39" s="388">
        <v>25000</v>
      </c>
      <c r="D39" s="388">
        <v>2014</v>
      </c>
      <c r="E39" s="388">
        <v>1.595</v>
      </c>
    </row>
    <row r="40" spans="1:5" s="21" customFormat="1" x14ac:dyDescent="0.2">
      <c r="A40" s="386">
        <v>2013</v>
      </c>
      <c r="C40" s="386" t="s">
        <v>440</v>
      </c>
      <c r="D40" s="21">
        <v>2013</v>
      </c>
      <c r="E40" s="21">
        <v>1.657</v>
      </c>
    </row>
    <row r="41" spans="1:5" s="21" customFormat="1" x14ac:dyDescent="0.2">
      <c r="A41" s="386">
        <v>2012</v>
      </c>
      <c r="C41" s="21">
        <v>11558</v>
      </c>
      <c r="D41" s="21">
        <v>2012</v>
      </c>
      <c r="E41" s="21">
        <v>1.837</v>
      </c>
    </row>
    <row r="42" spans="1:5" s="21" customFormat="1" x14ac:dyDescent="0.2">
      <c r="A42" s="387">
        <v>2011</v>
      </c>
      <c r="B42" s="388"/>
      <c r="C42" s="388">
        <v>9394</v>
      </c>
      <c r="D42" s="388">
        <v>2011</v>
      </c>
      <c r="E42" s="388">
        <v>1.3029999999999999</v>
      </c>
    </row>
    <row r="43" spans="1:5" x14ac:dyDescent="0.2">
      <c r="A43" s="389" t="s">
        <v>441</v>
      </c>
      <c r="B43" s="7">
        <v>3091</v>
      </c>
      <c r="E43" s="7">
        <f>SUM(E34:E42)</f>
        <v>14.783999999999999</v>
      </c>
    </row>
    <row r="44" spans="1:5" x14ac:dyDescent="0.2">
      <c r="A44" s="390"/>
    </row>
    <row r="48" spans="1:5" s="21" customFormat="1" x14ac:dyDescent="0.2">
      <c r="B48" s="21" t="s">
        <v>442</v>
      </c>
    </row>
  </sheetData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8DB9BC-F03A-41C5-9183-6B2A54358A85}">
  <dimension ref="B1:J15"/>
  <sheetViews>
    <sheetView workbookViewId="0">
      <selection activeCell="E22" sqref="E22"/>
    </sheetView>
  </sheetViews>
  <sheetFormatPr defaultRowHeight="15" x14ac:dyDescent="0.25"/>
  <cols>
    <col min="1" max="1" width="3.7109375" customWidth="1"/>
    <col min="2" max="2" width="13.85546875" customWidth="1"/>
    <col min="3" max="3" width="7.5703125" style="3" customWidth="1"/>
    <col min="4" max="4" width="10" style="433" customWidth="1"/>
    <col min="5" max="6" width="8.28515625" customWidth="1"/>
    <col min="7" max="7" width="7.5703125" style="3" customWidth="1"/>
    <col min="8" max="8" width="7.5703125" customWidth="1"/>
    <col min="9" max="9" width="10.85546875" customWidth="1"/>
    <col min="10" max="10" width="8.42578125" style="431" customWidth="1"/>
  </cols>
  <sheetData>
    <row r="1" spans="2:10" s="391" customFormat="1" ht="23.25" x14ac:dyDescent="0.35">
      <c r="C1" s="392"/>
      <c r="D1" s="393"/>
      <c r="G1" s="392"/>
      <c r="J1" s="394"/>
    </row>
    <row r="2" spans="2:10" s="397" customFormat="1" ht="23.25" x14ac:dyDescent="0.35">
      <c r="B2" s="111" t="s">
        <v>443</v>
      </c>
      <c r="C2" s="395"/>
      <c r="D2" s="396"/>
      <c r="G2" s="398"/>
      <c r="H2" s="399"/>
      <c r="J2" s="400"/>
    </row>
    <row r="4" spans="2:10" s="406" customFormat="1" ht="30.75" thickBot="1" x14ac:dyDescent="0.3">
      <c r="B4" s="401" t="s">
        <v>444</v>
      </c>
      <c r="C4" s="402" t="s">
        <v>382</v>
      </c>
      <c r="D4" s="403" t="s">
        <v>445</v>
      </c>
      <c r="E4" s="404" t="s">
        <v>446</v>
      </c>
      <c r="F4" s="404" t="s">
        <v>447</v>
      </c>
      <c r="G4" s="402" t="s">
        <v>448</v>
      </c>
      <c r="H4" s="405" t="s">
        <v>396</v>
      </c>
      <c r="I4" s="402" t="s">
        <v>449</v>
      </c>
      <c r="J4" s="405" t="s">
        <v>450</v>
      </c>
    </row>
    <row r="5" spans="2:10" x14ac:dyDescent="0.25">
      <c r="B5" s="407">
        <v>250</v>
      </c>
      <c r="C5" s="408" t="s">
        <v>451</v>
      </c>
      <c r="D5" s="409">
        <v>39</v>
      </c>
      <c r="E5" s="408">
        <v>1961</v>
      </c>
      <c r="F5" s="408">
        <v>1964</v>
      </c>
      <c r="G5" s="410">
        <v>302</v>
      </c>
      <c r="H5" s="411">
        <v>246</v>
      </c>
      <c r="I5" s="412">
        <v>174</v>
      </c>
      <c r="J5" s="413">
        <v>5.4</v>
      </c>
    </row>
    <row r="6" spans="2:10" x14ac:dyDescent="0.25">
      <c r="B6" s="414">
        <v>355</v>
      </c>
      <c r="C6" s="2" t="s">
        <v>452</v>
      </c>
      <c r="D6" s="415">
        <v>11273</v>
      </c>
      <c r="E6" s="2">
        <v>1995</v>
      </c>
      <c r="F6" s="2">
        <v>1999</v>
      </c>
      <c r="G6" s="416">
        <v>380</v>
      </c>
      <c r="H6" s="417">
        <v>168</v>
      </c>
      <c r="I6" s="1">
        <v>186</v>
      </c>
      <c r="J6" s="418">
        <v>4.7</v>
      </c>
    </row>
    <row r="7" spans="2:10" x14ac:dyDescent="0.25">
      <c r="B7" s="414">
        <v>550</v>
      </c>
      <c r="C7" s="2" t="s">
        <v>451</v>
      </c>
      <c r="D7" s="415">
        <v>3083</v>
      </c>
      <c r="E7" s="2">
        <v>1996</v>
      </c>
      <c r="F7" s="2">
        <v>2001</v>
      </c>
      <c r="G7" s="416">
        <v>486</v>
      </c>
      <c r="H7" s="417">
        <v>568</v>
      </c>
      <c r="I7" s="1">
        <v>199</v>
      </c>
      <c r="J7" s="418">
        <v>4.4000000000000004</v>
      </c>
    </row>
    <row r="8" spans="2:10" x14ac:dyDescent="0.25">
      <c r="B8" s="414">
        <v>430</v>
      </c>
      <c r="C8" s="2" t="s">
        <v>452</v>
      </c>
      <c r="D8" s="415">
        <v>499</v>
      </c>
      <c r="E8" s="2">
        <v>2004</v>
      </c>
      <c r="F8" s="2">
        <v>2009</v>
      </c>
      <c r="G8" s="416">
        <v>490</v>
      </c>
      <c r="H8" s="417">
        <v>343</v>
      </c>
      <c r="I8" s="1">
        <v>196</v>
      </c>
      <c r="J8" s="418">
        <v>4</v>
      </c>
    </row>
    <row r="9" spans="2:10" x14ac:dyDescent="0.25">
      <c r="B9" s="419" t="s">
        <v>453</v>
      </c>
      <c r="C9" s="240" t="s">
        <v>451</v>
      </c>
      <c r="D9" s="420">
        <v>3025</v>
      </c>
      <c r="E9" s="240">
        <v>2004</v>
      </c>
      <c r="F9" s="240">
        <v>2011</v>
      </c>
      <c r="G9" s="421">
        <v>533</v>
      </c>
      <c r="H9" s="422">
        <v>434</v>
      </c>
      <c r="I9" s="243">
        <v>199</v>
      </c>
      <c r="J9" s="423">
        <v>4.0999999999999996</v>
      </c>
    </row>
    <row r="10" spans="2:10" ht="15.75" thickBot="1" x14ac:dyDescent="0.3">
      <c r="B10" s="424" t="s">
        <v>177</v>
      </c>
      <c r="C10" s="425" t="s">
        <v>451</v>
      </c>
      <c r="D10" s="426">
        <f>2291+800</f>
        <v>3091</v>
      </c>
      <c r="E10" s="425">
        <v>2011</v>
      </c>
      <c r="F10" s="425">
        <v>2016</v>
      </c>
      <c r="G10" s="427">
        <v>660</v>
      </c>
      <c r="H10" s="428">
        <v>683</v>
      </c>
      <c r="I10" s="429">
        <v>208</v>
      </c>
      <c r="J10" s="430">
        <v>3.5</v>
      </c>
    </row>
    <row r="13" spans="2:10" x14ac:dyDescent="0.25">
      <c r="D13"/>
    </row>
    <row r="14" spans="2:10" x14ac:dyDescent="0.25">
      <c r="D14" s="432"/>
    </row>
    <row r="15" spans="2:10" x14ac:dyDescent="0.25">
      <c r="D15" s="432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E1323B-B898-4F83-8AFE-448E0D26C4BB}">
  <dimension ref="A1:G1245"/>
  <sheetViews>
    <sheetView workbookViewId="0">
      <selection activeCell="C14" sqref="C14"/>
    </sheetView>
  </sheetViews>
  <sheetFormatPr defaultRowHeight="15" x14ac:dyDescent="0.25"/>
  <cols>
    <col min="1" max="1" width="13.140625" customWidth="1"/>
    <col min="2" max="2" width="31" customWidth="1"/>
    <col min="3" max="5" width="13.42578125" style="3" customWidth="1"/>
    <col min="6" max="6" width="39.7109375" style="433" customWidth="1"/>
  </cols>
  <sheetData>
    <row r="1" spans="1:6" s="434" customFormat="1" ht="18.75" x14ac:dyDescent="0.3">
      <c r="A1" s="434" t="s">
        <v>455</v>
      </c>
      <c r="C1" s="435"/>
      <c r="D1" s="435"/>
      <c r="E1" s="435"/>
      <c r="F1" s="436"/>
    </row>
    <row r="2" spans="1:6" ht="35.25" customHeight="1" x14ac:dyDescent="0.25">
      <c r="B2" s="437" t="s">
        <v>456</v>
      </c>
      <c r="C2" s="438" t="s">
        <v>382</v>
      </c>
      <c r="D2" s="438" t="s">
        <v>353</v>
      </c>
      <c r="E2" s="438" t="s">
        <v>457</v>
      </c>
      <c r="F2" s="439" t="s">
        <v>15</v>
      </c>
    </row>
    <row r="3" spans="1:6" ht="16.5" x14ac:dyDescent="0.3">
      <c r="B3" s="1" t="s">
        <v>458</v>
      </c>
      <c r="C3" s="2">
        <v>110</v>
      </c>
      <c r="D3" s="2">
        <v>45</v>
      </c>
      <c r="E3" s="2">
        <v>151</v>
      </c>
      <c r="F3" s="440" t="s">
        <v>459</v>
      </c>
    </row>
    <row r="4" spans="1:6" x14ac:dyDescent="0.25">
      <c r="B4" s="1" t="s">
        <v>460</v>
      </c>
      <c r="C4" s="441">
        <v>158</v>
      </c>
      <c r="D4" s="2">
        <v>120</v>
      </c>
      <c r="E4" s="2">
        <v>272</v>
      </c>
    </row>
    <row r="5" spans="1:6" x14ac:dyDescent="0.25">
      <c r="B5" s="1" t="s">
        <v>461</v>
      </c>
      <c r="C5" s="441" t="s">
        <v>454</v>
      </c>
      <c r="D5" s="151">
        <v>160</v>
      </c>
      <c r="E5" s="240">
        <v>350</v>
      </c>
    </row>
    <row r="6" spans="1:6" x14ac:dyDescent="0.25">
      <c r="B6" s="1" t="s">
        <v>462</v>
      </c>
      <c r="C6" s="441">
        <v>266</v>
      </c>
      <c r="D6" s="441">
        <v>94</v>
      </c>
      <c r="E6" s="441" t="s">
        <v>454</v>
      </c>
      <c r="F6" s="433" t="s">
        <v>463</v>
      </c>
    </row>
    <row r="7" spans="1:6" x14ac:dyDescent="0.25">
      <c r="B7" s="1" t="s">
        <v>464</v>
      </c>
      <c r="C7" s="441">
        <v>204</v>
      </c>
      <c r="D7" s="441" t="s">
        <v>454</v>
      </c>
      <c r="E7" s="441" t="s">
        <v>454</v>
      </c>
    </row>
    <row r="8" spans="1:6" x14ac:dyDescent="0.25">
      <c r="B8" s="1" t="s">
        <v>465</v>
      </c>
      <c r="C8" s="441">
        <v>260</v>
      </c>
      <c r="D8" s="441" t="s">
        <v>454</v>
      </c>
      <c r="E8" s="441" t="s">
        <v>454</v>
      </c>
    </row>
    <row r="9" spans="1:6" x14ac:dyDescent="0.25">
      <c r="B9" s="243" t="s">
        <v>466</v>
      </c>
      <c r="C9" s="442">
        <v>222</v>
      </c>
      <c r="D9" s="441" t="s">
        <v>454</v>
      </c>
      <c r="E9" s="441" t="s">
        <v>454</v>
      </c>
    </row>
    <row r="10" spans="1:6" x14ac:dyDescent="0.25">
      <c r="B10" s="243" t="s">
        <v>467</v>
      </c>
      <c r="C10" s="442">
        <v>240</v>
      </c>
      <c r="D10" s="441" t="s">
        <v>454</v>
      </c>
      <c r="E10" s="441" t="s">
        <v>454</v>
      </c>
    </row>
    <row r="11" spans="1:6" x14ac:dyDescent="0.25">
      <c r="B11" s="1" t="s">
        <v>468</v>
      </c>
      <c r="C11" s="441">
        <v>278</v>
      </c>
      <c r="D11" s="441" t="s">
        <v>454</v>
      </c>
      <c r="E11" s="441" t="s">
        <v>454</v>
      </c>
    </row>
    <row r="12" spans="1:6" x14ac:dyDescent="0.25">
      <c r="B12" s="243" t="s">
        <v>469</v>
      </c>
      <c r="C12" s="442">
        <v>235</v>
      </c>
      <c r="D12" s="441" t="s">
        <v>454</v>
      </c>
      <c r="E12" s="441" t="s">
        <v>454</v>
      </c>
    </row>
    <row r="13" spans="1:6" x14ac:dyDescent="0.25">
      <c r="B13" s="1" t="s">
        <v>470</v>
      </c>
      <c r="C13" s="441">
        <v>198</v>
      </c>
      <c r="D13" s="441" t="s">
        <v>454</v>
      </c>
      <c r="E13" s="441" t="s">
        <v>454</v>
      </c>
      <c r="F13" s="433" t="s">
        <v>471</v>
      </c>
    </row>
    <row r="14" spans="1:6" x14ac:dyDescent="0.25">
      <c r="B14" s="1" t="s">
        <v>472</v>
      </c>
      <c r="C14" s="441">
        <v>188</v>
      </c>
      <c r="D14" s="441" t="s">
        <v>454</v>
      </c>
      <c r="E14" s="441" t="s">
        <v>454</v>
      </c>
    </row>
    <row r="15" spans="1:6" x14ac:dyDescent="0.25">
      <c r="B15" s="1" t="s">
        <v>473</v>
      </c>
      <c r="C15" s="441">
        <v>184</v>
      </c>
      <c r="D15" s="441" t="s">
        <v>454</v>
      </c>
      <c r="E15" s="441" t="s">
        <v>454</v>
      </c>
    </row>
    <row r="16" spans="1:6" x14ac:dyDescent="0.25">
      <c r="B16" s="1" t="s">
        <v>474</v>
      </c>
      <c r="C16" s="441">
        <v>168</v>
      </c>
      <c r="D16" s="441" t="s">
        <v>454</v>
      </c>
      <c r="E16" s="441" t="s">
        <v>454</v>
      </c>
    </row>
    <row r="17" spans="1:6" x14ac:dyDescent="0.25">
      <c r="B17" s="1" t="s">
        <v>475</v>
      </c>
      <c r="C17" s="441">
        <v>173</v>
      </c>
      <c r="D17" s="441" t="s">
        <v>454</v>
      </c>
      <c r="E17" s="441" t="s">
        <v>454</v>
      </c>
    </row>
    <row r="21" spans="1:6" ht="15.75" thickBot="1" x14ac:dyDescent="0.3">
      <c r="B21" s="443" t="s">
        <v>476</v>
      </c>
      <c r="C21" s="444"/>
      <c r="D21" s="444" t="s">
        <v>477</v>
      </c>
      <c r="E21" s="444" t="s">
        <v>478</v>
      </c>
    </row>
    <row r="22" spans="1:6" ht="15.75" thickBot="1" x14ac:dyDescent="0.3">
      <c r="B22" s="445" t="s">
        <v>479</v>
      </c>
      <c r="D22" s="446">
        <v>300</v>
      </c>
      <c r="E22" s="447">
        <f>D22*0.453592</f>
        <v>136.07759999999999</v>
      </c>
    </row>
    <row r="23" spans="1:6" ht="15.75" thickBot="1" x14ac:dyDescent="0.3">
      <c r="B23" s="445" t="s">
        <v>480</v>
      </c>
      <c r="D23" s="447">
        <f>E23/0.453592</f>
        <v>352.73990722940442</v>
      </c>
      <c r="E23" s="446">
        <v>160</v>
      </c>
    </row>
    <row r="26" spans="1:6" x14ac:dyDescent="0.25">
      <c r="B26" s="433" t="s">
        <v>481</v>
      </c>
      <c r="C26" s="448" t="s">
        <v>482</v>
      </c>
      <c r="D26" s="448" t="s">
        <v>483</v>
      </c>
      <c r="E26" s="448"/>
      <c r="F26" s="433" t="s">
        <v>484</v>
      </c>
    </row>
    <row r="27" spans="1:6" x14ac:dyDescent="0.25">
      <c r="B27" s="433" t="s">
        <v>485</v>
      </c>
      <c r="C27" s="448"/>
      <c r="D27" s="448" t="s">
        <v>486</v>
      </c>
      <c r="E27" s="448"/>
    </row>
    <row r="28" spans="1:6" x14ac:dyDescent="0.25">
      <c r="B28" s="433"/>
      <c r="C28" s="448"/>
      <c r="D28" s="448"/>
      <c r="E28" s="448"/>
    </row>
    <row r="30" spans="1:6" s="4" customFormat="1" x14ac:dyDescent="0.25">
      <c r="A30" s="4" t="s">
        <v>487</v>
      </c>
      <c r="C30" s="226"/>
      <c r="D30" s="4" t="s">
        <v>488</v>
      </c>
      <c r="E30" s="226"/>
    </row>
    <row r="31" spans="1:6" s="4" customFormat="1" x14ac:dyDescent="0.25">
      <c r="A31" s="449" t="s">
        <v>489</v>
      </c>
      <c r="C31" s="226"/>
      <c r="D31" s="226"/>
      <c r="E31" s="226"/>
    </row>
    <row r="32" spans="1:6" s="4" customFormat="1" x14ac:dyDescent="0.25">
      <c r="A32" s="4" t="s">
        <v>490</v>
      </c>
      <c r="C32" s="226"/>
      <c r="D32" s="226"/>
      <c r="E32" s="226"/>
    </row>
    <row r="33" spans="2:7" s="4" customFormat="1" x14ac:dyDescent="0.25">
      <c r="B33" s="4" t="s">
        <v>491</v>
      </c>
      <c r="C33" s="226"/>
      <c r="D33" s="226"/>
      <c r="E33" s="226"/>
    </row>
    <row r="34" spans="2:7" x14ac:dyDescent="0.25">
      <c r="B34" t="s">
        <v>492</v>
      </c>
      <c r="F34" s="450" t="s">
        <v>464</v>
      </c>
      <c r="G34">
        <v>204</v>
      </c>
    </row>
    <row r="35" spans="2:7" x14ac:dyDescent="0.25">
      <c r="B35" t="s">
        <v>493</v>
      </c>
      <c r="F35" s="451" t="s">
        <v>465</v>
      </c>
      <c r="G35">
        <v>260</v>
      </c>
    </row>
    <row r="36" spans="2:7" x14ac:dyDescent="0.25">
      <c r="B36" t="s">
        <v>494</v>
      </c>
      <c r="F36" s="451" t="s">
        <v>466</v>
      </c>
      <c r="G36">
        <v>222</v>
      </c>
    </row>
    <row r="37" spans="2:7" x14ac:dyDescent="0.25">
      <c r="B37" t="s">
        <v>495</v>
      </c>
      <c r="F37" s="451" t="s">
        <v>467</v>
      </c>
      <c r="G37">
        <v>240</v>
      </c>
    </row>
    <row r="38" spans="2:7" x14ac:dyDescent="0.25">
      <c r="B38" s="4" t="s">
        <v>496</v>
      </c>
      <c r="F38" s="451" t="s">
        <v>468</v>
      </c>
      <c r="G38">
        <v>278</v>
      </c>
    </row>
    <row r="39" spans="2:7" x14ac:dyDescent="0.25">
      <c r="B39" s="452" t="s">
        <v>497</v>
      </c>
      <c r="F39" s="453" t="s">
        <v>469</v>
      </c>
      <c r="G39" s="453">
        <v>235</v>
      </c>
    </row>
    <row r="40" spans="2:7" x14ac:dyDescent="0.25">
      <c r="B40" s="450" t="s">
        <v>498</v>
      </c>
      <c r="F40" s="453" t="s">
        <v>499</v>
      </c>
      <c r="G40" s="453">
        <v>225</v>
      </c>
    </row>
    <row r="41" spans="2:7" x14ac:dyDescent="0.25">
      <c r="B41" s="4" t="s">
        <v>500</v>
      </c>
      <c r="F41" s="453" t="s">
        <v>470</v>
      </c>
      <c r="G41" s="453">
        <v>198</v>
      </c>
    </row>
    <row r="42" spans="2:7" x14ac:dyDescent="0.25">
      <c r="B42" t="s">
        <v>501</v>
      </c>
      <c r="F42" s="453" t="s">
        <v>472</v>
      </c>
      <c r="G42" s="453">
        <v>188</v>
      </c>
    </row>
    <row r="43" spans="2:7" x14ac:dyDescent="0.25">
      <c r="B43" t="s">
        <v>502</v>
      </c>
      <c r="F43" s="453" t="s">
        <v>473</v>
      </c>
      <c r="G43" s="453">
        <v>184</v>
      </c>
    </row>
    <row r="44" spans="2:7" x14ac:dyDescent="0.25">
      <c r="B44" s="450" t="s">
        <v>503</v>
      </c>
      <c r="F44" s="453" t="s">
        <v>474</v>
      </c>
      <c r="G44" s="453">
        <v>168</v>
      </c>
    </row>
    <row r="45" spans="2:7" x14ac:dyDescent="0.25">
      <c r="B45" s="453" t="s">
        <v>504</v>
      </c>
      <c r="F45" s="453" t="s">
        <v>475</v>
      </c>
      <c r="G45" s="453">
        <v>173</v>
      </c>
    </row>
    <row r="46" spans="2:7" x14ac:dyDescent="0.25">
      <c r="B46" t="s">
        <v>505</v>
      </c>
    </row>
    <row r="47" spans="2:7" x14ac:dyDescent="0.25">
      <c r="B47" t="s">
        <v>506</v>
      </c>
    </row>
    <row r="48" spans="2:7" x14ac:dyDescent="0.25">
      <c r="B48" s="453" t="s">
        <v>507</v>
      </c>
    </row>
    <row r="49" spans="2:7" x14ac:dyDescent="0.25">
      <c r="B49" s="4" t="s">
        <v>508</v>
      </c>
    </row>
    <row r="50" spans="2:7" x14ac:dyDescent="0.25">
      <c r="B50" t="s">
        <v>509</v>
      </c>
    </row>
    <row r="51" spans="2:7" x14ac:dyDescent="0.25">
      <c r="B51" t="s">
        <v>510</v>
      </c>
    </row>
    <row r="52" spans="2:7" x14ac:dyDescent="0.25">
      <c r="B52" s="4" t="s">
        <v>511</v>
      </c>
    </row>
    <row r="53" spans="2:7" x14ac:dyDescent="0.25">
      <c r="B53" t="s">
        <v>512</v>
      </c>
    </row>
    <row r="54" spans="2:7" x14ac:dyDescent="0.25">
      <c r="B54" s="450" t="s">
        <v>513</v>
      </c>
    </row>
    <row r="55" spans="2:7" x14ac:dyDescent="0.25">
      <c r="B55" s="450" t="s">
        <v>514</v>
      </c>
    </row>
    <row r="56" spans="2:7" x14ac:dyDescent="0.25">
      <c r="B56" s="450" t="s">
        <v>515</v>
      </c>
    </row>
    <row r="57" spans="2:7" x14ac:dyDescent="0.25">
      <c r="B57" t="s">
        <v>516</v>
      </c>
      <c r="G57" s="6"/>
    </row>
    <row r="58" spans="2:7" x14ac:dyDescent="0.25">
      <c r="B58" t="s">
        <v>517</v>
      </c>
      <c r="G58" s="6"/>
    </row>
    <row r="59" spans="2:7" x14ac:dyDescent="0.25">
      <c r="B59" t="s">
        <v>518</v>
      </c>
      <c r="G59" s="6"/>
    </row>
    <row r="60" spans="2:7" x14ac:dyDescent="0.25">
      <c r="B60" s="453" t="s">
        <v>519</v>
      </c>
      <c r="G60" s="6"/>
    </row>
    <row r="61" spans="2:7" x14ac:dyDescent="0.25">
      <c r="B61" t="s">
        <v>520</v>
      </c>
      <c r="G61" s="6"/>
    </row>
    <row r="62" spans="2:7" x14ac:dyDescent="0.25">
      <c r="B62" s="4" t="s">
        <v>521</v>
      </c>
      <c r="G62" s="6"/>
    </row>
    <row r="63" spans="2:7" x14ac:dyDescent="0.25">
      <c r="B63" t="s">
        <v>522</v>
      </c>
      <c r="G63" s="6"/>
    </row>
    <row r="64" spans="2:7" x14ac:dyDescent="0.25">
      <c r="B64" s="453" t="s">
        <v>523</v>
      </c>
      <c r="G64" s="6"/>
    </row>
    <row r="65" spans="2:7" x14ac:dyDescent="0.25">
      <c r="B65" t="s">
        <v>524</v>
      </c>
      <c r="G65" s="6"/>
    </row>
    <row r="66" spans="2:7" x14ac:dyDescent="0.25">
      <c r="B66" s="453" t="s">
        <v>525</v>
      </c>
      <c r="G66" s="6"/>
    </row>
    <row r="67" spans="2:7" x14ac:dyDescent="0.25">
      <c r="B67" s="450" t="s">
        <v>526</v>
      </c>
    </row>
    <row r="68" spans="2:7" x14ac:dyDescent="0.25">
      <c r="B68" t="s">
        <v>527</v>
      </c>
    </row>
    <row r="69" spans="2:7" x14ac:dyDescent="0.25">
      <c r="B69" t="s">
        <v>528</v>
      </c>
    </row>
    <row r="70" spans="2:7" x14ac:dyDescent="0.25">
      <c r="B70" s="453" t="s">
        <v>529</v>
      </c>
    </row>
    <row r="71" spans="2:7" x14ac:dyDescent="0.25">
      <c r="B71" t="s">
        <v>530</v>
      </c>
    </row>
    <row r="72" spans="2:7" x14ac:dyDescent="0.25">
      <c r="B72" s="453" t="s">
        <v>531</v>
      </c>
    </row>
    <row r="73" spans="2:7" x14ac:dyDescent="0.25">
      <c r="B73" t="s">
        <v>532</v>
      </c>
    </row>
    <row r="74" spans="2:7" x14ac:dyDescent="0.25">
      <c r="B74" t="s">
        <v>533</v>
      </c>
    </row>
    <row r="75" spans="2:7" x14ac:dyDescent="0.25">
      <c r="B75" t="s">
        <v>534</v>
      </c>
    </row>
    <row r="76" spans="2:7" x14ac:dyDescent="0.25">
      <c r="B76" t="s">
        <v>535</v>
      </c>
    </row>
    <row r="77" spans="2:7" x14ac:dyDescent="0.25">
      <c r="B77" t="s">
        <v>536</v>
      </c>
    </row>
    <row r="78" spans="2:7" x14ac:dyDescent="0.25">
      <c r="B78" t="s">
        <v>537</v>
      </c>
    </row>
    <row r="79" spans="2:7" x14ac:dyDescent="0.25">
      <c r="B79" t="s">
        <v>538</v>
      </c>
    </row>
    <row r="80" spans="2:7" x14ac:dyDescent="0.25">
      <c r="B80" t="s">
        <v>539</v>
      </c>
    </row>
    <row r="81" spans="2:2" x14ac:dyDescent="0.25">
      <c r="B81" t="s">
        <v>540</v>
      </c>
    </row>
    <row r="82" spans="2:2" x14ac:dyDescent="0.25">
      <c r="B82" t="s">
        <v>541</v>
      </c>
    </row>
    <row r="83" spans="2:2" x14ac:dyDescent="0.25">
      <c r="B83" t="s">
        <v>542</v>
      </c>
    </row>
    <row r="84" spans="2:2" x14ac:dyDescent="0.25">
      <c r="B84" t="s">
        <v>543</v>
      </c>
    </row>
    <row r="85" spans="2:2" x14ac:dyDescent="0.25">
      <c r="B85" t="s">
        <v>544</v>
      </c>
    </row>
    <row r="87" spans="2:2" x14ac:dyDescent="0.25">
      <c r="B87" s="433" t="s">
        <v>545</v>
      </c>
    </row>
    <row r="88" spans="2:2" x14ac:dyDescent="0.25">
      <c r="B88" s="433"/>
    </row>
    <row r="89" spans="2:2" x14ac:dyDescent="0.25">
      <c r="B89" s="433" t="s">
        <v>546</v>
      </c>
    </row>
    <row r="90" spans="2:2" x14ac:dyDescent="0.25">
      <c r="B90" s="433" t="s">
        <v>547</v>
      </c>
    </row>
    <row r="91" spans="2:2" x14ac:dyDescent="0.25">
      <c r="B91" s="433" t="s">
        <v>548</v>
      </c>
    </row>
    <row r="92" spans="2:2" x14ac:dyDescent="0.25">
      <c r="B92" s="433" t="s">
        <v>549</v>
      </c>
    </row>
    <row r="93" spans="2:2" x14ac:dyDescent="0.25">
      <c r="B93" s="433" t="s">
        <v>550</v>
      </c>
    </row>
    <row r="94" spans="2:2" x14ac:dyDescent="0.25">
      <c r="B94" s="433" t="s">
        <v>551</v>
      </c>
    </row>
    <row r="95" spans="2:2" x14ac:dyDescent="0.25">
      <c r="B95" s="433" t="s">
        <v>552</v>
      </c>
    </row>
    <row r="96" spans="2:2" x14ac:dyDescent="0.25">
      <c r="B96" s="433" t="s">
        <v>553</v>
      </c>
    </row>
    <row r="97" spans="2:2" x14ac:dyDescent="0.25">
      <c r="B97" s="433" t="s">
        <v>554</v>
      </c>
    </row>
    <row r="98" spans="2:2" x14ac:dyDescent="0.25">
      <c r="B98" s="433" t="s">
        <v>555</v>
      </c>
    </row>
    <row r="99" spans="2:2" x14ac:dyDescent="0.25">
      <c r="B99" s="433"/>
    </row>
    <row r="100" spans="2:2" x14ac:dyDescent="0.25">
      <c r="B100" s="433" t="s">
        <v>556</v>
      </c>
    </row>
    <row r="101" spans="2:2" x14ac:dyDescent="0.25">
      <c r="B101" s="433" t="s">
        <v>557</v>
      </c>
    </row>
    <row r="102" spans="2:2" x14ac:dyDescent="0.25">
      <c r="B102" s="433" t="s">
        <v>558</v>
      </c>
    </row>
    <row r="103" spans="2:2" x14ac:dyDescent="0.25">
      <c r="B103" s="433" t="s">
        <v>559</v>
      </c>
    </row>
    <row r="104" spans="2:2" x14ac:dyDescent="0.25">
      <c r="B104" s="4" t="s">
        <v>560</v>
      </c>
    </row>
    <row r="105" spans="2:2" x14ac:dyDescent="0.25">
      <c r="B105" s="433" t="s">
        <v>561</v>
      </c>
    </row>
    <row r="106" spans="2:2" x14ac:dyDescent="0.25">
      <c r="B106" s="433" t="s">
        <v>562</v>
      </c>
    </row>
    <row r="107" spans="2:2" x14ac:dyDescent="0.25">
      <c r="B107" s="433" t="s">
        <v>563</v>
      </c>
    </row>
    <row r="108" spans="2:2" x14ac:dyDescent="0.25">
      <c r="B108" s="433" t="s">
        <v>564</v>
      </c>
    </row>
    <row r="109" spans="2:2" x14ac:dyDescent="0.25">
      <c r="B109" s="433" t="s">
        <v>565</v>
      </c>
    </row>
    <row r="110" spans="2:2" x14ac:dyDescent="0.25">
      <c r="B110" s="433" t="s">
        <v>566</v>
      </c>
    </row>
    <row r="111" spans="2:2" x14ac:dyDescent="0.25">
      <c r="B111" s="433" t="s">
        <v>567</v>
      </c>
    </row>
    <row r="112" spans="2:2" x14ac:dyDescent="0.25">
      <c r="B112" s="433" t="s">
        <v>568</v>
      </c>
    </row>
    <row r="113" spans="2:2" x14ac:dyDescent="0.25">
      <c r="B113" s="433" t="s">
        <v>569</v>
      </c>
    </row>
    <row r="114" spans="2:2" x14ac:dyDescent="0.25">
      <c r="B114" s="433" t="s">
        <v>570</v>
      </c>
    </row>
    <row r="115" spans="2:2" x14ac:dyDescent="0.25">
      <c r="B115" s="433"/>
    </row>
    <row r="116" spans="2:2" x14ac:dyDescent="0.25">
      <c r="B116" s="433" t="s">
        <v>571</v>
      </c>
    </row>
    <row r="117" spans="2:2" x14ac:dyDescent="0.25">
      <c r="B117" s="433" t="s">
        <v>572</v>
      </c>
    </row>
    <row r="118" spans="2:2" x14ac:dyDescent="0.25">
      <c r="B118" s="433" t="s">
        <v>573</v>
      </c>
    </row>
    <row r="119" spans="2:2" x14ac:dyDescent="0.25">
      <c r="B119" s="433" t="s">
        <v>574</v>
      </c>
    </row>
    <row r="120" spans="2:2" x14ac:dyDescent="0.25">
      <c r="B120" s="433" t="s">
        <v>575</v>
      </c>
    </row>
    <row r="121" spans="2:2" x14ac:dyDescent="0.25">
      <c r="B121" s="433" t="s">
        <v>576</v>
      </c>
    </row>
    <row r="122" spans="2:2" x14ac:dyDescent="0.25">
      <c r="B122" s="433" t="s">
        <v>577</v>
      </c>
    </row>
    <row r="123" spans="2:2" x14ac:dyDescent="0.25">
      <c r="B123" s="433" t="s">
        <v>578</v>
      </c>
    </row>
    <row r="124" spans="2:2" x14ac:dyDescent="0.25">
      <c r="B124" s="433" t="s">
        <v>579</v>
      </c>
    </row>
    <row r="125" spans="2:2" x14ac:dyDescent="0.25">
      <c r="B125" s="433" t="s">
        <v>580</v>
      </c>
    </row>
    <row r="126" spans="2:2" x14ac:dyDescent="0.25">
      <c r="B126" s="433" t="s">
        <v>581</v>
      </c>
    </row>
    <row r="127" spans="2:2" x14ac:dyDescent="0.25">
      <c r="B127" s="433" t="s">
        <v>582</v>
      </c>
    </row>
    <row r="128" spans="2:2" x14ac:dyDescent="0.25">
      <c r="B128" s="433" t="s">
        <v>583</v>
      </c>
    </row>
    <row r="129" spans="2:2" x14ac:dyDescent="0.25">
      <c r="B129" s="433" t="s">
        <v>584</v>
      </c>
    </row>
    <row r="130" spans="2:2" x14ac:dyDescent="0.25">
      <c r="B130" s="433" t="s">
        <v>585</v>
      </c>
    </row>
    <row r="131" spans="2:2" x14ac:dyDescent="0.25">
      <c r="B131" s="433" t="s">
        <v>586</v>
      </c>
    </row>
    <row r="132" spans="2:2" x14ac:dyDescent="0.25">
      <c r="B132" s="433" t="s">
        <v>587</v>
      </c>
    </row>
    <row r="133" spans="2:2" x14ac:dyDescent="0.25">
      <c r="B133" s="433" t="s">
        <v>588</v>
      </c>
    </row>
    <row r="134" spans="2:2" x14ac:dyDescent="0.25">
      <c r="B134" s="433" t="s">
        <v>589</v>
      </c>
    </row>
    <row r="135" spans="2:2" x14ac:dyDescent="0.25">
      <c r="B135" s="433" t="s">
        <v>590</v>
      </c>
    </row>
    <row r="136" spans="2:2" x14ac:dyDescent="0.25">
      <c r="B136" s="433" t="s">
        <v>591</v>
      </c>
    </row>
    <row r="137" spans="2:2" x14ac:dyDescent="0.25">
      <c r="B137" s="433" t="s">
        <v>592</v>
      </c>
    </row>
    <row r="138" spans="2:2" x14ac:dyDescent="0.25">
      <c r="B138" s="433" t="s">
        <v>593</v>
      </c>
    </row>
    <row r="139" spans="2:2" x14ac:dyDescent="0.25">
      <c r="B139" s="433" t="s">
        <v>594</v>
      </c>
    </row>
    <row r="140" spans="2:2" x14ac:dyDescent="0.25">
      <c r="B140" s="433" t="s">
        <v>595</v>
      </c>
    </row>
    <row r="141" spans="2:2" x14ac:dyDescent="0.25">
      <c r="B141" s="433" t="s">
        <v>596</v>
      </c>
    </row>
    <row r="142" spans="2:2" x14ac:dyDescent="0.25">
      <c r="B142" s="433" t="s">
        <v>597</v>
      </c>
    </row>
    <row r="143" spans="2:2" x14ac:dyDescent="0.25">
      <c r="B143" s="433" t="s">
        <v>598</v>
      </c>
    </row>
    <row r="144" spans="2:2" x14ac:dyDescent="0.25">
      <c r="B144" s="433" t="s">
        <v>599</v>
      </c>
    </row>
    <row r="145" spans="2:2" x14ac:dyDescent="0.25">
      <c r="B145" s="433" t="s">
        <v>600</v>
      </c>
    </row>
    <row r="146" spans="2:2" x14ac:dyDescent="0.25">
      <c r="B146" s="433" t="s">
        <v>601</v>
      </c>
    </row>
    <row r="147" spans="2:2" x14ac:dyDescent="0.25">
      <c r="B147" s="433" t="s">
        <v>602</v>
      </c>
    </row>
    <row r="148" spans="2:2" x14ac:dyDescent="0.25">
      <c r="B148" s="433"/>
    </row>
    <row r="149" spans="2:2" x14ac:dyDescent="0.25">
      <c r="B149" s="433" t="s">
        <v>603</v>
      </c>
    </row>
    <row r="150" spans="2:2" x14ac:dyDescent="0.25">
      <c r="B150" s="433" t="s">
        <v>604</v>
      </c>
    </row>
    <row r="151" spans="2:2" x14ac:dyDescent="0.25">
      <c r="B151" s="433" t="s">
        <v>605</v>
      </c>
    </row>
    <row r="152" spans="2:2" x14ac:dyDescent="0.25">
      <c r="B152" s="433" t="s">
        <v>606</v>
      </c>
    </row>
    <row r="153" spans="2:2" x14ac:dyDescent="0.25">
      <c r="B153" s="433" t="s">
        <v>607</v>
      </c>
    </row>
    <row r="154" spans="2:2" x14ac:dyDescent="0.25">
      <c r="B154" s="433"/>
    </row>
    <row r="155" spans="2:2" x14ac:dyDescent="0.25">
      <c r="B155" s="451" t="s">
        <v>608</v>
      </c>
    </row>
    <row r="156" spans="2:2" x14ac:dyDescent="0.25">
      <c r="B156" s="451" t="s">
        <v>609</v>
      </c>
    </row>
    <row r="157" spans="2:2" x14ac:dyDescent="0.25">
      <c r="B157" s="451" t="s">
        <v>610</v>
      </c>
    </row>
    <row r="158" spans="2:2" x14ac:dyDescent="0.25">
      <c r="B158" s="433" t="s">
        <v>611</v>
      </c>
    </row>
    <row r="159" spans="2:2" x14ac:dyDescent="0.25">
      <c r="B159" s="433" t="s">
        <v>612</v>
      </c>
    </row>
    <row r="160" spans="2:2" x14ac:dyDescent="0.25">
      <c r="B160" s="433" t="s">
        <v>613</v>
      </c>
    </row>
    <row r="161" spans="2:2" x14ac:dyDescent="0.25">
      <c r="B161" s="433" t="s">
        <v>614</v>
      </c>
    </row>
    <row r="162" spans="2:2" x14ac:dyDescent="0.25">
      <c r="B162" s="433" t="s">
        <v>615</v>
      </c>
    </row>
    <row r="163" spans="2:2" x14ac:dyDescent="0.25">
      <c r="B163" s="433" t="s">
        <v>616</v>
      </c>
    </row>
    <row r="164" spans="2:2" x14ac:dyDescent="0.25">
      <c r="B164" s="433" t="s">
        <v>617</v>
      </c>
    </row>
    <row r="165" spans="2:2" x14ac:dyDescent="0.25">
      <c r="B165" s="433" t="s">
        <v>618</v>
      </c>
    </row>
    <row r="166" spans="2:2" x14ac:dyDescent="0.25">
      <c r="B166" s="433" t="s">
        <v>619</v>
      </c>
    </row>
    <row r="167" spans="2:2" x14ac:dyDescent="0.25">
      <c r="B167" s="433" t="s">
        <v>620</v>
      </c>
    </row>
    <row r="168" spans="2:2" x14ac:dyDescent="0.25">
      <c r="B168" s="433" t="s">
        <v>621</v>
      </c>
    </row>
    <row r="169" spans="2:2" x14ac:dyDescent="0.25">
      <c r="B169" s="433" t="s">
        <v>622</v>
      </c>
    </row>
    <row r="170" spans="2:2" x14ac:dyDescent="0.25">
      <c r="B170" s="433" t="s">
        <v>623</v>
      </c>
    </row>
    <row r="171" spans="2:2" x14ac:dyDescent="0.25">
      <c r="B171" s="433" t="s">
        <v>624</v>
      </c>
    </row>
    <row r="172" spans="2:2" x14ac:dyDescent="0.25">
      <c r="B172" s="433" t="s">
        <v>625</v>
      </c>
    </row>
    <row r="173" spans="2:2" x14ac:dyDescent="0.25">
      <c r="B173" s="433" t="s">
        <v>626</v>
      </c>
    </row>
    <row r="174" spans="2:2" x14ac:dyDescent="0.25">
      <c r="B174" s="433" t="s">
        <v>627</v>
      </c>
    </row>
    <row r="175" spans="2:2" x14ac:dyDescent="0.25">
      <c r="B175" s="433" t="s">
        <v>628</v>
      </c>
    </row>
    <row r="176" spans="2:2" x14ac:dyDescent="0.25">
      <c r="B176" s="433" t="s">
        <v>629</v>
      </c>
    </row>
    <row r="177" spans="2:2" x14ac:dyDescent="0.25">
      <c r="B177" s="433" t="s">
        <v>630</v>
      </c>
    </row>
    <row r="178" spans="2:2" x14ac:dyDescent="0.25">
      <c r="B178" s="433" t="s">
        <v>631</v>
      </c>
    </row>
    <row r="179" spans="2:2" x14ac:dyDescent="0.25">
      <c r="B179" s="433" t="s">
        <v>632</v>
      </c>
    </row>
    <row r="180" spans="2:2" x14ac:dyDescent="0.25">
      <c r="B180" s="433" t="s">
        <v>633</v>
      </c>
    </row>
    <row r="181" spans="2:2" x14ac:dyDescent="0.25">
      <c r="B181" s="433" t="s">
        <v>634</v>
      </c>
    </row>
    <row r="182" spans="2:2" x14ac:dyDescent="0.25">
      <c r="B182" s="433" t="s">
        <v>635</v>
      </c>
    </row>
    <row r="183" spans="2:2" x14ac:dyDescent="0.25">
      <c r="B183" s="433" t="s">
        <v>636</v>
      </c>
    </row>
    <row r="184" spans="2:2" x14ac:dyDescent="0.25">
      <c r="B184" s="433" t="s">
        <v>637</v>
      </c>
    </row>
    <row r="185" spans="2:2" x14ac:dyDescent="0.25">
      <c r="B185" s="433" t="s">
        <v>638</v>
      </c>
    </row>
    <row r="186" spans="2:2" x14ac:dyDescent="0.25">
      <c r="B186" s="433" t="s">
        <v>639</v>
      </c>
    </row>
    <row r="187" spans="2:2" x14ac:dyDescent="0.25">
      <c r="B187" s="433" t="s">
        <v>640</v>
      </c>
    </row>
    <row r="188" spans="2:2" x14ac:dyDescent="0.25">
      <c r="B188" s="433" t="s">
        <v>641</v>
      </c>
    </row>
    <row r="189" spans="2:2" x14ac:dyDescent="0.25">
      <c r="B189" s="433" t="s">
        <v>642</v>
      </c>
    </row>
    <row r="190" spans="2:2" x14ac:dyDescent="0.25">
      <c r="B190" s="433"/>
    </row>
    <row r="191" spans="2:2" x14ac:dyDescent="0.25">
      <c r="B191" s="433" t="s">
        <v>643</v>
      </c>
    </row>
    <row r="192" spans="2:2" x14ac:dyDescent="0.25">
      <c r="B192" s="433" t="s">
        <v>644</v>
      </c>
    </row>
    <row r="193" spans="2:2" x14ac:dyDescent="0.25">
      <c r="B193" s="433" t="s">
        <v>645</v>
      </c>
    </row>
    <row r="194" spans="2:2" x14ac:dyDescent="0.25">
      <c r="B194" s="433" t="s">
        <v>646</v>
      </c>
    </row>
    <row r="195" spans="2:2" x14ac:dyDescent="0.25">
      <c r="B195" s="433" t="s">
        <v>647</v>
      </c>
    </row>
    <row r="196" spans="2:2" x14ac:dyDescent="0.25">
      <c r="B196" s="433" t="s">
        <v>648</v>
      </c>
    </row>
    <row r="197" spans="2:2" x14ac:dyDescent="0.25">
      <c r="B197" s="433"/>
    </row>
    <row r="198" spans="2:2" x14ac:dyDescent="0.25">
      <c r="B198" s="433" t="s">
        <v>649</v>
      </c>
    </row>
    <row r="199" spans="2:2" x14ac:dyDescent="0.25">
      <c r="B199" s="433"/>
    </row>
    <row r="200" spans="2:2" x14ac:dyDescent="0.25">
      <c r="B200" s="433" t="s">
        <v>650</v>
      </c>
    </row>
    <row r="201" spans="2:2" x14ac:dyDescent="0.25">
      <c r="B201" s="433" t="s">
        <v>651</v>
      </c>
    </row>
    <row r="202" spans="2:2" x14ac:dyDescent="0.25">
      <c r="B202" s="433"/>
    </row>
    <row r="203" spans="2:2" x14ac:dyDescent="0.25">
      <c r="B203" s="433" t="s">
        <v>652</v>
      </c>
    </row>
    <row r="204" spans="2:2" x14ac:dyDescent="0.25">
      <c r="B204" s="433" t="s">
        <v>653</v>
      </c>
    </row>
    <row r="205" spans="2:2" x14ac:dyDescent="0.25">
      <c r="B205" s="433" t="s">
        <v>654</v>
      </c>
    </row>
    <row r="206" spans="2:2" x14ac:dyDescent="0.25">
      <c r="B206" s="433" t="s">
        <v>655</v>
      </c>
    </row>
    <row r="207" spans="2:2" x14ac:dyDescent="0.25">
      <c r="B207" s="433" t="s">
        <v>656</v>
      </c>
    </row>
    <row r="208" spans="2:2" x14ac:dyDescent="0.25">
      <c r="B208" s="433" t="s">
        <v>657</v>
      </c>
    </row>
    <row r="209" spans="2:2" x14ac:dyDescent="0.25">
      <c r="B209" s="433" t="s">
        <v>658</v>
      </c>
    </row>
    <row r="210" spans="2:2" x14ac:dyDescent="0.25">
      <c r="B210" s="433" t="s">
        <v>659</v>
      </c>
    </row>
    <row r="211" spans="2:2" x14ac:dyDescent="0.25">
      <c r="B211" s="433" t="s">
        <v>660</v>
      </c>
    </row>
    <row r="212" spans="2:2" x14ac:dyDescent="0.25">
      <c r="B212" s="4" t="s">
        <v>661</v>
      </c>
    </row>
    <row r="213" spans="2:2" x14ac:dyDescent="0.25">
      <c r="B213" s="433" t="s">
        <v>662</v>
      </c>
    </row>
    <row r="214" spans="2:2" x14ac:dyDescent="0.25">
      <c r="B214" s="433"/>
    </row>
    <row r="215" spans="2:2" x14ac:dyDescent="0.25">
      <c r="B215" s="433" t="s">
        <v>663</v>
      </c>
    </row>
    <row r="216" spans="2:2" x14ac:dyDescent="0.25">
      <c r="B216" s="433"/>
    </row>
    <row r="217" spans="2:2" x14ac:dyDescent="0.25">
      <c r="B217" s="433" t="s">
        <v>664</v>
      </c>
    </row>
    <row r="218" spans="2:2" x14ac:dyDescent="0.25">
      <c r="B218" s="433" t="s">
        <v>665</v>
      </c>
    </row>
    <row r="219" spans="2:2" x14ac:dyDescent="0.25">
      <c r="B219" s="433" t="s">
        <v>666</v>
      </c>
    </row>
    <row r="220" spans="2:2" x14ac:dyDescent="0.25">
      <c r="B220" s="433" t="s">
        <v>667</v>
      </c>
    </row>
    <row r="221" spans="2:2" x14ac:dyDescent="0.25">
      <c r="B221" s="433" t="s">
        <v>668</v>
      </c>
    </row>
    <row r="222" spans="2:2" x14ac:dyDescent="0.25">
      <c r="B222" s="433" t="s">
        <v>669</v>
      </c>
    </row>
    <row r="223" spans="2:2" x14ac:dyDescent="0.25">
      <c r="B223" s="433" t="s">
        <v>670</v>
      </c>
    </row>
    <row r="224" spans="2:2" x14ac:dyDescent="0.25">
      <c r="B224" s="433" t="s">
        <v>671</v>
      </c>
    </row>
    <row r="225" spans="2:2" x14ac:dyDescent="0.25">
      <c r="B225" s="433" t="s">
        <v>672</v>
      </c>
    </row>
    <row r="226" spans="2:2" x14ac:dyDescent="0.25">
      <c r="B226" s="433" t="s">
        <v>673</v>
      </c>
    </row>
    <row r="227" spans="2:2" x14ac:dyDescent="0.25">
      <c r="B227" s="433" t="s">
        <v>674</v>
      </c>
    </row>
    <row r="228" spans="2:2" x14ac:dyDescent="0.25">
      <c r="B228" s="4" t="s">
        <v>675</v>
      </c>
    </row>
    <row r="229" spans="2:2" x14ac:dyDescent="0.25">
      <c r="B229" s="433" t="s">
        <v>676</v>
      </c>
    </row>
    <row r="230" spans="2:2" x14ac:dyDescent="0.25">
      <c r="B230" s="433" t="s">
        <v>677</v>
      </c>
    </row>
    <row r="231" spans="2:2" x14ac:dyDescent="0.25">
      <c r="B231" s="433" t="s">
        <v>678</v>
      </c>
    </row>
    <row r="232" spans="2:2" x14ac:dyDescent="0.25">
      <c r="B232" s="433" t="s">
        <v>679</v>
      </c>
    </row>
    <row r="233" spans="2:2" x14ac:dyDescent="0.25">
      <c r="B233" s="433" t="s">
        <v>680</v>
      </c>
    </row>
    <row r="234" spans="2:2" x14ac:dyDescent="0.25">
      <c r="B234" s="433" t="s">
        <v>681</v>
      </c>
    </row>
    <row r="235" spans="2:2" x14ac:dyDescent="0.25">
      <c r="B235" s="433"/>
    </row>
    <row r="236" spans="2:2" x14ac:dyDescent="0.25">
      <c r="B236" s="433" t="s">
        <v>682</v>
      </c>
    </row>
    <row r="237" spans="2:2" x14ac:dyDescent="0.25">
      <c r="B237" s="433" t="s">
        <v>683</v>
      </c>
    </row>
    <row r="238" spans="2:2" x14ac:dyDescent="0.25">
      <c r="B238" s="433" t="s">
        <v>684</v>
      </c>
    </row>
    <row r="239" spans="2:2" x14ac:dyDescent="0.25">
      <c r="B239" s="433" t="s">
        <v>685</v>
      </c>
    </row>
    <row r="240" spans="2:2" x14ac:dyDescent="0.25">
      <c r="B240" s="433" t="s">
        <v>686</v>
      </c>
    </row>
    <row r="241" spans="2:2" x14ac:dyDescent="0.25">
      <c r="B241" s="433" t="s">
        <v>687</v>
      </c>
    </row>
    <row r="242" spans="2:2" x14ac:dyDescent="0.25">
      <c r="B242" s="433"/>
    </row>
    <row r="243" spans="2:2" x14ac:dyDescent="0.25">
      <c r="B243" s="433" t="s">
        <v>688</v>
      </c>
    </row>
    <row r="244" spans="2:2" x14ac:dyDescent="0.25">
      <c r="B244" s="433" t="s">
        <v>689</v>
      </c>
    </row>
    <row r="245" spans="2:2" x14ac:dyDescent="0.25">
      <c r="B245" s="433" t="s">
        <v>690</v>
      </c>
    </row>
    <row r="246" spans="2:2" x14ac:dyDescent="0.25">
      <c r="B246" s="433" t="s">
        <v>691</v>
      </c>
    </row>
    <row r="247" spans="2:2" x14ac:dyDescent="0.25">
      <c r="B247" s="433" t="s">
        <v>692</v>
      </c>
    </row>
    <row r="248" spans="2:2" x14ac:dyDescent="0.25">
      <c r="B248" s="433" t="s">
        <v>693</v>
      </c>
    </row>
    <row r="249" spans="2:2" x14ac:dyDescent="0.25">
      <c r="B249" s="433" t="s">
        <v>694</v>
      </c>
    </row>
    <row r="250" spans="2:2" x14ac:dyDescent="0.25">
      <c r="B250" s="433"/>
    </row>
    <row r="251" spans="2:2" x14ac:dyDescent="0.25">
      <c r="B251" s="433" t="s">
        <v>695</v>
      </c>
    </row>
    <row r="252" spans="2:2" x14ac:dyDescent="0.25">
      <c r="B252" s="433" t="s">
        <v>696</v>
      </c>
    </row>
    <row r="253" spans="2:2" x14ac:dyDescent="0.25">
      <c r="B253" s="433" t="s">
        <v>697</v>
      </c>
    </row>
    <row r="254" spans="2:2" x14ac:dyDescent="0.25">
      <c r="B254" s="433" t="s">
        <v>698</v>
      </c>
    </row>
    <row r="255" spans="2:2" x14ac:dyDescent="0.25">
      <c r="B255" s="433" t="s">
        <v>699</v>
      </c>
    </row>
    <row r="256" spans="2:2" x14ac:dyDescent="0.25">
      <c r="B256" s="433" t="s">
        <v>700</v>
      </c>
    </row>
    <row r="257" spans="2:2" x14ac:dyDescent="0.25">
      <c r="B257" s="433" t="s">
        <v>701</v>
      </c>
    </row>
    <row r="258" spans="2:2" x14ac:dyDescent="0.25">
      <c r="B258" s="433" t="s">
        <v>702</v>
      </c>
    </row>
    <row r="259" spans="2:2" x14ac:dyDescent="0.25">
      <c r="B259" s="433" t="s">
        <v>703</v>
      </c>
    </row>
    <row r="260" spans="2:2" x14ac:dyDescent="0.25">
      <c r="B260" s="433" t="s">
        <v>704</v>
      </c>
    </row>
    <row r="261" spans="2:2" x14ac:dyDescent="0.25">
      <c r="B261" s="433" t="s">
        <v>705</v>
      </c>
    </row>
    <row r="262" spans="2:2" x14ac:dyDescent="0.25">
      <c r="B262" s="433" t="s">
        <v>706</v>
      </c>
    </row>
    <row r="263" spans="2:2" x14ac:dyDescent="0.25">
      <c r="B263" s="433" t="s">
        <v>707</v>
      </c>
    </row>
    <row r="264" spans="2:2" x14ac:dyDescent="0.25">
      <c r="B264" s="433" t="s">
        <v>708</v>
      </c>
    </row>
    <row r="265" spans="2:2" x14ac:dyDescent="0.25">
      <c r="B265" s="433" t="s">
        <v>709</v>
      </c>
    </row>
    <row r="266" spans="2:2" x14ac:dyDescent="0.25">
      <c r="B266" s="433"/>
    </row>
    <row r="267" spans="2:2" x14ac:dyDescent="0.25">
      <c r="B267" s="433" t="s">
        <v>710</v>
      </c>
    </row>
    <row r="268" spans="2:2" x14ac:dyDescent="0.25">
      <c r="B268" s="433" t="s">
        <v>711</v>
      </c>
    </row>
    <row r="269" spans="2:2" x14ac:dyDescent="0.25">
      <c r="B269" s="433" t="s">
        <v>712</v>
      </c>
    </row>
    <row r="270" spans="2:2" x14ac:dyDescent="0.25">
      <c r="B270" s="433" t="s">
        <v>713</v>
      </c>
    </row>
    <row r="271" spans="2:2" x14ac:dyDescent="0.25">
      <c r="B271" s="433" t="s">
        <v>714</v>
      </c>
    </row>
    <row r="272" spans="2:2" x14ac:dyDescent="0.25">
      <c r="B272" s="433" t="s">
        <v>715</v>
      </c>
    </row>
    <row r="273" spans="2:2" x14ac:dyDescent="0.25">
      <c r="B273" s="433" t="s">
        <v>716</v>
      </c>
    </row>
    <row r="274" spans="2:2" x14ac:dyDescent="0.25">
      <c r="B274" s="433"/>
    </row>
    <row r="275" spans="2:2" x14ac:dyDescent="0.25">
      <c r="B275" s="433" t="s">
        <v>717</v>
      </c>
    </row>
    <row r="276" spans="2:2" x14ac:dyDescent="0.25">
      <c r="B276" s="433" t="s">
        <v>718</v>
      </c>
    </row>
    <row r="277" spans="2:2" x14ac:dyDescent="0.25">
      <c r="B277" s="433"/>
    </row>
    <row r="278" spans="2:2" x14ac:dyDescent="0.25">
      <c r="B278" s="433" t="s">
        <v>719</v>
      </c>
    </row>
    <row r="279" spans="2:2" x14ac:dyDescent="0.25">
      <c r="B279" s="433" t="s">
        <v>720</v>
      </c>
    </row>
    <row r="280" spans="2:2" x14ac:dyDescent="0.25">
      <c r="B280" s="433" t="s">
        <v>721</v>
      </c>
    </row>
    <row r="281" spans="2:2" x14ac:dyDescent="0.25">
      <c r="B281" s="433" t="s">
        <v>722</v>
      </c>
    </row>
    <row r="282" spans="2:2" x14ac:dyDescent="0.25">
      <c r="B282" s="433" t="s">
        <v>723</v>
      </c>
    </row>
    <row r="283" spans="2:2" x14ac:dyDescent="0.25">
      <c r="B283" s="433" t="s">
        <v>724</v>
      </c>
    </row>
    <row r="284" spans="2:2" x14ac:dyDescent="0.25">
      <c r="B284" s="433" t="s">
        <v>725</v>
      </c>
    </row>
    <row r="285" spans="2:2" x14ac:dyDescent="0.25">
      <c r="B285" s="433" t="s">
        <v>726</v>
      </c>
    </row>
    <row r="286" spans="2:2" x14ac:dyDescent="0.25">
      <c r="B286" s="433" t="s">
        <v>727</v>
      </c>
    </row>
    <row r="287" spans="2:2" x14ac:dyDescent="0.25">
      <c r="B287" s="433" t="s">
        <v>728</v>
      </c>
    </row>
    <row r="288" spans="2:2" x14ac:dyDescent="0.25">
      <c r="B288" s="433" t="s">
        <v>729</v>
      </c>
    </row>
    <row r="289" spans="2:2" x14ac:dyDescent="0.25">
      <c r="B289" s="433" t="s">
        <v>730</v>
      </c>
    </row>
    <row r="290" spans="2:2" x14ac:dyDescent="0.25">
      <c r="B290" s="433" t="s">
        <v>731</v>
      </c>
    </row>
    <row r="291" spans="2:2" x14ac:dyDescent="0.25">
      <c r="B291" s="433" t="s">
        <v>732</v>
      </c>
    </row>
    <row r="292" spans="2:2" x14ac:dyDescent="0.25">
      <c r="B292" s="433" t="s">
        <v>733</v>
      </c>
    </row>
    <row r="293" spans="2:2" x14ac:dyDescent="0.25">
      <c r="B293" s="433" t="s">
        <v>734</v>
      </c>
    </row>
    <row r="294" spans="2:2" x14ac:dyDescent="0.25">
      <c r="B294" s="433" t="s">
        <v>735</v>
      </c>
    </row>
    <row r="295" spans="2:2" x14ac:dyDescent="0.25">
      <c r="B295" s="433" t="s">
        <v>736</v>
      </c>
    </row>
    <row r="296" spans="2:2" x14ac:dyDescent="0.25">
      <c r="B296" s="433" t="s">
        <v>737</v>
      </c>
    </row>
    <row r="297" spans="2:2" x14ac:dyDescent="0.25">
      <c r="B297" s="433"/>
    </row>
    <row r="298" spans="2:2" x14ac:dyDescent="0.25">
      <c r="B298" s="433" t="s">
        <v>738</v>
      </c>
    </row>
    <row r="299" spans="2:2" x14ac:dyDescent="0.25">
      <c r="B299" s="433" t="s">
        <v>739</v>
      </c>
    </row>
    <row r="300" spans="2:2" x14ac:dyDescent="0.25">
      <c r="B300" s="433" t="s">
        <v>740</v>
      </c>
    </row>
    <row r="301" spans="2:2" x14ac:dyDescent="0.25">
      <c r="B301" s="433"/>
    </row>
    <row r="302" spans="2:2" x14ac:dyDescent="0.25">
      <c r="B302" s="433" t="s">
        <v>741</v>
      </c>
    </row>
    <row r="303" spans="2:2" x14ac:dyDescent="0.25">
      <c r="B303" s="433" t="s">
        <v>742</v>
      </c>
    </row>
    <row r="304" spans="2:2" x14ac:dyDescent="0.25">
      <c r="B304" s="433" t="s">
        <v>743</v>
      </c>
    </row>
    <row r="305" spans="1:6" x14ac:dyDescent="0.25">
      <c r="B305" s="433" t="s">
        <v>744</v>
      </c>
    </row>
    <row r="306" spans="1:6" x14ac:dyDescent="0.25">
      <c r="B306" s="433"/>
    </row>
    <row r="307" spans="1:6" x14ac:dyDescent="0.25">
      <c r="B307" s="433" t="s">
        <v>745</v>
      </c>
    </row>
    <row r="308" spans="1:6" x14ac:dyDescent="0.25">
      <c r="B308" s="433" t="s">
        <v>746</v>
      </c>
    </row>
    <row r="309" spans="1:6" x14ac:dyDescent="0.25">
      <c r="B309" s="433" t="s">
        <v>747</v>
      </c>
    </row>
    <row r="310" spans="1:6" x14ac:dyDescent="0.25">
      <c r="B310" s="433" t="s">
        <v>748</v>
      </c>
    </row>
    <row r="311" spans="1:6" x14ac:dyDescent="0.25">
      <c r="B311" s="433" t="s">
        <v>749</v>
      </c>
    </row>
    <row r="314" spans="1:6" s="184" customFormat="1" x14ac:dyDescent="0.25">
      <c r="A314" s="454" t="s">
        <v>750</v>
      </c>
      <c r="B314" s="454"/>
      <c r="C314" s="455"/>
      <c r="D314" s="455"/>
      <c r="E314" s="455"/>
      <c r="F314" s="456"/>
    </row>
    <row r="315" spans="1:6" x14ac:dyDescent="0.25">
      <c r="A315" s="6" t="s">
        <v>442</v>
      </c>
      <c r="B315" s="6"/>
    </row>
    <row r="316" spans="1:6" x14ac:dyDescent="0.25">
      <c r="A316" s="6"/>
      <c r="B316" s="6"/>
    </row>
    <row r="317" spans="1:6" x14ac:dyDescent="0.25">
      <c r="A317" s="6" t="s">
        <v>751</v>
      </c>
      <c r="B317" s="6"/>
    </row>
    <row r="318" spans="1:6" x14ac:dyDescent="0.25">
      <c r="A318" s="6"/>
      <c r="B318" s="6"/>
    </row>
    <row r="319" spans="1:6" x14ac:dyDescent="0.25">
      <c r="A319" s="6" t="s">
        <v>752</v>
      </c>
      <c r="B319" s="6"/>
    </row>
    <row r="320" spans="1:6" x14ac:dyDescent="0.25">
      <c r="A320" s="6" t="s">
        <v>753</v>
      </c>
      <c r="B320" s="6"/>
    </row>
    <row r="321" spans="1:2" x14ac:dyDescent="0.25">
      <c r="A321" s="6" t="s">
        <v>754</v>
      </c>
      <c r="B321" s="6"/>
    </row>
    <row r="322" spans="1:2" x14ac:dyDescent="0.25">
      <c r="A322" s="6" t="s">
        <v>755</v>
      </c>
      <c r="B322" s="6"/>
    </row>
    <row r="323" spans="1:2" x14ac:dyDescent="0.25">
      <c r="A323" s="6" t="s">
        <v>756</v>
      </c>
      <c r="B323" s="6"/>
    </row>
    <row r="324" spans="1:2" x14ac:dyDescent="0.25">
      <c r="A324" s="6" t="s">
        <v>757</v>
      </c>
      <c r="B324" s="6"/>
    </row>
    <row r="325" spans="1:2" x14ac:dyDescent="0.25">
      <c r="A325" s="6"/>
      <c r="B325" s="6"/>
    </row>
    <row r="326" spans="1:2" x14ac:dyDescent="0.25">
      <c r="A326" s="6" t="s">
        <v>758</v>
      </c>
      <c r="B326" s="6"/>
    </row>
    <row r="327" spans="1:2" x14ac:dyDescent="0.25">
      <c r="A327" s="6" t="s">
        <v>759</v>
      </c>
      <c r="B327" s="6"/>
    </row>
    <row r="328" spans="1:2" x14ac:dyDescent="0.25">
      <c r="A328" s="6" t="s">
        <v>760</v>
      </c>
      <c r="B328" s="6"/>
    </row>
    <row r="329" spans="1:2" x14ac:dyDescent="0.25">
      <c r="A329" s="6"/>
      <c r="B329" s="6"/>
    </row>
    <row r="330" spans="1:2" x14ac:dyDescent="0.25">
      <c r="A330" s="6" t="s">
        <v>761</v>
      </c>
      <c r="B330" s="6"/>
    </row>
    <row r="331" spans="1:2" x14ac:dyDescent="0.25">
      <c r="A331" s="6" t="s">
        <v>762</v>
      </c>
      <c r="B331" s="6"/>
    </row>
    <row r="332" spans="1:2" x14ac:dyDescent="0.25">
      <c r="A332" s="6" t="s">
        <v>763</v>
      </c>
      <c r="B332" s="6"/>
    </row>
    <row r="333" spans="1:2" x14ac:dyDescent="0.25">
      <c r="A333" s="6"/>
      <c r="B333" s="6"/>
    </row>
    <row r="334" spans="1:2" x14ac:dyDescent="0.25">
      <c r="A334" s="6" t="s">
        <v>764</v>
      </c>
      <c r="B334" s="6"/>
    </row>
    <row r="335" spans="1:2" x14ac:dyDescent="0.25">
      <c r="A335" s="6"/>
      <c r="B335" s="6"/>
    </row>
    <row r="336" spans="1:2" x14ac:dyDescent="0.25">
      <c r="A336" s="6" t="s">
        <v>765</v>
      </c>
      <c r="B336" s="6"/>
    </row>
    <row r="337" spans="1:2" x14ac:dyDescent="0.25">
      <c r="A337" s="6"/>
      <c r="B337" s="6"/>
    </row>
    <row r="338" spans="1:2" x14ac:dyDescent="0.25">
      <c r="A338" s="6" t="s">
        <v>766</v>
      </c>
      <c r="B338" s="6"/>
    </row>
    <row r="339" spans="1:2" x14ac:dyDescent="0.25">
      <c r="A339" s="6"/>
      <c r="B339" s="6"/>
    </row>
    <row r="340" spans="1:2" x14ac:dyDescent="0.25">
      <c r="A340" s="6" t="s">
        <v>767</v>
      </c>
      <c r="B340" s="6"/>
    </row>
    <row r="341" spans="1:2" x14ac:dyDescent="0.25">
      <c r="A341" s="6" t="s">
        <v>768</v>
      </c>
      <c r="B341" s="6"/>
    </row>
    <row r="342" spans="1:2" x14ac:dyDescent="0.25">
      <c r="A342" s="6" t="s">
        <v>769</v>
      </c>
      <c r="B342" s="6"/>
    </row>
    <row r="343" spans="1:2" x14ac:dyDescent="0.25">
      <c r="A343" s="6" t="s">
        <v>770</v>
      </c>
      <c r="B343" s="6"/>
    </row>
    <row r="344" spans="1:2" x14ac:dyDescent="0.25">
      <c r="A344" s="6" t="s">
        <v>771</v>
      </c>
      <c r="B344" s="6"/>
    </row>
    <row r="345" spans="1:2" x14ac:dyDescent="0.25">
      <c r="A345" s="6"/>
      <c r="B345" s="6"/>
    </row>
    <row r="346" spans="1:2" x14ac:dyDescent="0.25">
      <c r="A346" s="6" t="s">
        <v>772</v>
      </c>
      <c r="B346" s="6"/>
    </row>
    <row r="347" spans="1:2" x14ac:dyDescent="0.25">
      <c r="A347" s="6"/>
      <c r="B347" s="6"/>
    </row>
    <row r="348" spans="1:2" x14ac:dyDescent="0.25">
      <c r="A348" s="6" t="s">
        <v>773</v>
      </c>
      <c r="B348" s="6"/>
    </row>
    <row r="349" spans="1:2" x14ac:dyDescent="0.25">
      <c r="A349" s="6" t="s">
        <v>774</v>
      </c>
      <c r="B349" s="6"/>
    </row>
    <row r="350" spans="1:2" x14ac:dyDescent="0.25">
      <c r="A350" s="6" t="s">
        <v>775</v>
      </c>
      <c r="B350" s="6"/>
    </row>
    <row r="351" spans="1:2" x14ac:dyDescent="0.25">
      <c r="A351" s="6"/>
      <c r="B351" s="6"/>
    </row>
    <row r="352" spans="1:2" x14ac:dyDescent="0.25">
      <c r="A352" s="6" t="s">
        <v>776</v>
      </c>
      <c r="B352" s="6"/>
    </row>
    <row r="353" spans="1:2" x14ac:dyDescent="0.25">
      <c r="A353" s="6" t="s">
        <v>777</v>
      </c>
      <c r="B353" s="6"/>
    </row>
    <row r="354" spans="1:2" x14ac:dyDescent="0.25">
      <c r="A354" s="6" t="s">
        <v>778</v>
      </c>
      <c r="B354" s="6"/>
    </row>
    <row r="355" spans="1:2" x14ac:dyDescent="0.25">
      <c r="A355" s="6" t="s">
        <v>779</v>
      </c>
      <c r="B355" s="6"/>
    </row>
    <row r="356" spans="1:2" x14ac:dyDescent="0.25">
      <c r="A356" s="6"/>
      <c r="B356" s="6"/>
    </row>
    <row r="357" spans="1:2" x14ac:dyDescent="0.25">
      <c r="A357" s="6" t="s">
        <v>780</v>
      </c>
      <c r="B357" s="6"/>
    </row>
    <row r="358" spans="1:2" x14ac:dyDescent="0.25">
      <c r="A358" s="6" t="s">
        <v>781</v>
      </c>
      <c r="B358" s="6"/>
    </row>
    <row r="359" spans="1:2" x14ac:dyDescent="0.25">
      <c r="A359" s="6" t="s">
        <v>782</v>
      </c>
      <c r="B359" s="6"/>
    </row>
    <row r="360" spans="1:2" x14ac:dyDescent="0.25">
      <c r="A360" s="6" t="s">
        <v>559</v>
      </c>
      <c r="B360" s="6"/>
    </row>
    <row r="361" spans="1:2" x14ac:dyDescent="0.25">
      <c r="A361" s="6" t="s">
        <v>783</v>
      </c>
      <c r="B361" s="6"/>
    </row>
    <row r="362" spans="1:2" x14ac:dyDescent="0.25">
      <c r="A362" s="6" t="s">
        <v>784</v>
      </c>
      <c r="B362" s="6"/>
    </row>
    <row r="363" spans="1:2" x14ac:dyDescent="0.25">
      <c r="A363" s="6" t="s">
        <v>785</v>
      </c>
      <c r="B363" s="6"/>
    </row>
    <row r="364" spans="1:2" x14ac:dyDescent="0.25">
      <c r="A364" s="6" t="s">
        <v>786</v>
      </c>
      <c r="B364" s="6"/>
    </row>
    <row r="365" spans="1:2" x14ac:dyDescent="0.25">
      <c r="A365" s="6" t="s">
        <v>787</v>
      </c>
      <c r="B365" s="6"/>
    </row>
    <row r="366" spans="1:2" x14ac:dyDescent="0.25">
      <c r="A366" s="6" t="s">
        <v>788</v>
      </c>
      <c r="B366" s="6"/>
    </row>
    <row r="367" spans="1:2" x14ac:dyDescent="0.25">
      <c r="A367" s="6" t="s">
        <v>789</v>
      </c>
      <c r="B367" s="6"/>
    </row>
    <row r="368" spans="1:2" x14ac:dyDescent="0.25">
      <c r="A368" s="6" t="s">
        <v>790</v>
      </c>
      <c r="B368" s="6"/>
    </row>
    <row r="369" spans="1:2" x14ac:dyDescent="0.25">
      <c r="A369" s="6" t="s">
        <v>791</v>
      </c>
      <c r="B369" s="6"/>
    </row>
    <row r="370" spans="1:2" x14ac:dyDescent="0.25">
      <c r="A370" s="6"/>
      <c r="B370" s="6"/>
    </row>
    <row r="371" spans="1:2" x14ac:dyDescent="0.25">
      <c r="A371" s="6" t="s">
        <v>792</v>
      </c>
      <c r="B371" s="6"/>
    </row>
    <row r="372" spans="1:2" x14ac:dyDescent="0.25">
      <c r="A372" s="6"/>
      <c r="B372" s="6"/>
    </row>
    <row r="373" spans="1:2" x14ac:dyDescent="0.25">
      <c r="A373" s="6" t="s">
        <v>793</v>
      </c>
      <c r="B373" s="6"/>
    </row>
    <row r="374" spans="1:2" x14ac:dyDescent="0.25">
      <c r="A374" s="6" t="s">
        <v>794</v>
      </c>
      <c r="B374" s="6"/>
    </row>
    <row r="375" spans="1:2" x14ac:dyDescent="0.25">
      <c r="A375" s="6"/>
      <c r="B375" s="6"/>
    </row>
    <row r="376" spans="1:2" x14ac:dyDescent="0.25">
      <c r="A376" s="6" t="s">
        <v>795</v>
      </c>
      <c r="B376" s="6"/>
    </row>
    <row r="377" spans="1:2" x14ac:dyDescent="0.25">
      <c r="A377" s="6" t="s">
        <v>796</v>
      </c>
      <c r="B377" s="6"/>
    </row>
    <row r="378" spans="1:2" x14ac:dyDescent="0.25">
      <c r="A378" s="6"/>
      <c r="B378" s="6"/>
    </row>
    <row r="379" spans="1:2" x14ac:dyDescent="0.25">
      <c r="A379" s="6" t="s">
        <v>797</v>
      </c>
      <c r="B379" s="6"/>
    </row>
    <row r="380" spans="1:2" x14ac:dyDescent="0.25">
      <c r="A380" s="6" t="s">
        <v>798</v>
      </c>
      <c r="B380" s="6"/>
    </row>
    <row r="381" spans="1:2" x14ac:dyDescent="0.25">
      <c r="A381" s="6"/>
      <c r="B381" s="6"/>
    </row>
    <row r="382" spans="1:2" x14ac:dyDescent="0.25">
      <c r="A382" s="6" t="s">
        <v>799</v>
      </c>
      <c r="B382" s="6"/>
    </row>
    <row r="383" spans="1:2" x14ac:dyDescent="0.25">
      <c r="A383" s="6"/>
      <c r="B383" s="6"/>
    </row>
    <row r="384" spans="1:2" x14ac:dyDescent="0.25">
      <c r="A384" s="6" t="s">
        <v>800</v>
      </c>
      <c r="B384" s="6"/>
    </row>
    <row r="385" spans="1:2" x14ac:dyDescent="0.25">
      <c r="A385" s="6"/>
      <c r="B385" s="6"/>
    </row>
    <row r="386" spans="1:2" x14ac:dyDescent="0.25">
      <c r="A386" s="6" t="s">
        <v>801</v>
      </c>
      <c r="B386" s="6"/>
    </row>
    <row r="387" spans="1:2" x14ac:dyDescent="0.25">
      <c r="A387" s="6" t="s">
        <v>802</v>
      </c>
      <c r="B387" s="6"/>
    </row>
    <row r="388" spans="1:2" x14ac:dyDescent="0.25">
      <c r="A388" s="6" t="s">
        <v>803</v>
      </c>
      <c r="B388" s="6"/>
    </row>
    <row r="389" spans="1:2" x14ac:dyDescent="0.25">
      <c r="A389" s="6" t="s">
        <v>804</v>
      </c>
      <c r="B389" s="6"/>
    </row>
    <row r="390" spans="1:2" x14ac:dyDescent="0.25">
      <c r="A390" s="6" t="s">
        <v>805</v>
      </c>
      <c r="B390" s="6"/>
    </row>
    <row r="391" spans="1:2" x14ac:dyDescent="0.25">
      <c r="A391" s="6" t="s">
        <v>806</v>
      </c>
      <c r="B391" s="6"/>
    </row>
    <row r="392" spans="1:2" x14ac:dyDescent="0.25">
      <c r="A392" s="6" t="s">
        <v>807</v>
      </c>
      <c r="B392" s="6"/>
    </row>
    <row r="393" spans="1:2" x14ac:dyDescent="0.25">
      <c r="A393" s="6" t="s">
        <v>808</v>
      </c>
      <c r="B393" s="6"/>
    </row>
    <row r="394" spans="1:2" x14ac:dyDescent="0.25">
      <c r="A394" s="6" t="s">
        <v>568</v>
      </c>
      <c r="B394" s="6"/>
    </row>
    <row r="395" spans="1:2" x14ac:dyDescent="0.25">
      <c r="A395" s="6" t="s">
        <v>809</v>
      </c>
      <c r="B395" s="6"/>
    </row>
    <row r="396" spans="1:2" x14ac:dyDescent="0.25">
      <c r="A396" s="6" t="s">
        <v>810</v>
      </c>
      <c r="B396" s="6"/>
    </row>
    <row r="397" spans="1:2" x14ac:dyDescent="0.25">
      <c r="A397" s="6" t="s">
        <v>811</v>
      </c>
      <c r="B397" s="6"/>
    </row>
    <row r="398" spans="1:2" x14ac:dyDescent="0.25">
      <c r="A398" s="6" t="s">
        <v>812</v>
      </c>
      <c r="B398" s="6"/>
    </row>
    <row r="399" spans="1:2" x14ac:dyDescent="0.25">
      <c r="A399" s="6" t="s">
        <v>813</v>
      </c>
      <c r="B399" s="6"/>
    </row>
    <row r="400" spans="1:2" x14ac:dyDescent="0.25">
      <c r="A400" s="6" t="s">
        <v>814</v>
      </c>
      <c r="B400" s="6"/>
    </row>
    <row r="401" spans="1:2" x14ac:dyDescent="0.25">
      <c r="A401" s="6" t="s">
        <v>815</v>
      </c>
      <c r="B401" s="6"/>
    </row>
    <row r="402" spans="1:2" x14ac:dyDescent="0.25">
      <c r="A402" s="6" t="s">
        <v>816</v>
      </c>
      <c r="B402" s="6"/>
    </row>
    <row r="403" spans="1:2" x14ac:dyDescent="0.25">
      <c r="A403" s="6"/>
      <c r="B403" s="6"/>
    </row>
    <row r="404" spans="1:2" x14ac:dyDescent="0.25">
      <c r="A404" s="6" t="s">
        <v>817</v>
      </c>
      <c r="B404" s="6"/>
    </row>
    <row r="405" spans="1:2" x14ac:dyDescent="0.25">
      <c r="A405" s="6" t="s">
        <v>818</v>
      </c>
      <c r="B405" s="6"/>
    </row>
    <row r="406" spans="1:2" x14ac:dyDescent="0.25">
      <c r="A406" s="6" t="s">
        <v>819</v>
      </c>
      <c r="B406" s="6"/>
    </row>
    <row r="407" spans="1:2" x14ac:dyDescent="0.25">
      <c r="A407" s="6" t="s">
        <v>572</v>
      </c>
      <c r="B407" s="6"/>
    </row>
    <row r="408" spans="1:2" x14ac:dyDescent="0.25">
      <c r="A408" s="6" t="s">
        <v>820</v>
      </c>
      <c r="B408" s="6"/>
    </row>
    <row r="409" spans="1:2" x14ac:dyDescent="0.25">
      <c r="A409" s="6" t="s">
        <v>821</v>
      </c>
      <c r="B409" s="6"/>
    </row>
    <row r="410" spans="1:2" x14ac:dyDescent="0.25">
      <c r="A410" s="6" t="s">
        <v>822</v>
      </c>
      <c r="B410" s="6"/>
    </row>
    <row r="411" spans="1:2" x14ac:dyDescent="0.25">
      <c r="A411" s="6" t="s">
        <v>823</v>
      </c>
      <c r="B411" s="6"/>
    </row>
    <row r="412" spans="1:2" x14ac:dyDescent="0.25">
      <c r="A412" s="6" t="s">
        <v>824</v>
      </c>
      <c r="B412" s="6"/>
    </row>
    <row r="413" spans="1:2" x14ac:dyDescent="0.25">
      <c r="A413" s="6" t="s">
        <v>825</v>
      </c>
      <c r="B413" s="6"/>
    </row>
    <row r="414" spans="1:2" x14ac:dyDescent="0.25">
      <c r="A414" s="6" t="s">
        <v>826</v>
      </c>
      <c r="B414" s="6"/>
    </row>
    <row r="415" spans="1:2" x14ac:dyDescent="0.25">
      <c r="A415" s="6"/>
      <c r="B415" s="6"/>
    </row>
    <row r="416" spans="1:2" x14ac:dyDescent="0.25">
      <c r="A416" s="6" t="s">
        <v>827</v>
      </c>
      <c r="B416" s="6"/>
    </row>
    <row r="417" spans="1:2" x14ac:dyDescent="0.25">
      <c r="A417" s="6" t="s">
        <v>828</v>
      </c>
      <c r="B417" s="6"/>
    </row>
    <row r="418" spans="1:2" x14ac:dyDescent="0.25">
      <c r="A418" s="6"/>
      <c r="B418" s="6"/>
    </row>
    <row r="419" spans="1:2" x14ac:dyDescent="0.25">
      <c r="A419" s="6" t="s">
        <v>829</v>
      </c>
      <c r="B419" s="6"/>
    </row>
    <row r="420" spans="1:2" x14ac:dyDescent="0.25">
      <c r="A420" s="6"/>
      <c r="B420" s="6"/>
    </row>
    <row r="421" spans="1:2" x14ac:dyDescent="0.25">
      <c r="A421" s="6" t="s">
        <v>830</v>
      </c>
      <c r="B421" s="6"/>
    </row>
    <row r="422" spans="1:2" x14ac:dyDescent="0.25">
      <c r="A422" s="6" t="s">
        <v>831</v>
      </c>
      <c r="B422" s="6"/>
    </row>
    <row r="423" spans="1:2" x14ac:dyDescent="0.25">
      <c r="A423" s="6" t="s">
        <v>832</v>
      </c>
      <c r="B423" s="6"/>
    </row>
    <row r="424" spans="1:2" x14ac:dyDescent="0.25">
      <c r="A424" s="6" t="s">
        <v>578</v>
      </c>
      <c r="B424" s="6"/>
    </row>
    <row r="425" spans="1:2" x14ac:dyDescent="0.25">
      <c r="A425" s="6" t="s">
        <v>579</v>
      </c>
      <c r="B425" s="6"/>
    </row>
    <row r="426" spans="1:2" x14ac:dyDescent="0.25">
      <c r="A426" s="6" t="s">
        <v>833</v>
      </c>
      <c r="B426" s="6"/>
    </row>
    <row r="427" spans="1:2" x14ac:dyDescent="0.25">
      <c r="A427" s="6" t="s">
        <v>834</v>
      </c>
      <c r="B427" s="6"/>
    </row>
    <row r="428" spans="1:2" x14ac:dyDescent="0.25">
      <c r="A428" s="6" t="s">
        <v>581</v>
      </c>
      <c r="B428" s="6"/>
    </row>
    <row r="429" spans="1:2" x14ac:dyDescent="0.25">
      <c r="A429" s="6" t="s">
        <v>835</v>
      </c>
      <c r="B429" s="6"/>
    </row>
    <row r="430" spans="1:2" x14ac:dyDescent="0.25">
      <c r="A430" s="6" t="s">
        <v>836</v>
      </c>
      <c r="B430" s="6"/>
    </row>
    <row r="431" spans="1:2" x14ac:dyDescent="0.25">
      <c r="A431" s="6" t="s">
        <v>837</v>
      </c>
      <c r="B431" s="6"/>
    </row>
    <row r="432" spans="1:2" x14ac:dyDescent="0.25">
      <c r="A432" s="6" t="s">
        <v>583</v>
      </c>
      <c r="B432" s="6"/>
    </row>
    <row r="433" spans="1:2" x14ac:dyDescent="0.25">
      <c r="A433" s="6" t="s">
        <v>838</v>
      </c>
      <c r="B433" s="6"/>
    </row>
    <row r="434" spans="1:2" x14ac:dyDescent="0.25">
      <c r="A434" s="6" t="s">
        <v>839</v>
      </c>
      <c r="B434" s="6"/>
    </row>
    <row r="435" spans="1:2" x14ac:dyDescent="0.25">
      <c r="A435" s="6" t="s">
        <v>840</v>
      </c>
      <c r="B435" s="6"/>
    </row>
    <row r="436" spans="1:2" x14ac:dyDescent="0.25">
      <c r="A436" s="6" t="s">
        <v>841</v>
      </c>
      <c r="B436" s="6"/>
    </row>
    <row r="437" spans="1:2" x14ac:dyDescent="0.25">
      <c r="A437" s="6" t="s">
        <v>842</v>
      </c>
      <c r="B437" s="6"/>
    </row>
    <row r="438" spans="1:2" x14ac:dyDescent="0.25">
      <c r="A438" s="6" t="s">
        <v>843</v>
      </c>
      <c r="B438" s="6"/>
    </row>
    <row r="439" spans="1:2" x14ac:dyDescent="0.25">
      <c r="A439" s="6" t="s">
        <v>844</v>
      </c>
      <c r="B439" s="6"/>
    </row>
    <row r="440" spans="1:2" x14ac:dyDescent="0.25">
      <c r="A440" s="6" t="s">
        <v>845</v>
      </c>
      <c r="B440" s="6"/>
    </row>
    <row r="441" spans="1:2" x14ac:dyDescent="0.25">
      <c r="A441" s="6" t="s">
        <v>846</v>
      </c>
      <c r="B441" s="6"/>
    </row>
    <row r="442" spans="1:2" x14ac:dyDescent="0.25">
      <c r="A442" s="6" t="s">
        <v>847</v>
      </c>
      <c r="B442" s="6"/>
    </row>
    <row r="443" spans="1:2" x14ac:dyDescent="0.25">
      <c r="A443" s="6" t="s">
        <v>848</v>
      </c>
      <c r="B443" s="6"/>
    </row>
    <row r="444" spans="1:2" x14ac:dyDescent="0.25">
      <c r="A444" s="6" t="s">
        <v>849</v>
      </c>
      <c r="B444" s="6"/>
    </row>
    <row r="445" spans="1:2" x14ac:dyDescent="0.25">
      <c r="A445" s="6" t="s">
        <v>850</v>
      </c>
      <c r="B445" s="6"/>
    </row>
    <row r="446" spans="1:2" x14ac:dyDescent="0.25">
      <c r="A446" s="6" t="s">
        <v>851</v>
      </c>
      <c r="B446" s="6"/>
    </row>
    <row r="447" spans="1:2" x14ac:dyDescent="0.25">
      <c r="A447" s="6" t="s">
        <v>852</v>
      </c>
      <c r="B447" s="6"/>
    </row>
    <row r="448" spans="1:2" x14ac:dyDescent="0.25">
      <c r="A448" s="6" t="s">
        <v>853</v>
      </c>
      <c r="B448" s="6"/>
    </row>
    <row r="449" spans="1:2" x14ac:dyDescent="0.25">
      <c r="A449" s="6" t="s">
        <v>854</v>
      </c>
      <c r="B449" s="6"/>
    </row>
    <row r="450" spans="1:2" x14ac:dyDescent="0.25">
      <c r="A450" s="6" t="s">
        <v>855</v>
      </c>
      <c r="B450" s="6"/>
    </row>
    <row r="451" spans="1:2" x14ac:dyDescent="0.25">
      <c r="A451" s="6"/>
      <c r="B451" s="6"/>
    </row>
    <row r="452" spans="1:2" x14ac:dyDescent="0.25">
      <c r="A452" s="6" t="s">
        <v>856</v>
      </c>
      <c r="B452" s="6"/>
    </row>
    <row r="453" spans="1:2" x14ac:dyDescent="0.25">
      <c r="A453" s="6" t="s">
        <v>857</v>
      </c>
      <c r="B453" s="6"/>
    </row>
    <row r="454" spans="1:2" x14ac:dyDescent="0.25">
      <c r="A454" s="6" t="s">
        <v>858</v>
      </c>
      <c r="B454" s="6"/>
    </row>
    <row r="455" spans="1:2" x14ac:dyDescent="0.25">
      <c r="A455" s="6" t="s">
        <v>859</v>
      </c>
      <c r="B455" s="6"/>
    </row>
    <row r="456" spans="1:2" x14ac:dyDescent="0.25">
      <c r="A456" s="6" t="s">
        <v>860</v>
      </c>
      <c r="B456" s="6"/>
    </row>
    <row r="457" spans="1:2" x14ac:dyDescent="0.25">
      <c r="A457" s="6" t="s">
        <v>861</v>
      </c>
      <c r="B457" s="6"/>
    </row>
    <row r="458" spans="1:2" x14ac:dyDescent="0.25">
      <c r="A458" s="6" t="s">
        <v>862</v>
      </c>
      <c r="B458" s="6"/>
    </row>
    <row r="459" spans="1:2" x14ac:dyDescent="0.25">
      <c r="A459" s="6" t="s">
        <v>863</v>
      </c>
      <c r="B459" s="6"/>
    </row>
    <row r="460" spans="1:2" x14ac:dyDescent="0.25">
      <c r="A460" s="6" t="s">
        <v>864</v>
      </c>
      <c r="B460" s="6"/>
    </row>
    <row r="461" spans="1:2" x14ac:dyDescent="0.25">
      <c r="A461" s="6" t="s">
        <v>865</v>
      </c>
      <c r="B461" s="6"/>
    </row>
    <row r="462" spans="1:2" x14ac:dyDescent="0.25">
      <c r="A462" s="6"/>
      <c r="B462" s="6"/>
    </row>
    <row r="463" spans="1:2" x14ac:dyDescent="0.25">
      <c r="A463" s="6" t="s">
        <v>599</v>
      </c>
      <c r="B463" s="6"/>
    </row>
    <row r="464" spans="1:2" x14ac:dyDescent="0.25">
      <c r="A464" s="6"/>
      <c r="B464" s="6"/>
    </row>
    <row r="465" spans="1:2" x14ac:dyDescent="0.25">
      <c r="A465" s="6" t="s">
        <v>866</v>
      </c>
      <c r="B465" s="6"/>
    </row>
    <row r="466" spans="1:2" x14ac:dyDescent="0.25">
      <c r="A466" s="6" t="s">
        <v>867</v>
      </c>
      <c r="B466" s="6"/>
    </row>
    <row r="467" spans="1:2" x14ac:dyDescent="0.25">
      <c r="A467" s="6"/>
      <c r="B467" s="6"/>
    </row>
    <row r="468" spans="1:2" x14ac:dyDescent="0.25">
      <c r="A468" s="6" t="s">
        <v>868</v>
      </c>
      <c r="B468" s="6"/>
    </row>
    <row r="469" spans="1:2" x14ac:dyDescent="0.25">
      <c r="A469" s="6" t="s">
        <v>869</v>
      </c>
      <c r="B469" s="6"/>
    </row>
    <row r="470" spans="1:2" x14ac:dyDescent="0.25">
      <c r="A470" s="6"/>
      <c r="B470" s="6"/>
    </row>
    <row r="471" spans="1:2" x14ac:dyDescent="0.25">
      <c r="A471" s="6" t="s">
        <v>870</v>
      </c>
      <c r="B471" s="6"/>
    </row>
    <row r="472" spans="1:2" x14ac:dyDescent="0.25">
      <c r="A472" s="6" t="s">
        <v>871</v>
      </c>
      <c r="B472" s="6"/>
    </row>
    <row r="473" spans="1:2" x14ac:dyDescent="0.25">
      <c r="A473" s="6" t="s">
        <v>872</v>
      </c>
      <c r="B473" s="6"/>
    </row>
    <row r="474" spans="1:2" x14ac:dyDescent="0.25">
      <c r="A474" s="6" t="s">
        <v>873</v>
      </c>
      <c r="B474" s="6"/>
    </row>
    <row r="475" spans="1:2" x14ac:dyDescent="0.25">
      <c r="A475" s="6" t="s">
        <v>874</v>
      </c>
      <c r="B475" s="6"/>
    </row>
    <row r="476" spans="1:2" x14ac:dyDescent="0.25">
      <c r="A476" s="6" t="s">
        <v>875</v>
      </c>
      <c r="B476" s="6"/>
    </row>
    <row r="477" spans="1:2" x14ac:dyDescent="0.25">
      <c r="A477" s="6" t="s">
        <v>876</v>
      </c>
      <c r="B477" s="6"/>
    </row>
    <row r="478" spans="1:2" x14ac:dyDescent="0.25">
      <c r="A478" s="6" t="s">
        <v>877</v>
      </c>
      <c r="B478" s="6"/>
    </row>
    <row r="479" spans="1:2" x14ac:dyDescent="0.25">
      <c r="A479" s="6" t="s">
        <v>878</v>
      </c>
      <c r="B479" s="6"/>
    </row>
    <row r="480" spans="1:2" x14ac:dyDescent="0.25">
      <c r="A480" s="6" t="s">
        <v>879</v>
      </c>
      <c r="B480" s="6"/>
    </row>
    <row r="481" spans="1:2" x14ac:dyDescent="0.25">
      <c r="A481" s="6" t="s">
        <v>880</v>
      </c>
      <c r="B481" s="6"/>
    </row>
    <row r="482" spans="1:2" x14ac:dyDescent="0.25">
      <c r="A482" s="6" t="s">
        <v>881</v>
      </c>
      <c r="B482" s="6"/>
    </row>
    <row r="483" spans="1:2" x14ac:dyDescent="0.25">
      <c r="A483" s="6" t="s">
        <v>882</v>
      </c>
      <c r="B483" s="6"/>
    </row>
    <row r="484" spans="1:2" x14ac:dyDescent="0.25">
      <c r="A484" s="6" t="s">
        <v>883</v>
      </c>
      <c r="B484" s="6"/>
    </row>
    <row r="485" spans="1:2" x14ac:dyDescent="0.25">
      <c r="A485" s="6" t="s">
        <v>884</v>
      </c>
      <c r="B485" s="6"/>
    </row>
    <row r="486" spans="1:2" x14ac:dyDescent="0.25">
      <c r="A486" s="6"/>
      <c r="B486" s="6"/>
    </row>
    <row r="487" spans="1:2" x14ac:dyDescent="0.25">
      <c r="A487" s="6" t="s">
        <v>885</v>
      </c>
      <c r="B487" s="6"/>
    </row>
    <row r="488" spans="1:2" x14ac:dyDescent="0.25">
      <c r="A488" s="6" t="s">
        <v>886</v>
      </c>
      <c r="B488" s="6"/>
    </row>
    <row r="489" spans="1:2" x14ac:dyDescent="0.25">
      <c r="A489" s="6"/>
      <c r="B489" s="6"/>
    </row>
    <row r="490" spans="1:2" x14ac:dyDescent="0.25">
      <c r="A490" s="6" t="s">
        <v>887</v>
      </c>
      <c r="B490" s="6"/>
    </row>
    <row r="491" spans="1:2" x14ac:dyDescent="0.25">
      <c r="A491" s="6"/>
      <c r="B491" s="6"/>
    </row>
    <row r="492" spans="1:2" x14ac:dyDescent="0.25">
      <c r="A492" s="6" t="s">
        <v>888</v>
      </c>
      <c r="B492" s="6"/>
    </row>
    <row r="493" spans="1:2" x14ac:dyDescent="0.25">
      <c r="A493" s="6" t="s">
        <v>889</v>
      </c>
      <c r="B493" s="6"/>
    </row>
    <row r="494" spans="1:2" x14ac:dyDescent="0.25">
      <c r="A494" s="6" t="s">
        <v>890</v>
      </c>
      <c r="B494" s="6"/>
    </row>
    <row r="495" spans="1:2" x14ac:dyDescent="0.25">
      <c r="A495" s="6" t="s">
        <v>891</v>
      </c>
      <c r="B495" s="6"/>
    </row>
    <row r="496" spans="1:2" x14ac:dyDescent="0.25">
      <c r="A496" s="6" t="s">
        <v>892</v>
      </c>
      <c r="B496" s="6"/>
    </row>
    <row r="497" spans="1:2" x14ac:dyDescent="0.25">
      <c r="A497" s="6" t="s">
        <v>893</v>
      </c>
      <c r="B497" s="6"/>
    </row>
    <row r="498" spans="1:2" x14ac:dyDescent="0.25">
      <c r="A498" s="6" t="s">
        <v>894</v>
      </c>
      <c r="B498" s="6"/>
    </row>
    <row r="499" spans="1:2" x14ac:dyDescent="0.25">
      <c r="A499" s="6" t="s">
        <v>895</v>
      </c>
      <c r="B499" s="6"/>
    </row>
    <row r="500" spans="1:2" x14ac:dyDescent="0.25">
      <c r="A500" s="6" t="s">
        <v>896</v>
      </c>
      <c r="B500" s="6"/>
    </row>
    <row r="501" spans="1:2" x14ac:dyDescent="0.25">
      <c r="A501" s="6" t="s">
        <v>897</v>
      </c>
      <c r="B501" s="6"/>
    </row>
    <row r="502" spans="1:2" x14ac:dyDescent="0.25">
      <c r="A502" s="6" t="s">
        <v>898</v>
      </c>
      <c r="B502" s="6"/>
    </row>
    <row r="503" spans="1:2" x14ac:dyDescent="0.25">
      <c r="A503" s="6" t="s">
        <v>899</v>
      </c>
      <c r="B503" s="6"/>
    </row>
    <row r="504" spans="1:2" x14ac:dyDescent="0.25">
      <c r="A504" s="6" t="s">
        <v>900</v>
      </c>
      <c r="B504" s="6"/>
    </row>
    <row r="505" spans="1:2" x14ac:dyDescent="0.25">
      <c r="A505" s="6" t="s">
        <v>901</v>
      </c>
      <c r="B505" s="6"/>
    </row>
    <row r="506" spans="1:2" x14ac:dyDescent="0.25">
      <c r="A506" s="6" t="s">
        <v>902</v>
      </c>
      <c r="B506" s="6"/>
    </row>
    <row r="507" spans="1:2" x14ac:dyDescent="0.25">
      <c r="A507" s="6" t="s">
        <v>903</v>
      </c>
      <c r="B507" s="6"/>
    </row>
    <row r="508" spans="1:2" x14ac:dyDescent="0.25">
      <c r="A508" s="6" t="s">
        <v>904</v>
      </c>
      <c r="B508" s="6"/>
    </row>
    <row r="509" spans="1:2" x14ac:dyDescent="0.25">
      <c r="A509" s="6" t="s">
        <v>905</v>
      </c>
      <c r="B509" s="6"/>
    </row>
    <row r="510" spans="1:2" x14ac:dyDescent="0.25">
      <c r="A510" s="6" t="s">
        <v>906</v>
      </c>
      <c r="B510" s="6"/>
    </row>
    <row r="511" spans="1:2" x14ac:dyDescent="0.25">
      <c r="A511" s="6" t="s">
        <v>907</v>
      </c>
      <c r="B511" s="6"/>
    </row>
    <row r="512" spans="1:2" x14ac:dyDescent="0.25">
      <c r="A512" s="6" t="s">
        <v>908</v>
      </c>
      <c r="B512" s="6"/>
    </row>
    <row r="513" spans="1:2" x14ac:dyDescent="0.25">
      <c r="A513" s="6" t="s">
        <v>909</v>
      </c>
      <c r="B513" s="6"/>
    </row>
    <row r="514" spans="1:2" x14ac:dyDescent="0.25">
      <c r="A514" s="6" t="s">
        <v>910</v>
      </c>
      <c r="B514" s="6"/>
    </row>
    <row r="515" spans="1:2" x14ac:dyDescent="0.25">
      <c r="A515" s="6"/>
      <c r="B515" s="6"/>
    </row>
    <row r="516" spans="1:2" x14ac:dyDescent="0.25">
      <c r="A516" s="6" t="s">
        <v>911</v>
      </c>
      <c r="B516" s="6"/>
    </row>
    <row r="517" spans="1:2" x14ac:dyDescent="0.25">
      <c r="A517" s="6" t="s">
        <v>912</v>
      </c>
      <c r="B517" s="6"/>
    </row>
    <row r="518" spans="1:2" x14ac:dyDescent="0.25">
      <c r="A518" s="6"/>
      <c r="B518" s="6"/>
    </row>
    <row r="519" spans="1:2" x14ac:dyDescent="0.25">
      <c r="A519" s="6" t="s">
        <v>913</v>
      </c>
      <c r="B519" s="6"/>
    </row>
    <row r="520" spans="1:2" x14ac:dyDescent="0.25">
      <c r="A520" s="6" t="s">
        <v>914</v>
      </c>
      <c r="B520" s="6"/>
    </row>
    <row r="521" spans="1:2" x14ac:dyDescent="0.25">
      <c r="A521" s="6"/>
      <c r="B521" s="6"/>
    </row>
    <row r="522" spans="1:2" x14ac:dyDescent="0.25">
      <c r="A522" s="6" t="s">
        <v>915</v>
      </c>
      <c r="B522" s="6"/>
    </row>
    <row r="523" spans="1:2" x14ac:dyDescent="0.25">
      <c r="A523" s="6" t="s">
        <v>916</v>
      </c>
      <c r="B523" s="6"/>
    </row>
    <row r="524" spans="1:2" x14ac:dyDescent="0.25">
      <c r="A524" s="6"/>
      <c r="B524" s="6"/>
    </row>
    <row r="525" spans="1:2" x14ac:dyDescent="0.25">
      <c r="A525" s="6" t="s">
        <v>917</v>
      </c>
      <c r="B525" s="6"/>
    </row>
    <row r="526" spans="1:2" x14ac:dyDescent="0.25">
      <c r="A526" s="6" t="s">
        <v>918</v>
      </c>
      <c r="B526" s="6"/>
    </row>
    <row r="527" spans="1:2" x14ac:dyDescent="0.25">
      <c r="A527" s="6" t="s">
        <v>919</v>
      </c>
      <c r="B527" s="6"/>
    </row>
    <row r="528" spans="1:2" x14ac:dyDescent="0.25">
      <c r="A528" s="6" t="s">
        <v>920</v>
      </c>
      <c r="B528" s="6"/>
    </row>
    <row r="529" spans="1:2" x14ac:dyDescent="0.25">
      <c r="A529" s="6" t="s">
        <v>921</v>
      </c>
      <c r="B529" s="6"/>
    </row>
    <row r="530" spans="1:2" x14ac:dyDescent="0.25">
      <c r="A530" s="6" t="s">
        <v>922</v>
      </c>
      <c r="B530" s="6"/>
    </row>
    <row r="531" spans="1:2" x14ac:dyDescent="0.25">
      <c r="A531" s="6" t="s">
        <v>923</v>
      </c>
      <c r="B531" s="6"/>
    </row>
    <row r="532" spans="1:2" x14ac:dyDescent="0.25">
      <c r="A532" s="6" t="s">
        <v>924</v>
      </c>
      <c r="B532" s="6"/>
    </row>
    <row r="533" spans="1:2" x14ac:dyDescent="0.25">
      <c r="A533" s="6"/>
      <c r="B533" s="6"/>
    </row>
    <row r="534" spans="1:2" x14ac:dyDescent="0.25">
      <c r="A534" s="6" t="s">
        <v>925</v>
      </c>
      <c r="B534" s="6"/>
    </row>
    <row r="535" spans="1:2" x14ac:dyDescent="0.25">
      <c r="A535" s="6"/>
      <c r="B535" s="6"/>
    </row>
    <row r="536" spans="1:2" x14ac:dyDescent="0.25">
      <c r="A536" s="6" t="s">
        <v>926</v>
      </c>
      <c r="B536" s="6"/>
    </row>
    <row r="537" spans="1:2" x14ac:dyDescent="0.25">
      <c r="A537" s="6"/>
      <c r="B537" s="6"/>
    </row>
    <row r="538" spans="1:2" x14ac:dyDescent="0.25">
      <c r="A538" s="6" t="s">
        <v>927</v>
      </c>
      <c r="B538" s="6"/>
    </row>
    <row r="539" spans="1:2" x14ac:dyDescent="0.25">
      <c r="A539" s="6"/>
      <c r="B539" s="6"/>
    </row>
    <row r="540" spans="1:2" x14ac:dyDescent="0.25">
      <c r="A540" s="6" t="s">
        <v>928</v>
      </c>
      <c r="B540" s="6"/>
    </row>
    <row r="541" spans="1:2" x14ac:dyDescent="0.25">
      <c r="A541" s="6"/>
      <c r="B541" s="6"/>
    </row>
    <row r="542" spans="1:2" x14ac:dyDescent="0.25">
      <c r="A542" s="6" t="s">
        <v>929</v>
      </c>
      <c r="B542" s="6"/>
    </row>
    <row r="543" spans="1:2" x14ac:dyDescent="0.25">
      <c r="A543" s="6"/>
      <c r="B543" s="6"/>
    </row>
    <row r="544" spans="1:2" x14ac:dyDescent="0.25">
      <c r="A544" s="6" t="s">
        <v>930</v>
      </c>
      <c r="B544" s="6"/>
    </row>
    <row r="545" spans="1:2" x14ac:dyDescent="0.25">
      <c r="A545" s="6"/>
      <c r="B545" s="6"/>
    </row>
    <row r="546" spans="1:2" x14ac:dyDescent="0.25">
      <c r="A546" s="457" t="s">
        <v>931</v>
      </c>
      <c r="B546" s="6"/>
    </row>
    <row r="547" spans="1:2" x14ac:dyDescent="0.25">
      <c r="A547" s="457" t="s">
        <v>932</v>
      </c>
      <c r="B547" s="6"/>
    </row>
    <row r="548" spans="1:2" x14ac:dyDescent="0.25">
      <c r="A548" s="457" t="s">
        <v>933</v>
      </c>
      <c r="B548" s="6"/>
    </row>
    <row r="549" spans="1:2" x14ac:dyDescent="0.25">
      <c r="A549" s="457" t="s">
        <v>934</v>
      </c>
      <c r="B549" s="6"/>
    </row>
    <row r="550" spans="1:2" x14ac:dyDescent="0.25">
      <c r="A550" s="457" t="s">
        <v>935</v>
      </c>
      <c r="B550" s="6"/>
    </row>
    <row r="551" spans="1:2" x14ac:dyDescent="0.25">
      <c r="A551" s="457" t="s">
        <v>936</v>
      </c>
      <c r="B551" s="6"/>
    </row>
    <row r="552" spans="1:2" x14ac:dyDescent="0.25">
      <c r="A552" s="457" t="s">
        <v>937</v>
      </c>
      <c r="B552" s="6"/>
    </row>
    <row r="553" spans="1:2" x14ac:dyDescent="0.25">
      <c r="A553" s="457" t="s">
        <v>938</v>
      </c>
      <c r="B553" s="6"/>
    </row>
    <row r="554" spans="1:2" x14ac:dyDescent="0.25">
      <c r="A554" s="6"/>
      <c r="B554" s="6"/>
    </row>
    <row r="555" spans="1:2" x14ac:dyDescent="0.25">
      <c r="A555" s="6" t="s">
        <v>939</v>
      </c>
      <c r="B555" s="6"/>
    </row>
    <row r="556" spans="1:2" x14ac:dyDescent="0.25">
      <c r="A556" s="6" t="s">
        <v>940</v>
      </c>
      <c r="B556" s="6"/>
    </row>
    <row r="557" spans="1:2" x14ac:dyDescent="0.25">
      <c r="A557" s="6" t="s">
        <v>941</v>
      </c>
      <c r="B557" s="6"/>
    </row>
    <row r="558" spans="1:2" x14ac:dyDescent="0.25">
      <c r="A558" s="6" t="s">
        <v>942</v>
      </c>
      <c r="B558" s="6"/>
    </row>
    <row r="559" spans="1:2" x14ac:dyDescent="0.25">
      <c r="A559" s="6"/>
      <c r="B559" s="6"/>
    </row>
    <row r="560" spans="1:2" x14ac:dyDescent="0.25">
      <c r="A560" s="6" t="s">
        <v>943</v>
      </c>
      <c r="B560" s="6"/>
    </row>
    <row r="561" spans="1:2" x14ac:dyDescent="0.25">
      <c r="A561" s="6"/>
      <c r="B561" s="6"/>
    </row>
    <row r="562" spans="1:2" x14ac:dyDescent="0.25">
      <c r="A562" s="6" t="s">
        <v>944</v>
      </c>
      <c r="B562" s="6"/>
    </row>
    <row r="563" spans="1:2" x14ac:dyDescent="0.25">
      <c r="A563" s="6"/>
      <c r="B563" s="6"/>
    </row>
    <row r="564" spans="1:2" x14ac:dyDescent="0.25">
      <c r="A564" s="6" t="s">
        <v>945</v>
      </c>
      <c r="B564" s="6"/>
    </row>
    <row r="565" spans="1:2" x14ac:dyDescent="0.25">
      <c r="A565" s="6" t="s">
        <v>946</v>
      </c>
      <c r="B565" s="6"/>
    </row>
    <row r="566" spans="1:2" x14ac:dyDescent="0.25">
      <c r="A566" s="6" t="s">
        <v>947</v>
      </c>
      <c r="B566" s="6"/>
    </row>
    <row r="567" spans="1:2" x14ac:dyDescent="0.25">
      <c r="A567" s="6" t="s">
        <v>948</v>
      </c>
      <c r="B567" s="6"/>
    </row>
    <row r="568" spans="1:2" x14ac:dyDescent="0.25">
      <c r="A568" s="6" t="s">
        <v>949</v>
      </c>
      <c r="B568" s="6"/>
    </row>
    <row r="569" spans="1:2" x14ac:dyDescent="0.25">
      <c r="A569" s="6" t="s">
        <v>950</v>
      </c>
      <c r="B569" s="6"/>
    </row>
    <row r="570" spans="1:2" x14ac:dyDescent="0.25">
      <c r="A570" s="6" t="s">
        <v>951</v>
      </c>
      <c r="B570" s="6"/>
    </row>
    <row r="571" spans="1:2" x14ac:dyDescent="0.25">
      <c r="A571" s="6" t="s">
        <v>952</v>
      </c>
      <c r="B571" s="6"/>
    </row>
    <row r="572" spans="1:2" x14ac:dyDescent="0.25">
      <c r="A572" s="6" t="s">
        <v>953</v>
      </c>
      <c r="B572" s="6"/>
    </row>
    <row r="573" spans="1:2" x14ac:dyDescent="0.25">
      <c r="A573" s="6" t="s">
        <v>954</v>
      </c>
      <c r="B573" s="6"/>
    </row>
    <row r="574" spans="1:2" x14ac:dyDescent="0.25">
      <c r="A574" s="6" t="s">
        <v>955</v>
      </c>
      <c r="B574" s="6"/>
    </row>
    <row r="575" spans="1:2" x14ac:dyDescent="0.25">
      <c r="A575" s="6" t="s">
        <v>956</v>
      </c>
      <c r="B575" s="6"/>
    </row>
    <row r="576" spans="1:2" x14ac:dyDescent="0.25">
      <c r="A576" s="6" t="s">
        <v>957</v>
      </c>
      <c r="B576" s="6"/>
    </row>
    <row r="577" spans="1:2" x14ac:dyDescent="0.25">
      <c r="A577" s="6" t="s">
        <v>958</v>
      </c>
      <c r="B577" s="6"/>
    </row>
    <row r="578" spans="1:2" x14ac:dyDescent="0.25">
      <c r="A578" s="6" t="s">
        <v>959</v>
      </c>
      <c r="B578" s="6"/>
    </row>
    <row r="579" spans="1:2" x14ac:dyDescent="0.25">
      <c r="A579" s="6" t="s">
        <v>960</v>
      </c>
      <c r="B579" s="6"/>
    </row>
    <row r="580" spans="1:2" x14ac:dyDescent="0.25">
      <c r="A580" s="6" t="s">
        <v>961</v>
      </c>
      <c r="B580" s="6"/>
    </row>
    <row r="581" spans="1:2" x14ac:dyDescent="0.25">
      <c r="A581" s="6" t="s">
        <v>962</v>
      </c>
      <c r="B581" s="6"/>
    </row>
    <row r="582" spans="1:2" x14ac:dyDescent="0.25">
      <c r="A582" s="6" t="s">
        <v>963</v>
      </c>
      <c r="B582" s="6"/>
    </row>
    <row r="583" spans="1:2" x14ac:dyDescent="0.25">
      <c r="A583" s="6" t="s">
        <v>964</v>
      </c>
      <c r="B583" s="6"/>
    </row>
    <row r="584" spans="1:2" x14ac:dyDescent="0.25">
      <c r="A584" s="6" t="s">
        <v>965</v>
      </c>
      <c r="B584" s="6"/>
    </row>
    <row r="585" spans="1:2" x14ac:dyDescent="0.25">
      <c r="A585" s="6" t="s">
        <v>966</v>
      </c>
      <c r="B585" s="6"/>
    </row>
    <row r="586" spans="1:2" x14ac:dyDescent="0.25">
      <c r="A586" s="6" t="s">
        <v>967</v>
      </c>
      <c r="B586" s="6"/>
    </row>
    <row r="587" spans="1:2" x14ac:dyDescent="0.25">
      <c r="A587" s="6" t="s">
        <v>968</v>
      </c>
      <c r="B587" s="6"/>
    </row>
    <row r="588" spans="1:2" x14ac:dyDescent="0.25">
      <c r="A588" s="6" t="s">
        <v>969</v>
      </c>
      <c r="B588" s="6"/>
    </row>
    <row r="589" spans="1:2" x14ac:dyDescent="0.25">
      <c r="A589" s="6" t="s">
        <v>970</v>
      </c>
      <c r="B589" s="6"/>
    </row>
    <row r="590" spans="1:2" x14ac:dyDescent="0.25">
      <c r="A590" s="6" t="s">
        <v>971</v>
      </c>
      <c r="B590" s="6"/>
    </row>
    <row r="591" spans="1:2" x14ac:dyDescent="0.25">
      <c r="A591" s="6" t="s">
        <v>972</v>
      </c>
      <c r="B591" s="6"/>
    </row>
    <row r="592" spans="1:2" x14ac:dyDescent="0.25">
      <c r="A592" s="6" t="s">
        <v>973</v>
      </c>
      <c r="B592" s="6"/>
    </row>
    <row r="593" spans="1:2" x14ac:dyDescent="0.25">
      <c r="A593" s="6" t="s">
        <v>974</v>
      </c>
      <c r="B593" s="6"/>
    </row>
    <row r="594" spans="1:2" x14ac:dyDescent="0.25">
      <c r="A594" s="6" t="s">
        <v>975</v>
      </c>
      <c r="B594" s="6"/>
    </row>
    <row r="595" spans="1:2" x14ac:dyDescent="0.25">
      <c r="A595" s="6" t="s">
        <v>976</v>
      </c>
      <c r="B595" s="6"/>
    </row>
    <row r="596" spans="1:2" x14ac:dyDescent="0.25">
      <c r="A596" s="6" t="s">
        <v>977</v>
      </c>
      <c r="B596" s="6"/>
    </row>
    <row r="597" spans="1:2" x14ac:dyDescent="0.25">
      <c r="A597" s="6" t="s">
        <v>978</v>
      </c>
      <c r="B597" s="6"/>
    </row>
    <row r="598" spans="1:2" x14ac:dyDescent="0.25">
      <c r="A598" s="6" t="s">
        <v>979</v>
      </c>
      <c r="B598" s="6"/>
    </row>
    <row r="599" spans="1:2" x14ac:dyDescent="0.25">
      <c r="A599" s="6" t="s">
        <v>980</v>
      </c>
      <c r="B599" s="6"/>
    </row>
    <row r="600" spans="1:2" x14ac:dyDescent="0.25">
      <c r="A600" s="6" t="s">
        <v>981</v>
      </c>
      <c r="B600" s="6"/>
    </row>
    <row r="601" spans="1:2" x14ac:dyDescent="0.25">
      <c r="A601" s="6" t="s">
        <v>982</v>
      </c>
      <c r="B601" s="6"/>
    </row>
    <row r="602" spans="1:2" x14ac:dyDescent="0.25">
      <c r="A602" s="6" t="s">
        <v>983</v>
      </c>
      <c r="B602" s="6"/>
    </row>
    <row r="603" spans="1:2" x14ac:dyDescent="0.25">
      <c r="A603" s="6" t="s">
        <v>984</v>
      </c>
      <c r="B603" s="6"/>
    </row>
    <row r="604" spans="1:2" x14ac:dyDescent="0.25">
      <c r="A604" s="6" t="s">
        <v>985</v>
      </c>
      <c r="B604" s="6"/>
    </row>
    <row r="605" spans="1:2" x14ac:dyDescent="0.25">
      <c r="A605" s="6" t="s">
        <v>986</v>
      </c>
      <c r="B605" s="6"/>
    </row>
    <row r="606" spans="1:2" x14ac:dyDescent="0.25">
      <c r="A606" s="6" t="s">
        <v>987</v>
      </c>
      <c r="B606" s="6"/>
    </row>
    <row r="607" spans="1:2" x14ac:dyDescent="0.25">
      <c r="A607" s="6" t="s">
        <v>988</v>
      </c>
      <c r="B607" s="6"/>
    </row>
    <row r="608" spans="1:2" x14ac:dyDescent="0.25">
      <c r="A608" s="6" t="s">
        <v>989</v>
      </c>
      <c r="B608" s="6"/>
    </row>
    <row r="609" spans="1:2" x14ac:dyDescent="0.25">
      <c r="A609" s="6" t="s">
        <v>990</v>
      </c>
      <c r="B609" s="6"/>
    </row>
    <row r="610" spans="1:2" x14ac:dyDescent="0.25">
      <c r="A610" s="6" t="s">
        <v>991</v>
      </c>
      <c r="B610" s="6"/>
    </row>
    <row r="611" spans="1:2" x14ac:dyDescent="0.25">
      <c r="A611" s="6" t="s">
        <v>992</v>
      </c>
      <c r="B611" s="6"/>
    </row>
    <row r="612" spans="1:2" x14ac:dyDescent="0.25">
      <c r="A612" s="6" t="s">
        <v>993</v>
      </c>
      <c r="B612" s="6"/>
    </row>
    <row r="613" spans="1:2" x14ac:dyDescent="0.25">
      <c r="A613" s="6" t="s">
        <v>994</v>
      </c>
      <c r="B613" s="6"/>
    </row>
    <row r="614" spans="1:2" x14ac:dyDescent="0.25">
      <c r="A614" s="6" t="s">
        <v>995</v>
      </c>
      <c r="B614" s="6"/>
    </row>
    <row r="615" spans="1:2" x14ac:dyDescent="0.25">
      <c r="A615" s="6" t="s">
        <v>996</v>
      </c>
      <c r="B615" s="6"/>
    </row>
    <row r="616" spans="1:2" x14ac:dyDescent="0.25">
      <c r="A616" s="6" t="s">
        <v>997</v>
      </c>
      <c r="B616" s="6"/>
    </row>
    <row r="617" spans="1:2" x14ac:dyDescent="0.25">
      <c r="A617" s="6" t="s">
        <v>998</v>
      </c>
      <c r="B617" s="6"/>
    </row>
    <row r="618" spans="1:2" x14ac:dyDescent="0.25">
      <c r="A618" s="6" t="s">
        <v>999</v>
      </c>
      <c r="B618" s="6"/>
    </row>
    <row r="619" spans="1:2" x14ac:dyDescent="0.25">
      <c r="A619" s="6" t="s">
        <v>1000</v>
      </c>
      <c r="B619" s="6"/>
    </row>
    <row r="620" spans="1:2" x14ac:dyDescent="0.25">
      <c r="A620" s="6" t="s">
        <v>1001</v>
      </c>
      <c r="B620" s="6"/>
    </row>
    <row r="621" spans="1:2" x14ac:dyDescent="0.25">
      <c r="A621" s="6" t="s">
        <v>1002</v>
      </c>
      <c r="B621" s="6"/>
    </row>
    <row r="622" spans="1:2" x14ac:dyDescent="0.25">
      <c r="A622" s="6" t="s">
        <v>1003</v>
      </c>
      <c r="B622" s="6"/>
    </row>
    <row r="623" spans="1:2" x14ac:dyDescent="0.25">
      <c r="A623" s="6" t="s">
        <v>1004</v>
      </c>
      <c r="B623" s="6"/>
    </row>
    <row r="624" spans="1:2" x14ac:dyDescent="0.25">
      <c r="A624" s="6" t="s">
        <v>1005</v>
      </c>
      <c r="B624" s="6"/>
    </row>
    <row r="625" spans="1:2" x14ac:dyDescent="0.25">
      <c r="A625" s="6" t="s">
        <v>1006</v>
      </c>
      <c r="B625" s="6"/>
    </row>
    <row r="626" spans="1:2" x14ac:dyDescent="0.25">
      <c r="A626" s="6" t="s">
        <v>1007</v>
      </c>
      <c r="B626" s="6"/>
    </row>
    <row r="627" spans="1:2" x14ac:dyDescent="0.25">
      <c r="A627" s="6" t="s">
        <v>1008</v>
      </c>
      <c r="B627" s="6"/>
    </row>
    <row r="628" spans="1:2" x14ac:dyDescent="0.25">
      <c r="A628" s="6" t="s">
        <v>1009</v>
      </c>
      <c r="B628" s="6"/>
    </row>
    <row r="629" spans="1:2" x14ac:dyDescent="0.25">
      <c r="A629" s="6" t="s">
        <v>1010</v>
      </c>
      <c r="B629" s="6"/>
    </row>
    <row r="630" spans="1:2" x14ac:dyDescent="0.25">
      <c r="A630" s="6" t="s">
        <v>1011</v>
      </c>
      <c r="B630" s="6"/>
    </row>
    <row r="631" spans="1:2" x14ac:dyDescent="0.25">
      <c r="A631" s="6" t="s">
        <v>1012</v>
      </c>
      <c r="B631" s="6"/>
    </row>
    <row r="632" spans="1:2" x14ac:dyDescent="0.25">
      <c r="A632" s="6" t="s">
        <v>1013</v>
      </c>
      <c r="B632" s="6"/>
    </row>
    <row r="633" spans="1:2" x14ac:dyDescent="0.25">
      <c r="A633" s="6" t="s">
        <v>1014</v>
      </c>
      <c r="B633" s="6"/>
    </row>
    <row r="634" spans="1:2" x14ac:dyDescent="0.25">
      <c r="A634" s="6" t="s">
        <v>1015</v>
      </c>
      <c r="B634" s="6"/>
    </row>
    <row r="635" spans="1:2" x14ac:dyDescent="0.25">
      <c r="A635" s="6" t="s">
        <v>1016</v>
      </c>
      <c r="B635" s="6"/>
    </row>
    <row r="636" spans="1:2" x14ac:dyDescent="0.25">
      <c r="A636" s="6" t="s">
        <v>1017</v>
      </c>
      <c r="B636" s="6"/>
    </row>
    <row r="637" spans="1:2" x14ac:dyDescent="0.25">
      <c r="A637" s="6"/>
      <c r="B637" s="6"/>
    </row>
    <row r="638" spans="1:2" x14ac:dyDescent="0.25">
      <c r="A638" s="6" t="s">
        <v>1018</v>
      </c>
      <c r="B638" s="6"/>
    </row>
    <row r="639" spans="1:2" x14ac:dyDescent="0.25">
      <c r="A639" s="6" t="s">
        <v>1019</v>
      </c>
      <c r="B639" s="6"/>
    </row>
    <row r="640" spans="1:2" x14ac:dyDescent="0.25">
      <c r="A640" s="6" t="s">
        <v>1020</v>
      </c>
      <c r="B640" s="6"/>
    </row>
    <row r="641" spans="1:2" x14ac:dyDescent="0.25">
      <c r="A641" s="6" t="s">
        <v>1021</v>
      </c>
      <c r="B641" s="6"/>
    </row>
    <row r="642" spans="1:2" x14ac:dyDescent="0.25">
      <c r="A642" s="6" t="s">
        <v>1022</v>
      </c>
      <c r="B642" s="6"/>
    </row>
    <row r="643" spans="1:2" x14ac:dyDescent="0.25">
      <c r="A643" s="6"/>
      <c r="B643" s="6"/>
    </row>
    <row r="644" spans="1:2" x14ac:dyDescent="0.25">
      <c r="A644" s="6" t="s">
        <v>1023</v>
      </c>
      <c r="B644" s="6"/>
    </row>
    <row r="645" spans="1:2" x14ac:dyDescent="0.25">
      <c r="A645" s="6"/>
      <c r="B645" s="6"/>
    </row>
    <row r="646" spans="1:2" x14ac:dyDescent="0.25">
      <c r="A646" s="6" t="s">
        <v>1024</v>
      </c>
      <c r="B646" s="6"/>
    </row>
    <row r="647" spans="1:2" x14ac:dyDescent="0.25">
      <c r="A647" s="6"/>
      <c r="B647" s="6"/>
    </row>
    <row r="648" spans="1:2" x14ac:dyDescent="0.25">
      <c r="A648" s="6" t="s">
        <v>1025</v>
      </c>
      <c r="B648" s="6"/>
    </row>
    <row r="649" spans="1:2" x14ac:dyDescent="0.25">
      <c r="A649" s="6"/>
      <c r="B649" s="6"/>
    </row>
    <row r="650" spans="1:2" x14ac:dyDescent="0.25">
      <c r="A650" s="6" t="s">
        <v>1026</v>
      </c>
      <c r="B650" s="6"/>
    </row>
    <row r="651" spans="1:2" x14ac:dyDescent="0.25">
      <c r="A651" s="6"/>
      <c r="B651" s="6"/>
    </row>
    <row r="652" spans="1:2" x14ac:dyDescent="0.25">
      <c r="A652" s="6" t="s">
        <v>1027</v>
      </c>
      <c r="B652" s="6"/>
    </row>
    <row r="653" spans="1:2" x14ac:dyDescent="0.25">
      <c r="A653" s="6"/>
      <c r="B653" s="6"/>
    </row>
    <row r="654" spans="1:2" x14ac:dyDescent="0.25">
      <c r="A654" s="6" t="s">
        <v>1028</v>
      </c>
      <c r="B654" s="6"/>
    </row>
    <row r="655" spans="1:2" x14ac:dyDescent="0.25">
      <c r="A655" s="6"/>
      <c r="B655" s="6"/>
    </row>
    <row r="656" spans="1:2" x14ac:dyDescent="0.25">
      <c r="A656" s="6" t="s">
        <v>1029</v>
      </c>
      <c r="B656" s="6"/>
    </row>
    <row r="657" spans="1:2" x14ac:dyDescent="0.25">
      <c r="A657" s="6"/>
      <c r="B657" s="6"/>
    </row>
    <row r="658" spans="1:2" x14ac:dyDescent="0.25">
      <c r="A658" s="6" t="s">
        <v>1030</v>
      </c>
      <c r="B658" s="6"/>
    </row>
    <row r="659" spans="1:2" x14ac:dyDescent="0.25">
      <c r="A659" s="6"/>
      <c r="B659" s="6"/>
    </row>
    <row r="660" spans="1:2" x14ac:dyDescent="0.25">
      <c r="A660" s="6" t="s">
        <v>1031</v>
      </c>
      <c r="B660" s="6"/>
    </row>
    <row r="661" spans="1:2" x14ac:dyDescent="0.25">
      <c r="A661" s="6" t="s">
        <v>1032</v>
      </c>
      <c r="B661" s="6"/>
    </row>
    <row r="662" spans="1:2" x14ac:dyDescent="0.25">
      <c r="A662" s="6"/>
      <c r="B662" s="6"/>
    </row>
    <row r="663" spans="1:2" x14ac:dyDescent="0.25">
      <c r="A663" s="6" t="s">
        <v>1033</v>
      </c>
      <c r="B663" s="6"/>
    </row>
    <row r="664" spans="1:2" x14ac:dyDescent="0.25">
      <c r="A664" s="6" t="s">
        <v>1034</v>
      </c>
      <c r="B664" s="6"/>
    </row>
    <row r="665" spans="1:2" x14ac:dyDescent="0.25">
      <c r="A665" s="6" t="s">
        <v>1035</v>
      </c>
      <c r="B665" s="6"/>
    </row>
    <row r="666" spans="1:2" x14ac:dyDescent="0.25">
      <c r="A666" s="6"/>
      <c r="B666" s="6"/>
    </row>
    <row r="667" spans="1:2" x14ac:dyDescent="0.25">
      <c r="A667" s="6" t="s">
        <v>1036</v>
      </c>
      <c r="B667" s="6"/>
    </row>
    <row r="668" spans="1:2" x14ac:dyDescent="0.25">
      <c r="A668" s="6" t="s">
        <v>1037</v>
      </c>
      <c r="B668" s="6"/>
    </row>
    <row r="669" spans="1:2" x14ac:dyDescent="0.25">
      <c r="A669" s="6" t="s">
        <v>1038</v>
      </c>
      <c r="B669" s="6"/>
    </row>
    <row r="670" spans="1:2" x14ac:dyDescent="0.25">
      <c r="A670" s="6"/>
      <c r="B670" s="6"/>
    </row>
    <row r="671" spans="1:2" x14ac:dyDescent="0.25">
      <c r="A671" s="6" t="s">
        <v>1039</v>
      </c>
      <c r="B671" s="6"/>
    </row>
    <row r="672" spans="1:2" x14ac:dyDescent="0.25">
      <c r="A672" s="6" t="s">
        <v>1040</v>
      </c>
      <c r="B672" s="6"/>
    </row>
    <row r="673" spans="1:2" x14ac:dyDescent="0.25">
      <c r="A673" s="6" t="s">
        <v>1041</v>
      </c>
      <c r="B673" s="6"/>
    </row>
    <row r="674" spans="1:2" x14ac:dyDescent="0.25">
      <c r="A674" s="6" t="s">
        <v>1042</v>
      </c>
      <c r="B674" s="6"/>
    </row>
    <row r="675" spans="1:2" x14ac:dyDescent="0.25">
      <c r="A675" s="6" t="s">
        <v>1043</v>
      </c>
      <c r="B675" s="6"/>
    </row>
    <row r="676" spans="1:2" x14ac:dyDescent="0.25">
      <c r="A676" s="6" t="s">
        <v>1044</v>
      </c>
      <c r="B676" s="6"/>
    </row>
    <row r="677" spans="1:2" x14ac:dyDescent="0.25">
      <c r="A677" s="6" t="s">
        <v>1045</v>
      </c>
      <c r="B677" s="6"/>
    </row>
    <row r="678" spans="1:2" x14ac:dyDescent="0.25">
      <c r="A678" s="6" t="s">
        <v>1046</v>
      </c>
      <c r="B678" s="6"/>
    </row>
    <row r="679" spans="1:2" x14ac:dyDescent="0.25">
      <c r="A679" s="6" t="s">
        <v>1047</v>
      </c>
      <c r="B679" s="6"/>
    </row>
    <row r="680" spans="1:2" x14ac:dyDescent="0.25">
      <c r="A680" s="6" t="s">
        <v>1048</v>
      </c>
      <c r="B680" s="6"/>
    </row>
    <row r="681" spans="1:2" x14ac:dyDescent="0.25">
      <c r="A681" s="6" t="s">
        <v>1049</v>
      </c>
      <c r="B681" s="6"/>
    </row>
    <row r="682" spans="1:2" x14ac:dyDescent="0.25">
      <c r="A682" s="6" t="s">
        <v>1050</v>
      </c>
      <c r="B682" s="6"/>
    </row>
    <row r="683" spans="1:2" x14ac:dyDescent="0.25">
      <c r="A683" s="6" t="s">
        <v>1051</v>
      </c>
      <c r="B683" s="6"/>
    </row>
    <row r="684" spans="1:2" x14ac:dyDescent="0.25">
      <c r="A684" s="6" t="s">
        <v>1052</v>
      </c>
      <c r="B684" s="6"/>
    </row>
    <row r="685" spans="1:2" x14ac:dyDescent="0.25">
      <c r="A685" s="6" t="s">
        <v>1053</v>
      </c>
      <c r="B685" s="6"/>
    </row>
    <row r="686" spans="1:2" x14ac:dyDescent="0.25">
      <c r="A686" s="6" t="s">
        <v>1054</v>
      </c>
      <c r="B686" s="6"/>
    </row>
    <row r="687" spans="1:2" x14ac:dyDescent="0.25">
      <c r="A687" s="6" t="s">
        <v>1055</v>
      </c>
      <c r="B687" s="6"/>
    </row>
    <row r="688" spans="1:2" x14ac:dyDescent="0.25">
      <c r="A688" s="6" t="s">
        <v>1056</v>
      </c>
      <c r="B688" s="6"/>
    </row>
    <row r="689" spans="1:2" x14ac:dyDescent="0.25">
      <c r="A689" s="6" t="s">
        <v>1057</v>
      </c>
      <c r="B689" s="6"/>
    </row>
    <row r="690" spans="1:2" x14ac:dyDescent="0.25">
      <c r="A690" s="6" t="s">
        <v>1058</v>
      </c>
      <c r="B690" s="6"/>
    </row>
    <row r="691" spans="1:2" x14ac:dyDescent="0.25">
      <c r="A691" s="6" t="s">
        <v>1059</v>
      </c>
      <c r="B691" s="6"/>
    </row>
    <row r="692" spans="1:2" x14ac:dyDescent="0.25">
      <c r="A692" s="6" t="s">
        <v>1060</v>
      </c>
      <c r="B692" s="6"/>
    </row>
    <row r="693" spans="1:2" x14ac:dyDescent="0.25">
      <c r="A693" s="6" t="s">
        <v>1061</v>
      </c>
      <c r="B693" s="6"/>
    </row>
    <row r="694" spans="1:2" x14ac:dyDescent="0.25">
      <c r="A694" s="6" t="s">
        <v>1062</v>
      </c>
      <c r="B694" s="6"/>
    </row>
    <row r="695" spans="1:2" x14ac:dyDescent="0.25">
      <c r="A695" s="6" t="s">
        <v>1063</v>
      </c>
      <c r="B695" s="6"/>
    </row>
    <row r="696" spans="1:2" x14ac:dyDescent="0.25">
      <c r="A696" s="6" t="s">
        <v>1064</v>
      </c>
      <c r="B696" s="6"/>
    </row>
    <row r="697" spans="1:2" x14ac:dyDescent="0.25">
      <c r="A697" s="6" t="s">
        <v>1065</v>
      </c>
      <c r="B697" s="6"/>
    </row>
    <row r="698" spans="1:2" x14ac:dyDescent="0.25">
      <c r="A698" s="6" t="s">
        <v>1066</v>
      </c>
      <c r="B698" s="6"/>
    </row>
    <row r="699" spans="1:2" x14ac:dyDescent="0.25">
      <c r="A699" s="6" t="s">
        <v>1067</v>
      </c>
      <c r="B699" s="6"/>
    </row>
    <row r="700" spans="1:2" x14ac:dyDescent="0.25">
      <c r="A700" s="6" t="s">
        <v>1068</v>
      </c>
      <c r="B700" s="6"/>
    </row>
    <row r="701" spans="1:2" x14ac:dyDescent="0.25">
      <c r="A701" s="6" t="s">
        <v>1069</v>
      </c>
      <c r="B701" s="6"/>
    </row>
    <row r="702" spans="1:2" x14ac:dyDescent="0.25">
      <c r="A702" s="6" t="s">
        <v>1070</v>
      </c>
      <c r="B702" s="6"/>
    </row>
    <row r="703" spans="1:2" x14ac:dyDescent="0.25">
      <c r="A703" s="6" t="s">
        <v>1071</v>
      </c>
      <c r="B703" s="6"/>
    </row>
    <row r="704" spans="1:2" x14ac:dyDescent="0.25">
      <c r="A704" s="6" t="s">
        <v>1072</v>
      </c>
      <c r="B704" s="6"/>
    </row>
    <row r="705" spans="1:2" x14ac:dyDescent="0.25">
      <c r="A705" s="6" t="s">
        <v>1073</v>
      </c>
      <c r="B705" s="6"/>
    </row>
    <row r="706" spans="1:2" x14ac:dyDescent="0.25">
      <c r="A706" s="6" t="s">
        <v>1074</v>
      </c>
      <c r="B706" s="6"/>
    </row>
    <row r="707" spans="1:2" x14ac:dyDescent="0.25">
      <c r="A707" s="6" t="s">
        <v>1075</v>
      </c>
      <c r="B707" s="6"/>
    </row>
    <row r="708" spans="1:2" x14ac:dyDescent="0.25">
      <c r="A708" s="6" t="s">
        <v>1076</v>
      </c>
      <c r="B708" s="6"/>
    </row>
    <row r="709" spans="1:2" x14ac:dyDescent="0.25">
      <c r="A709" s="6" t="s">
        <v>1077</v>
      </c>
      <c r="B709" s="6"/>
    </row>
    <row r="710" spans="1:2" x14ac:dyDescent="0.25">
      <c r="A710" s="6" t="s">
        <v>1078</v>
      </c>
      <c r="B710" s="6"/>
    </row>
    <row r="711" spans="1:2" x14ac:dyDescent="0.25">
      <c r="A711" s="6" t="s">
        <v>1079</v>
      </c>
      <c r="B711" s="6"/>
    </row>
    <row r="712" spans="1:2" x14ac:dyDescent="0.25">
      <c r="A712" s="6" t="s">
        <v>1080</v>
      </c>
      <c r="B712" s="6"/>
    </row>
    <row r="713" spans="1:2" x14ac:dyDescent="0.25">
      <c r="A713" s="6" t="s">
        <v>1081</v>
      </c>
      <c r="B713" s="6"/>
    </row>
    <row r="714" spans="1:2" x14ac:dyDescent="0.25">
      <c r="A714" s="6" t="s">
        <v>1082</v>
      </c>
      <c r="B714" s="6"/>
    </row>
    <row r="715" spans="1:2" x14ac:dyDescent="0.25">
      <c r="A715" s="6" t="s">
        <v>1083</v>
      </c>
      <c r="B715" s="6"/>
    </row>
    <row r="716" spans="1:2" x14ac:dyDescent="0.25">
      <c r="A716" s="6"/>
      <c r="B716" s="6"/>
    </row>
    <row r="717" spans="1:2" x14ac:dyDescent="0.25">
      <c r="A717" s="6" t="s">
        <v>1084</v>
      </c>
      <c r="B717" s="6"/>
    </row>
    <row r="718" spans="1:2" x14ac:dyDescent="0.25">
      <c r="A718" s="6" t="s">
        <v>1085</v>
      </c>
      <c r="B718" s="6"/>
    </row>
    <row r="719" spans="1:2" x14ac:dyDescent="0.25">
      <c r="A719" s="6"/>
      <c r="B719" s="6"/>
    </row>
    <row r="720" spans="1:2" x14ac:dyDescent="0.25">
      <c r="A720" s="6" t="s">
        <v>1086</v>
      </c>
      <c r="B720" s="6"/>
    </row>
    <row r="721" spans="1:2" x14ac:dyDescent="0.25">
      <c r="A721" s="6" t="s">
        <v>1087</v>
      </c>
      <c r="B721" s="6"/>
    </row>
    <row r="722" spans="1:2" x14ac:dyDescent="0.25">
      <c r="A722" s="6"/>
      <c r="B722" s="6"/>
    </row>
    <row r="723" spans="1:2" x14ac:dyDescent="0.25">
      <c r="A723" s="6" t="s">
        <v>1088</v>
      </c>
      <c r="B723" s="6"/>
    </row>
    <row r="724" spans="1:2" x14ac:dyDescent="0.25">
      <c r="A724" s="6" t="s">
        <v>1089</v>
      </c>
      <c r="B724" s="6"/>
    </row>
    <row r="725" spans="1:2" x14ac:dyDescent="0.25">
      <c r="A725" s="6" t="s">
        <v>1090</v>
      </c>
      <c r="B725" s="6"/>
    </row>
    <row r="726" spans="1:2" x14ac:dyDescent="0.25">
      <c r="A726" s="6"/>
      <c r="B726" s="6"/>
    </row>
    <row r="727" spans="1:2" x14ac:dyDescent="0.25">
      <c r="A727" s="6" t="s">
        <v>1091</v>
      </c>
      <c r="B727" s="6"/>
    </row>
    <row r="728" spans="1:2" x14ac:dyDescent="0.25">
      <c r="A728" s="6" t="s">
        <v>1092</v>
      </c>
      <c r="B728" s="6"/>
    </row>
    <row r="729" spans="1:2" x14ac:dyDescent="0.25">
      <c r="A729" s="6" t="s">
        <v>1093</v>
      </c>
      <c r="B729" s="6"/>
    </row>
    <row r="730" spans="1:2" x14ac:dyDescent="0.25">
      <c r="A730" s="6" t="s">
        <v>1094</v>
      </c>
      <c r="B730" s="6"/>
    </row>
    <row r="731" spans="1:2" x14ac:dyDescent="0.25">
      <c r="A731" s="6" t="s">
        <v>1095</v>
      </c>
      <c r="B731" s="6"/>
    </row>
    <row r="732" spans="1:2" x14ac:dyDescent="0.25">
      <c r="A732" s="6" t="s">
        <v>1096</v>
      </c>
      <c r="B732" s="6"/>
    </row>
    <row r="733" spans="1:2" x14ac:dyDescent="0.25">
      <c r="A733" s="6" t="s">
        <v>1097</v>
      </c>
      <c r="B733" s="6"/>
    </row>
    <row r="734" spans="1:2" x14ac:dyDescent="0.25">
      <c r="A734" s="6" t="s">
        <v>1098</v>
      </c>
      <c r="B734" s="6"/>
    </row>
    <row r="735" spans="1:2" x14ac:dyDescent="0.25">
      <c r="A735" s="6"/>
      <c r="B735" s="6"/>
    </row>
    <row r="736" spans="1:2" x14ac:dyDescent="0.25">
      <c r="A736" s="6" t="s">
        <v>1099</v>
      </c>
      <c r="B736" s="6"/>
    </row>
    <row r="737" spans="1:2" x14ac:dyDescent="0.25">
      <c r="A737" s="6" t="s">
        <v>1100</v>
      </c>
      <c r="B737" s="6"/>
    </row>
    <row r="738" spans="1:2" x14ac:dyDescent="0.25">
      <c r="A738" s="6" t="s">
        <v>1101</v>
      </c>
      <c r="B738" s="6"/>
    </row>
    <row r="739" spans="1:2" x14ac:dyDescent="0.25">
      <c r="A739" s="6"/>
      <c r="B739" s="6"/>
    </row>
    <row r="740" spans="1:2" x14ac:dyDescent="0.25">
      <c r="A740" s="6" t="s">
        <v>650</v>
      </c>
      <c r="B740" s="6"/>
    </row>
    <row r="741" spans="1:2" x14ac:dyDescent="0.25">
      <c r="A741" s="6" t="s">
        <v>651</v>
      </c>
      <c r="B741" s="6"/>
    </row>
    <row r="742" spans="1:2" x14ac:dyDescent="0.25">
      <c r="A742" s="6"/>
      <c r="B742" s="6"/>
    </row>
    <row r="743" spans="1:2" x14ac:dyDescent="0.25">
      <c r="A743" s="6" t="s">
        <v>1102</v>
      </c>
      <c r="B743" s="6"/>
    </row>
    <row r="744" spans="1:2" x14ac:dyDescent="0.25">
      <c r="A744" s="6" t="s">
        <v>1103</v>
      </c>
      <c r="B744" s="6"/>
    </row>
    <row r="745" spans="1:2" x14ac:dyDescent="0.25">
      <c r="A745" s="6" t="s">
        <v>1104</v>
      </c>
      <c r="B745" s="6"/>
    </row>
    <row r="746" spans="1:2" x14ac:dyDescent="0.25">
      <c r="A746" s="6" t="s">
        <v>1105</v>
      </c>
      <c r="B746" s="6"/>
    </row>
    <row r="747" spans="1:2" x14ac:dyDescent="0.25">
      <c r="A747" s="6"/>
      <c r="B747" s="6"/>
    </row>
    <row r="748" spans="1:2" x14ac:dyDescent="0.25">
      <c r="A748" s="6" t="s">
        <v>1106</v>
      </c>
      <c r="B748" s="6"/>
    </row>
    <row r="749" spans="1:2" x14ac:dyDescent="0.25">
      <c r="A749" s="6"/>
      <c r="B749" s="6"/>
    </row>
    <row r="750" spans="1:2" x14ac:dyDescent="0.25">
      <c r="A750" s="6" t="s">
        <v>1107</v>
      </c>
      <c r="B750" s="6"/>
    </row>
    <row r="751" spans="1:2" x14ac:dyDescent="0.25">
      <c r="A751" s="6" t="s">
        <v>1108</v>
      </c>
      <c r="B751" s="6"/>
    </row>
    <row r="752" spans="1:2" x14ac:dyDescent="0.25">
      <c r="A752" s="6" t="s">
        <v>1109</v>
      </c>
      <c r="B752" s="6"/>
    </row>
    <row r="753" spans="1:2" x14ac:dyDescent="0.25">
      <c r="A753" s="6" t="s">
        <v>1110</v>
      </c>
      <c r="B753" s="6"/>
    </row>
    <row r="754" spans="1:2" x14ac:dyDescent="0.25">
      <c r="A754" s="6" t="s">
        <v>1111</v>
      </c>
      <c r="B754" s="6"/>
    </row>
    <row r="755" spans="1:2" x14ac:dyDescent="0.25">
      <c r="A755" s="6" t="s">
        <v>1112</v>
      </c>
      <c r="B755" s="6"/>
    </row>
    <row r="756" spans="1:2" x14ac:dyDescent="0.25">
      <c r="A756" s="6" t="s">
        <v>1113</v>
      </c>
      <c r="B756" s="6"/>
    </row>
    <row r="757" spans="1:2" x14ac:dyDescent="0.25">
      <c r="A757" s="6" t="s">
        <v>1114</v>
      </c>
      <c r="B757" s="6"/>
    </row>
    <row r="758" spans="1:2" x14ac:dyDescent="0.25">
      <c r="A758" s="6" t="s">
        <v>1115</v>
      </c>
      <c r="B758" s="6"/>
    </row>
    <row r="759" spans="1:2" x14ac:dyDescent="0.25">
      <c r="A759" s="6" t="s">
        <v>1116</v>
      </c>
      <c r="B759" s="6"/>
    </row>
    <row r="760" spans="1:2" x14ac:dyDescent="0.25">
      <c r="A760" s="6" t="s">
        <v>1117</v>
      </c>
      <c r="B760" s="6"/>
    </row>
    <row r="761" spans="1:2" x14ac:dyDescent="0.25">
      <c r="A761" s="6" t="s">
        <v>1118</v>
      </c>
      <c r="B761" s="6"/>
    </row>
    <row r="762" spans="1:2" x14ac:dyDescent="0.25">
      <c r="A762" s="6" t="s">
        <v>1119</v>
      </c>
      <c r="B762" s="6"/>
    </row>
    <row r="763" spans="1:2" x14ac:dyDescent="0.25">
      <c r="A763" s="6" t="s">
        <v>1120</v>
      </c>
      <c r="B763" s="6"/>
    </row>
    <row r="764" spans="1:2" x14ac:dyDescent="0.25">
      <c r="A764" s="6"/>
      <c r="B764" s="6"/>
    </row>
    <row r="765" spans="1:2" x14ac:dyDescent="0.25">
      <c r="A765" s="6" t="s">
        <v>1121</v>
      </c>
      <c r="B765" s="6"/>
    </row>
    <row r="766" spans="1:2" x14ac:dyDescent="0.25">
      <c r="A766" s="6"/>
      <c r="B766" s="6"/>
    </row>
    <row r="767" spans="1:2" x14ac:dyDescent="0.25">
      <c r="A767" s="6" t="s">
        <v>1122</v>
      </c>
      <c r="B767" s="6"/>
    </row>
    <row r="768" spans="1:2" x14ac:dyDescent="0.25">
      <c r="A768" s="6" t="s">
        <v>1123</v>
      </c>
      <c r="B768" s="6"/>
    </row>
    <row r="769" spans="1:2" x14ac:dyDescent="0.25">
      <c r="A769" s="6" t="s">
        <v>1124</v>
      </c>
      <c r="B769" s="6"/>
    </row>
    <row r="770" spans="1:2" x14ac:dyDescent="0.25">
      <c r="A770" s="6"/>
      <c r="B770" s="6"/>
    </row>
    <row r="771" spans="1:2" x14ac:dyDescent="0.25">
      <c r="A771" s="6" t="s">
        <v>1125</v>
      </c>
      <c r="B771" s="6"/>
    </row>
    <row r="772" spans="1:2" x14ac:dyDescent="0.25">
      <c r="A772" s="6" t="s">
        <v>1126</v>
      </c>
      <c r="B772" s="6"/>
    </row>
    <row r="773" spans="1:2" x14ac:dyDescent="0.25">
      <c r="A773" s="6" t="s">
        <v>1127</v>
      </c>
      <c r="B773" s="6"/>
    </row>
    <row r="774" spans="1:2" x14ac:dyDescent="0.25">
      <c r="A774" s="6" t="s">
        <v>1128</v>
      </c>
      <c r="B774" s="6"/>
    </row>
    <row r="775" spans="1:2" x14ac:dyDescent="0.25">
      <c r="A775" s="6" t="s">
        <v>1129</v>
      </c>
      <c r="B775" s="6"/>
    </row>
    <row r="776" spans="1:2" x14ac:dyDescent="0.25">
      <c r="A776" s="6"/>
      <c r="B776" s="6"/>
    </row>
    <row r="777" spans="1:2" x14ac:dyDescent="0.25">
      <c r="A777" s="6" t="s">
        <v>1130</v>
      </c>
      <c r="B777" s="6"/>
    </row>
    <row r="778" spans="1:2" x14ac:dyDescent="0.25">
      <c r="A778" s="6" t="s">
        <v>1131</v>
      </c>
      <c r="B778" s="6"/>
    </row>
    <row r="779" spans="1:2" x14ac:dyDescent="0.25">
      <c r="A779" s="6" t="s">
        <v>1132</v>
      </c>
      <c r="B779" s="6"/>
    </row>
    <row r="780" spans="1:2" x14ac:dyDescent="0.25">
      <c r="A780" s="6" t="s">
        <v>1133</v>
      </c>
      <c r="B780" s="6"/>
    </row>
    <row r="781" spans="1:2" x14ac:dyDescent="0.25">
      <c r="A781" s="6" t="s">
        <v>1134</v>
      </c>
      <c r="B781" s="6"/>
    </row>
    <row r="782" spans="1:2" x14ac:dyDescent="0.25">
      <c r="A782" s="6"/>
      <c r="B782" s="6"/>
    </row>
    <row r="783" spans="1:2" x14ac:dyDescent="0.25">
      <c r="A783" s="6" t="s">
        <v>1135</v>
      </c>
      <c r="B783" s="6"/>
    </row>
    <row r="784" spans="1:2" x14ac:dyDescent="0.25">
      <c r="A784" s="6"/>
      <c r="B784" s="6"/>
    </row>
    <row r="785" spans="1:2" x14ac:dyDescent="0.25">
      <c r="A785" s="6" t="s">
        <v>1136</v>
      </c>
      <c r="B785" s="6"/>
    </row>
    <row r="786" spans="1:2" x14ac:dyDescent="0.25">
      <c r="A786" s="6" t="s">
        <v>1137</v>
      </c>
      <c r="B786" s="6"/>
    </row>
    <row r="787" spans="1:2" x14ac:dyDescent="0.25">
      <c r="A787" s="6"/>
      <c r="B787" s="6"/>
    </row>
    <row r="788" spans="1:2" x14ac:dyDescent="0.25">
      <c r="A788" s="6" t="s">
        <v>1138</v>
      </c>
      <c r="B788" s="6"/>
    </row>
    <row r="789" spans="1:2" x14ac:dyDescent="0.25">
      <c r="A789" s="6" t="s">
        <v>1139</v>
      </c>
      <c r="B789" s="6"/>
    </row>
    <row r="790" spans="1:2" x14ac:dyDescent="0.25">
      <c r="A790" s="6"/>
      <c r="B790" s="6"/>
    </row>
    <row r="791" spans="1:2" x14ac:dyDescent="0.25">
      <c r="A791" s="6" t="s">
        <v>1140</v>
      </c>
      <c r="B791" s="6"/>
    </row>
    <row r="792" spans="1:2" x14ac:dyDescent="0.25">
      <c r="A792" s="6"/>
      <c r="B792" s="6"/>
    </row>
    <row r="793" spans="1:2" x14ac:dyDescent="0.25">
      <c r="A793" s="6" t="s">
        <v>1141</v>
      </c>
      <c r="B793" s="6"/>
    </row>
    <row r="794" spans="1:2" x14ac:dyDescent="0.25">
      <c r="A794" s="6" t="s">
        <v>1142</v>
      </c>
      <c r="B794" s="6"/>
    </row>
    <row r="795" spans="1:2" x14ac:dyDescent="0.25">
      <c r="A795" s="6" t="s">
        <v>1143</v>
      </c>
      <c r="B795" s="6"/>
    </row>
    <row r="796" spans="1:2" x14ac:dyDescent="0.25">
      <c r="A796" s="6"/>
      <c r="B796" s="6"/>
    </row>
    <row r="797" spans="1:2" x14ac:dyDescent="0.25">
      <c r="A797" s="6" t="s">
        <v>1144</v>
      </c>
      <c r="B797" s="6"/>
    </row>
    <row r="798" spans="1:2" x14ac:dyDescent="0.25">
      <c r="A798" s="6"/>
      <c r="B798" s="6"/>
    </row>
    <row r="799" spans="1:2" x14ac:dyDescent="0.25">
      <c r="A799" s="6" t="s">
        <v>1145</v>
      </c>
      <c r="B799" s="6"/>
    </row>
    <row r="800" spans="1:2" x14ac:dyDescent="0.25">
      <c r="A800" s="6"/>
      <c r="B800" s="6"/>
    </row>
    <row r="801" spans="1:2" x14ac:dyDescent="0.25">
      <c r="A801" s="6" t="s">
        <v>1146</v>
      </c>
      <c r="B801" s="6"/>
    </row>
    <row r="802" spans="1:2" x14ac:dyDescent="0.25">
      <c r="A802" s="6" t="s">
        <v>1147</v>
      </c>
      <c r="B802" s="6"/>
    </row>
    <row r="803" spans="1:2" x14ac:dyDescent="0.25">
      <c r="A803" s="6"/>
      <c r="B803" s="6"/>
    </row>
    <row r="804" spans="1:2" x14ac:dyDescent="0.25">
      <c r="A804" s="6" t="s">
        <v>1148</v>
      </c>
      <c r="B804" s="6"/>
    </row>
    <row r="805" spans="1:2" x14ac:dyDescent="0.25">
      <c r="A805" s="6" t="s">
        <v>1149</v>
      </c>
      <c r="B805" s="6"/>
    </row>
    <row r="806" spans="1:2" x14ac:dyDescent="0.25">
      <c r="A806" s="6"/>
      <c r="B806" s="6"/>
    </row>
    <row r="807" spans="1:2" x14ac:dyDescent="0.25">
      <c r="A807" s="6" t="s">
        <v>1150</v>
      </c>
      <c r="B807" s="6"/>
    </row>
    <row r="808" spans="1:2" x14ac:dyDescent="0.25">
      <c r="A808" s="6"/>
      <c r="B808" s="6"/>
    </row>
    <row r="809" spans="1:2" x14ac:dyDescent="0.25">
      <c r="A809" s="6" t="s">
        <v>1151</v>
      </c>
      <c r="B809" s="6"/>
    </row>
    <row r="810" spans="1:2" x14ac:dyDescent="0.25">
      <c r="A810" s="6" t="s">
        <v>1152</v>
      </c>
      <c r="B810" s="6"/>
    </row>
    <row r="811" spans="1:2" x14ac:dyDescent="0.25">
      <c r="A811" s="6"/>
      <c r="B811" s="6"/>
    </row>
    <row r="812" spans="1:2" x14ac:dyDescent="0.25">
      <c r="A812" s="6" t="s">
        <v>1153</v>
      </c>
      <c r="B812" s="6"/>
    </row>
    <row r="813" spans="1:2" x14ac:dyDescent="0.25">
      <c r="A813" s="6" t="s">
        <v>1154</v>
      </c>
      <c r="B813" s="6"/>
    </row>
    <row r="814" spans="1:2" x14ac:dyDescent="0.25">
      <c r="A814" s="6" t="s">
        <v>1155</v>
      </c>
      <c r="B814" s="6"/>
    </row>
    <row r="815" spans="1:2" x14ac:dyDescent="0.25">
      <c r="A815" s="6"/>
      <c r="B815" s="6"/>
    </row>
    <row r="816" spans="1:2" x14ac:dyDescent="0.25">
      <c r="A816" s="6" t="s">
        <v>1156</v>
      </c>
      <c r="B816" s="6"/>
    </row>
    <row r="817" spans="1:2" x14ac:dyDescent="0.25">
      <c r="A817" s="6"/>
      <c r="B817" s="6"/>
    </row>
    <row r="818" spans="1:2" x14ac:dyDescent="0.25">
      <c r="A818" s="6" t="s">
        <v>1157</v>
      </c>
      <c r="B818" s="6"/>
    </row>
    <row r="819" spans="1:2" x14ac:dyDescent="0.25">
      <c r="A819" s="6"/>
      <c r="B819" s="6"/>
    </row>
    <row r="820" spans="1:2" x14ac:dyDescent="0.25">
      <c r="A820" s="6" t="s">
        <v>1158</v>
      </c>
      <c r="B820" s="6"/>
    </row>
    <row r="821" spans="1:2" x14ac:dyDescent="0.25">
      <c r="A821" s="6" t="s">
        <v>1159</v>
      </c>
      <c r="B821" s="6"/>
    </row>
    <row r="822" spans="1:2" x14ac:dyDescent="0.25">
      <c r="A822" s="6" t="s">
        <v>1160</v>
      </c>
      <c r="B822" s="6"/>
    </row>
    <row r="823" spans="1:2" x14ac:dyDescent="0.25">
      <c r="A823" s="6" t="s">
        <v>1161</v>
      </c>
      <c r="B823" s="6"/>
    </row>
    <row r="824" spans="1:2" x14ac:dyDescent="0.25">
      <c r="A824" s="6" t="s">
        <v>1162</v>
      </c>
      <c r="B824" s="6"/>
    </row>
    <row r="825" spans="1:2" x14ac:dyDescent="0.25">
      <c r="A825" s="6" t="s">
        <v>1163</v>
      </c>
      <c r="B825" s="6"/>
    </row>
    <row r="826" spans="1:2" x14ac:dyDescent="0.25">
      <c r="A826" s="6" t="s">
        <v>1164</v>
      </c>
      <c r="B826" s="6"/>
    </row>
    <row r="827" spans="1:2" x14ac:dyDescent="0.25">
      <c r="A827" s="6" t="s">
        <v>1165</v>
      </c>
      <c r="B827" s="6"/>
    </row>
    <row r="828" spans="1:2" x14ac:dyDescent="0.25">
      <c r="A828" s="6" t="s">
        <v>1166</v>
      </c>
      <c r="B828" s="6"/>
    </row>
    <row r="829" spans="1:2" x14ac:dyDescent="0.25">
      <c r="A829" s="6" t="s">
        <v>1167</v>
      </c>
      <c r="B829" s="6"/>
    </row>
    <row r="830" spans="1:2" x14ac:dyDescent="0.25">
      <c r="A830" s="6" t="s">
        <v>1168</v>
      </c>
      <c r="B830" s="6"/>
    </row>
    <row r="831" spans="1:2" x14ac:dyDescent="0.25">
      <c r="A831" s="6" t="s">
        <v>1169</v>
      </c>
      <c r="B831" s="6"/>
    </row>
    <row r="832" spans="1:2" x14ac:dyDescent="0.25">
      <c r="A832" s="6" t="s">
        <v>1170</v>
      </c>
      <c r="B832" s="6"/>
    </row>
    <row r="833" spans="1:2" x14ac:dyDescent="0.25">
      <c r="A833" s="6"/>
      <c r="B833" s="6"/>
    </row>
    <row r="834" spans="1:2" x14ac:dyDescent="0.25">
      <c r="A834" s="6" t="s">
        <v>1171</v>
      </c>
      <c r="B834" s="6"/>
    </row>
    <row r="835" spans="1:2" x14ac:dyDescent="0.25">
      <c r="A835" s="6" t="s">
        <v>1172</v>
      </c>
      <c r="B835" s="6"/>
    </row>
    <row r="836" spans="1:2" x14ac:dyDescent="0.25">
      <c r="A836" s="6" t="s">
        <v>1173</v>
      </c>
      <c r="B836" s="6"/>
    </row>
    <row r="837" spans="1:2" x14ac:dyDescent="0.25">
      <c r="A837" s="6" t="s">
        <v>1174</v>
      </c>
      <c r="B837" s="6"/>
    </row>
    <row r="838" spans="1:2" x14ac:dyDescent="0.25">
      <c r="A838" s="6" t="s">
        <v>1175</v>
      </c>
      <c r="B838" s="6"/>
    </row>
    <row r="839" spans="1:2" x14ac:dyDescent="0.25">
      <c r="A839" s="6" t="s">
        <v>1176</v>
      </c>
      <c r="B839" s="6"/>
    </row>
    <row r="840" spans="1:2" x14ac:dyDescent="0.25">
      <c r="A840" s="6" t="s">
        <v>1177</v>
      </c>
      <c r="B840" s="6"/>
    </row>
    <row r="841" spans="1:2" x14ac:dyDescent="0.25">
      <c r="A841" s="6" t="s">
        <v>1178</v>
      </c>
      <c r="B841" s="6"/>
    </row>
    <row r="842" spans="1:2" x14ac:dyDescent="0.25">
      <c r="A842" s="6" t="s">
        <v>1179</v>
      </c>
      <c r="B842" s="6"/>
    </row>
    <row r="843" spans="1:2" x14ac:dyDescent="0.25">
      <c r="A843" s="6" t="s">
        <v>1180</v>
      </c>
      <c r="B843" s="6"/>
    </row>
    <row r="844" spans="1:2" x14ac:dyDescent="0.25">
      <c r="A844" s="6" t="s">
        <v>1181</v>
      </c>
      <c r="B844" s="6"/>
    </row>
    <row r="845" spans="1:2" x14ac:dyDescent="0.25">
      <c r="A845" s="6" t="s">
        <v>1182</v>
      </c>
      <c r="B845" s="6"/>
    </row>
    <row r="846" spans="1:2" x14ac:dyDescent="0.25">
      <c r="A846" s="6" t="s">
        <v>1183</v>
      </c>
      <c r="B846" s="6"/>
    </row>
    <row r="847" spans="1:2" x14ac:dyDescent="0.25">
      <c r="A847" s="6" t="s">
        <v>1184</v>
      </c>
      <c r="B847" s="6"/>
    </row>
    <row r="848" spans="1:2" x14ac:dyDescent="0.25">
      <c r="A848" s="6"/>
      <c r="B848" s="6"/>
    </row>
    <row r="849" spans="1:2" x14ac:dyDescent="0.25">
      <c r="A849" s="6" t="s">
        <v>1185</v>
      </c>
      <c r="B849" s="6"/>
    </row>
    <row r="850" spans="1:2" x14ac:dyDescent="0.25">
      <c r="A850" s="6" t="s">
        <v>1186</v>
      </c>
      <c r="B850" s="6"/>
    </row>
    <row r="851" spans="1:2" x14ac:dyDescent="0.25">
      <c r="A851" s="6"/>
      <c r="B851" s="6"/>
    </row>
    <row r="852" spans="1:2" x14ac:dyDescent="0.25">
      <c r="A852" s="6" t="s">
        <v>1187</v>
      </c>
      <c r="B852" s="6"/>
    </row>
    <row r="853" spans="1:2" x14ac:dyDescent="0.25">
      <c r="A853" s="6"/>
      <c r="B853" s="6"/>
    </row>
    <row r="854" spans="1:2" x14ac:dyDescent="0.25">
      <c r="A854" s="6" t="s">
        <v>676</v>
      </c>
      <c r="B854" s="6"/>
    </row>
    <row r="855" spans="1:2" x14ac:dyDescent="0.25">
      <c r="A855" s="6" t="s">
        <v>1188</v>
      </c>
      <c r="B855" s="6"/>
    </row>
    <row r="856" spans="1:2" x14ac:dyDescent="0.25">
      <c r="A856" s="6" t="s">
        <v>1189</v>
      </c>
      <c r="B856" s="6"/>
    </row>
    <row r="857" spans="1:2" x14ac:dyDescent="0.25">
      <c r="A857" s="6" t="s">
        <v>1190</v>
      </c>
      <c r="B857" s="6"/>
    </row>
    <row r="858" spans="1:2" x14ac:dyDescent="0.25">
      <c r="A858" s="6" t="s">
        <v>1191</v>
      </c>
      <c r="B858" s="6"/>
    </row>
    <row r="859" spans="1:2" x14ac:dyDescent="0.25">
      <c r="A859" s="6" t="s">
        <v>681</v>
      </c>
      <c r="B859" s="6"/>
    </row>
    <row r="860" spans="1:2" x14ac:dyDescent="0.25">
      <c r="A860" s="6"/>
      <c r="B860" s="6"/>
    </row>
    <row r="861" spans="1:2" x14ac:dyDescent="0.25">
      <c r="A861" s="6" t="s">
        <v>1192</v>
      </c>
      <c r="B861" s="6"/>
    </row>
    <row r="862" spans="1:2" x14ac:dyDescent="0.25">
      <c r="A862" s="6" t="s">
        <v>1193</v>
      </c>
      <c r="B862" s="6"/>
    </row>
    <row r="863" spans="1:2" x14ac:dyDescent="0.25">
      <c r="A863" s="6" t="s">
        <v>1194</v>
      </c>
      <c r="B863" s="6"/>
    </row>
    <row r="864" spans="1:2" x14ac:dyDescent="0.25">
      <c r="A864" s="6"/>
      <c r="B864" s="6"/>
    </row>
    <row r="865" spans="1:2" x14ac:dyDescent="0.25">
      <c r="A865" s="6" t="s">
        <v>1195</v>
      </c>
      <c r="B865" s="6"/>
    </row>
    <row r="866" spans="1:2" x14ac:dyDescent="0.25">
      <c r="A866" s="6"/>
      <c r="B866" s="6"/>
    </row>
    <row r="867" spans="1:2" x14ac:dyDescent="0.25">
      <c r="A867" s="6" t="s">
        <v>1196</v>
      </c>
      <c r="B867" s="6"/>
    </row>
    <row r="868" spans="1:2" x14ac:dyDescent="0.25">
      <c r="A868" s="6" t="s">
        <v>1197</v>
      </c>
      <c r="B868" s="6"/>
    </row>
    <row r="869" spans="1:2" x14ac:dyDescent="0.25">
      <c r="A869" s="6" t="s">
        <v>1198</v>
      </c>
      <c r="B869" s="6"/>
    </row>
    <row r="870" spans="1:2" x14ac:dyDescent="0.25">
      <c r="A870" s="6" t="s">
        <v>1199</v>
      </c>
      <c r="B870" s="6"/>
    </row>
    <row r="871" spans="1:2" x14ac:dyDescent="0.25">
      <c r="A871" s="6" t="s">
        <v>1200</v>
      </c>
      <c r="B871" s="6"/>
    </row>
    <row r="872" spans="1:2" x14ac:dyDescent="0.25">
      <c r="A872" s="6"/>
      <c r="B872" s="6"/>
    </row>
    <row r="873" spans="1:2" x14ac:dyDescent="0.25">
      <c r="A873" s="6" t="s">
        <v>1201</v>
      </c>
      <c r="B873" s="6"/>
    </row>
    <row r="874" spans="1:2" x14ac:dyDescent="0.25">
      <c r="A874" s="6" t="s">
        <v>1202</v>
      </c>
      <c r="B874" s="6"/>
    </row>
    <row r="875" spans="1:2" x14ac:dyDescent="0.25">
      <c r="A875" s="6" t="s">
        <v>1203</v>
      </c>
      <c r="B875" s="6"/>
    </row>
    <row r="876" spans="1:2" x14ac:dyDescent="0.25">
      <c r="A876" s="6" t="s">
        <v>1204</v>
      </c>
      <c r="B876" s="6"/>
    </row>
    <row r="877" spans="1:2" x14ac:dyDescent="0.25">
      <c r="A877" s="6" t="s">
        <v>1205</v>
      </c>
      <c r="B877" s="6"/>
    </row>
    <row r="878" spans="1:2" x14ac:dyDescent="0.25">
      <c r="A878" s="6" t="s">
        <v>1206</v>
      </c>
      <c r="B878" s="6"/>
    </row>
    <row r="879" spans="1:2" x14ac:dyDescent="0.25">
      <c r="A879" s="6" t="s">
        <v>1207</v>
      </c>
      <c r="B879" s="6"/>
    </row>
    <row r="880" spans="1:2" x14ac:dyDescent="0.25">
      <c r="A880" s="6"/>
      <c r="B880" s="6"/>
    </row>
    <row r="881" spans="1:2" x14ac:dyDescent="0.25">
      <c r="A881" s="6" t="s">
        <v>1208</v>
      </c>
      <c r="B881" s="6"/>
    </row>
    <row r="882" spans="1:2" x14ac:dyDescent="0.25">
      <c r="A882" s="6"/>
      <c r="B882" s="6"/>
    </row>
    <row r="883" spans="1:2" x14ac:dyDescent="0.25">
      <c r="A883" s="6" t="s">
        <v>1209</v>
      </c>
      <c r="B883" s="6"/>
    </row>
    <row r="884" spans="1:2" x14ac:dyDescent="0.25">
      <c r="A884" s="6" t="s">
        <v>1210</v>
      </c>
      <c r="B884" s="6"/>
    </row>
    <row r="885" spans="1:2" x14ac:dyDescent="0.25">
      <c r="A885" s="6" t="s">
        <v>1211</v>
      </c>
      <c r="B885" s="6"/>
    </row>
    <row r="886" spans="1:2" x14ac:dyDescent="0.25">
      <c r="A886" s="6" t="s">
        <v>1212</v>
      </c>
      <c r="B886" s="6"/>
    </row>
    <row r="887" spans="1:2" x14ac:dyDescent="0.25">
      <c r="A887" s="6" t="s">
        <v>1213</v>
      </c>
      <c r="B887" s="6"/>
    </row>
    <row r="888" spans="1:2" x14ac:dyDescent="0.25">
      <c r="A888" s="6" t="s">
        <v>1214</v>
      </c>
      <c r="B888" s="6"/>
    </row>
    <row r="889" spans="1:2" x14ac:dyDescent="0.25">
      <c r="A889" s="6" t="s">
        <v>1215</v>
      </c>
      <c r="B889" s="6"/>
    </row>
    <row r="890" spans="1:2" x14ac:dyDescent="0.25">
      <c r="A890" s="6" t="s">
        <v>1216</v>
      </c>
      <c r="B890" s="6"/>
    </row>
    <row r="891" spans="1:2" x14ac:dyDescent="0.25">
      <c r="A891" s="6" t="s">
        <v>1217</v>
      </c>
      <c r="B891" s="6"/>
    </row>
    <row r="892" spans="1:2" x14ac:dyDescent="0.25">
      <c r="A892" s="6" t="s">
        <v>1218</v>
      </c>
      <c r="B892" s="6"/>
    </row>
    <row r="893" spans="1:2" x14ac:dyDescent="0.25">
      <c r="A893" s="6" t="s">
        <v>1219</v>
      </c>
      <c r="B893" s="6"/>
    </row>
    <row r="894" spans="1:2" x14ac:dyDescent="0.25">
      <c r="A894" s="6" t="s">
        <v>1220</v>
      </c>
      <c r="B894" s="6"/>
    </row>
    <row r="895" spans="1:2" x14ac:dyDescent="0.25">
      <c r="A895" s="6" t="s">
        <v>1221</v>
      </c>
      <c r="B895" s="6"/>
    </row>
    <row r="896" spans="1:2" x14ac:dyDescent="0.25">
      <c r="A896" s="6" t="s">
        <v>1222</v>
      </c>
      <c r="B896" s="6"/>
    </row>
    <row r="897" spans="1:2" x14ac:dyDescent="0.25">
      <c r="A897" s="6"/>
      <c r="B897" s="6"/>
    </row>
    <row r="898" spans="1:2" x14ac:dyDescent="0.25">
      <c r="A898" s="6" t="s">
        <v>1223</v>
      </c>
      <c r="B898" s="6"/>
    </row>
    <row r="899" spans="1:2" x14ac:dyDescent="0.25">
      <c r="A899" s="6" t="s">
        <v>1224</v>
      </c>
      <c r="B899" s="6"/>
    </row>
    <row r="900" spans="1:2" x14ac:dyDescent="0.25">
      <c r="A900" s="6"/>
      <c r="B900" s="6"/>
    </row>
    <row r="901" spans="1:2" x14ac:dyDescent="0.25">
      <c r="A901" s="6" t="s">
        <v>1225</v>
      </c>
      <c r="B901" s="6"/>
    </row>
    <row r="902" spans="1:2" x14ac:dyDescent="0.25">
      <c r="A902" s="6"/>
      <c r="B902" s="6"/>
    </row>
    <row r="903" spans="1:2" x14ac:dyDescent="0.25">
      <c r="A903" s="6" t="s">
        <v>1226</v>
      </c>
      <c r="B903" s="6"/>
    </row>
    <row r="904" spans="1:2" x14ac:dyDescent="0.25">
      <c r="A904" s="6"/>
      <c r="B904" s="6"/>
    </row>
    <row r="905" spans="1:2" x14ac:dyDescent="0.25">
      <c r="A905" s="6" t="s">
        <v>1227</v>
      </c>
      <c r="B905" s="6"/>
    </row>
    <row r="906" spans="1:2" x14ac:dyDescent="0.25">
      <c r="A906" s="6" t="s">
        <v>1228</v>
      </c>
      <c r="B906" s="6"/>
    </row>
    <row r="907" spans="1:2" x14ac:dyDescent="0.25">
      <c r="A907" s="6"/>
      <c r="B907" s="6"/>
    </row>
    <row r="908" spans="1:2" x14ac:dyDescent="0.25">
      <c r="A908" s="6" t="s">
        <v>1229</v>
      </c>
      <c r="B908" s="6"/>
    </row>
    <row r="909" spans="1:2" x14ac:dyDescent="0.25">
      <c r="A909" s="6" t="s">
        <v>1230</v>
      </c>
      <c r="B909" s="6"/>
    </row>
    <row r="910" spans="1:2" x14ac:dyDescent="0.25">
      <c r="A910" s="6" t="s">
        <v>1231</v>
      </c>
      <c r="B910" s="6"/>
    </row>
    <row r="911" spans="1:2" x14ac:dyDescent="0.25">
      <c r="A911" s="6" t="s">
        <v>1232</v>
      </c>
      <c r="B911" s="6"/>
    </row>
    <row r="912" spans="1:2" x14ac:dyDescent="0.25">
      <c r="A912" s="6" t="s">
        <v>1233</v>
      </c>
      <c r="B912" s="6"/>
    </row>
    <row r="913" spans="1:2" x14ac:dyDescent="0.25">
      <c r="A913" s="6" t="s">
        <v>1234</v>
      </c>
      <c r="B913" s="6"/>
    </row>
    <row r="914" spans="1:2" x14ac:dyDescent="0.25">
      <c r="A914" s="6"/>
      <c r="B914" s="6"/>
    </row>
    <row r="915" spans="1:2" x14ac:dyDescent="0.25">
      <c r="A915" s="6" t="s">
        <v>1235</v>
      </c>
      <c r="B915" s="6"/>
    </row>
    <row r="916" spans="1:2" x14ac:dyDescent="0.25">
      <c r="A916" s="6"/>
      <c r="B916" s="6"/>
    </row>
    <row r="917" spans="1:2" x14ac:dyDescent="0.25">
      <c r="A917" s="6" t="s">
        <v>1236</v>
      </c>
      <c r="B917" s="6"/>
    </row>
    <row r="918" spans="1:2" x14ac:dyDescent="0.25">
      <c r="A918" s="6"/>
      <c r="B918" s="6"/>
    </row>
    <row r="919" spans="1:2" x14ac:dyDescent="0.25">
      <c r="A919" s="6" t="s">
        <v>1237</v>
      </c>
      <c r="B919" s="6"/>
    </row>
    <row r="920" spans="1:2" x14ac:dyDescent="0.25">
      <c r="A920" s="6"/>
      <c r="B920" s="6"/>
    </row>
    <row r="921" spans="1:2" x14ac:dyDescent="0.25">
      <c r="A921" s="6" t="s">
        <v>1238</v>
      </c>
      <c r="B921" s="6"/>
    </row>
    <row r="922" spans="1:2" x14ac:dyDescent="0.25">
      <c r="A922" s="6" t="s">
        <v>1239</v>
      </c>
      <c r="B922" s="6"/>
    </row>
    <row r="923" spans="1:2" x14ac:dyDescent="0.25">
      <c r="A923" s="6"/>
      <c r="B923" s="6"/>
    </row>
    <row r="924" spans="1:2" x14ac:dyDescent="0.25">
      <c r="A924" s="6" t="s">
        <v>1240</v>
      </c>
      <c r="B924" s="6"/>
    </row>
    <row r="925" spans="1:2" x14ac:dyDescent="0.25">
      <c r="A925" s="6" t="s">
        <v>701</v>
      </c>
      <c r="B925" s="6"/>
    </row>
    <row r="926" spans="1:2" x14ac:dyDescent="0.25">
      <c r="A926" s="6" t="s">
        <v>702</v>
      </c>
      <c r="B926" s="6"/>
    </row>
    <row r="927" spans="1:2" x14ac:dyDescent="0.25">
      <c r="A927" s="6" t="s">
        <v>1241</v>
      </c>
      <c r="B927" s="6"/>
    </row>
    <row r="928" spans="1:2" x14ac:dyDescent="0.25">
      <c r="A928" s="6" t="s">
        <v>703</v>
      </c>
      <c r="B928" s="6"/>
    </row>
    <row r="929" spans="1:2" x14ac:dyDescent="0.25">
      <c r="A929" s="6" t="s">
        <v>1242</v>
      </c>
      <c r="B929" s="6"/>
    </row>
    <row r="930" spans="1:2" x14ac:dyDescent="0.25">
      <c r="A930" s="6" t="s">
        <v>704</v>
      </c>
      <c r="B930" s="6"/>
    </row>
    <row r="931" spans="1:2" x14ac:dyDescent="0.25">
      <c r="A931" s="6" t="s">
        <v>1243</v>
      </c>
      <c r="B931" s="6"/>
    </row>
    <row r="932" spans="1:2" x14ac:dyDescent="0.25">
      <c r="A932" s="6"/>
      <c r="B932" s="6"/>
    </row>
    <row r="933" spans="1:2" x14ac:dyDescent="0.25">
      <c r="A933" s="458" t="s">
        <v>1244</v>
      </c>
      <c r="B933" s="6"/>
    </row>
    <row r="934" spans="1:2" x14ac:dyDescent="0.25">
      <c r="A934" s="458" t="s">
        <v>1245</v>
      </c>
      <c r="B934" s="6"/>
    </row>
    <row r="935" spans="1:2" x14ac:dyDescent="0.25">
      <c r="A935" s="458" t="s">
        <v>1246</v>
      </c>
      <c r="B935" s="6"/>
    </row>
    <row r="936" spans="1:2" x14ac:dyDescent="0.25">
      <c r="A936" s="458" t="s">
        <v>1247</v>
      </c>
      <c r="B936" s="6"/>
    </row>
    <row r="937" spans="1:2" x14ac:dyDescent="0.25">
      <c r="A937" s="458" t="s">
        <v>1248</v>
      </c>
      <c r="B937" s="6"/>
    </row>
    <row r="938" spans="1:2" x14ac:dyDescent="0.25">
      <c r="A938" s="458" t="s">
        <v>1249</v>
      </c>
      <c r="B938" s="6"/>
    </row>
    <row r="939" spans="1:2" x14ac:dyDescent="0.25">
      <c r="A939" s="458" t="s">
        <v>1250</v>
      </c>
      <c r="B939" s="6"/>
    </row>
    <row r="940" spans="1:2" x14ac:dyDescent="0.25">
      <c r="A940" s="458" t="s">
        <v>1251</v>
      </c>
      <c r="B940" s="6"/>
    </row>
    <row r="941" spans="1:2" x14ac:dyDescent="0.25">
      <c r="A941" s="458" t="s">
        <v>1252</v>
      </c>
      <c r="B941" s="6"/>
    </row>
    <row r="942" spans="1:2" x14ac:dyDescent="0.25">
      <c r="A942" s="458" t="s">
        <v>1253</v>
      </c>
      <c r="B942" s="6"/>
    </row>
    <row r="943" spans="1:2" x14ac:dyDescent="0.25">
      <c r="A943" s="6"/>
      <c r="B943" s="6"/>
    </row>
    <row r="944" spans="1:2" x14ac:dyDescent="0.25">
      <c r="A944" s="6" t="s">
        <v>1254</v>
      </c>
      <c r="B944" s="6"/>
    </row>
    <row r="945" spans="1:2" x14ac:dyDescent="0.25">
      <c r="A945" s="6" t="s">
        <v>1255</v>
      </c>
      <c r="B945" s="6"/>
    </row>
    <row r="946" spans="1:2" x14ac:dyDescent="0.25">
      <c r="A946" s="6" t="s">
        <v>1256</v>
      </c>
      <c r="B946" s="6"/>
    </row>
    <row r="947" spans="1:2" x14ac:dyDescent="0.25">
      <c r="A947" s="6" t="s">
        <v>1257</v>
      </c>
      <c r="B947" s="6"/>
    </row>
    <row r="948" spans="1:2" x14ac:dyDescent="0.25">
      <c r="A948" s="6" t="s">
        <v>1258</v>
      </c>
      <c r="B948" s="6"/>
    </row>
    <row r="949" spans="1:2" x14ac:dyDescent="0.25">
      <c r="A949" s="6" t="s">
        <v>1259</v>
      </c>
      <c r="B949" s="6"/>
    </row>
    <row r="950" spans="1:2" x14ac:dyDescent="0.25">
      <c r="A950" s="6" t="s">
        <v>1260</v>
      </c>
      <c r="B950" s="6"/>
    </row>
    <row r="951" spans="1:2" x14ac:dyDescent="0.25">
      <c r="A951" s="6" t="s">
        <v>1261</v>
      </c>
      <c r="B951" s="6"/>
    </row>
    <row r="952" spans="1:2" x14ac:dyDescent="0.25">
      <c r="A952" s="6" t="s">
        <v>1262</v>
      </c>
      <c r="B952" s="6"/>
    </row>
    <row r="953" spans="1:2" x14ac:dyDescent="0.25">
      <c r="A953" s="6"/>
      <c r="B953" s="6"/>
    </row>
    <row r="954" spans="1:2" x14ac:dyDescent="0.25">
      <c r="A954" s="6" t="s">
        <v>1263</v>
      </c>
      <c r="B954" s="6"/>
    </row>
    <row r="955" spans="1:2" x14ac:dyDescent="0.25">
      <c r="A955" s="6" t="s">
        <v>1264</v>
      </c>
      <c r="B955" s="6"/>
    </row>
    <row r="956" spans="1:2" x14ac:dyDescent="0.25">
      <c r="A956" s="6"/>
      <c r="B956" s="6"/>
    </row>
    <row r="957" spans="1:2" x14ac:dyDescent="0.25">
      <c r="A957" s="6" t="s">
        <v>1265</v>
      </c>
      <c r="B957" s="6"/>
    </row>
    <row r="958" spans="1:2" x14ac:dyDescent="0.25">
      <c r="A958" s="6" t="s">
        <v>1266</v>
      </c>
      <c r="B958" s="6"/>
    </row>
    <row r="959" spans="1:2" x14ac:dyDescent="0.25">
      <c r="A959" s="6" t="s">
        <v>1267</v>
      </c>
      <c r="B959" s="6"/>
    </row>
    <row r="960" spans="1:2" x14ac:dyDescent="0.25">
      <c r="A960" s="6" t="s">
        <v>1268</v>
      </c>
      <c r="B960" s="6"/>
    </row>
    <row r="961" spans="1:2" x14ac:dyDescent="0.25">
      <c r="A961" s="6" t="s">
        <v>1269</v>
      </c>
      <c r="B961" s="6"/>
    </row>
    <row r="962" spans="1:2" x14ac:dyDescent="0.25">
      <c r="A962" s="6" t="s">
        <v>1270</v>
      </c>
      <c r="B962" s="6"/>
    </row>
    <row r="963" spans="1:2" x14ac:dyDescent="0.25">
      <c r="A963" s="6" t="s">
        <v>1271</v>
      </c>
      <c r="B963" s="6"/>
    </row>
    <row r="964" spans="1:2" x14ac:dyDescent="0.25">
      <c r="A964" s="6" t="s">
        <v>1272</v>
      </c>
      <c r="B964" s="6"/>
    </row>
    <row r="965" spans="1:2" x14ac:dyDescent="0.25">
      <c r="A965" s="6"/>
      <c r="B965" s="6"/>
    </row>
    <row r="966" spans="1:2" x14ac:dyDescent="0.25">
      <c r="A966" s="6" t="s">
        <v>1273</v>
      </c>
      <c r="B966" s="6"/>
    </row>
    <row r="967" spans="1:2" x14ac:dyDescent="0.25">
      <c r="A967" s="6"/>
      <c r="B967" s="6"/>
    </row>
    <row r="968" spans="1:2" x14ac:dyDescent="0.25">
      <c r="A968" s="6" t="s">
        <v>1274</v>
      </c>
      <c r="B968" s="6"/>
    </row>
    <row r="969" spans="1:2" x14ac:dyDescent="0.25">
      <c r="A969" s="6"/>
      <c r="B969" s="6"/>
    </row>
    <row r="970" spans="1:2" x14ac:dyDescent="0.25">
      <c r="A970" s="6" t="s">
        <v>1275</v>
      </c>
      <c r="B970" s="6"/>
    </row>
    <row r="971" spans="1:2" x14ac:dyDescent="0.25">
      <c r="A971" s="6" t="s">
        <v>1276</v>
      </c>
      <c r="B971" s="6"/>
    </row>
    <row r="972" spans="1:2" x14ac:dyDescent="0.25">
      <c r="A972" s="6" t="s">
        <v>1277</v>
      </c>
      <c r="B972" s="6"/>
    </row>
    <row r="973" spans="1:2" x14ac:dyDescent="0.25">
      <c r="A973" s="6" t="s">
        <v>1278</v>
      </c>
      <c r="B973" s="6"/>
    </row>
    <row r="974" spans="1:2" x14ac:dyDescent="0.25">
      <c r="A974" s="6"/>
      <c r="B974" s="6"/>
    </row>
    <row r="975" spans="1:2" x14ac:dyDescent="0.25">
      <c r="A975" s="6" t="s">
        <v>1279</v>
      </c>
      <c r="B975" s="6"/>
    </row>
    <row r="976" spans="1:2" x14ac:dyDescent="0.25">
      <c r="A976" s="6" t="s">
        <v>1280</v>
      </c>
      <c r="B976" s="6"/>
    </row>
    <row r="977" spans="1:2" x14ac:dyDescent="0.25">
      <c r="A977" s="6" t="s">
        <v>1281</v>
      </c>
      <c r="B977" s="6"/>
    </row>
    <row r="978" spans="1:2" x14ac:dyDescent="0.25">
      <c r="A978" s="6" t="s">
        <v>1282</v>
      </c>
      <c r="B978" s="6"/>
    </row>
    <row r="979" spans="1:2" x14ac:dyDescent="0.25">
      <c r="A979" s="6" t="s">
        <v>1283</v>
      </c>
      <c r="B979" s="6"/>
    </row>
    <row r="980" spans="1:2" x14ac:dyDescent="0.25">
      <c r="A980" s="6"/>
      <c r="B980" s="6"/>
    </row>
    <row r="981" spans="1:2" x14ac:dyDescent="0.25">
      <c r="A981" s="6" t="s">
        <v>1284</v>
      </c>
      <c r="B981" s="6"/>
    </row>
    <row r="982" spans="1:2" x14ac:dyDescent="0.25">
      <c r="A982" s="6" t="s">
        <v>1285</v>
      </c>
      <c r="B982" s="6"/>
    </row>
    <row r="983" spans="1:2" x14ac:dyDescent="0.25">
      <c r="A983" s="6"/>
      <c r="B983" s="6"/>
    </row>
    <row r="984" spans="1:2" x14ac:dyDescent="0.25">
      <c r="A984" s="6" t="s">
        <v>1286</v>
      </c>
      <c r="B984" s="6"/>
    </row>
    <row r="985" spans="1:2" x14ac:dyDescent="0.25">
      <c r="A985" s="6" t="s">
        <v>1287</v>
      </c>
      <c r="B985" s="6"/>
    </row>
    <row r="986" spans="1:2" x14ac:dyDescent="0.25">
      <c r="A986" s="6"/>
      <c r="B986" s="6"/>
    </row>
    <row r="987" spans="1:2" x14ac:dyDescent="0.25">
      <c r="A987" s="6" t="s">
        <v>1288</v>
      </c>
      <c r="B987" s="6"/>
    </row>
    <row r="988" spans="1:2" x14ac:dyDescent="0.25">
      <c r="A988" s="6" t="s">
        <v>1289</v>
      </c>
      <c r="B988" s="6"/>
    </row>
    <row r="989" spans="1:2" x14ac:dyDescent="0.25">
      <c r="A989" s="6" t="s">
        <v>1290</v>
      </c>
      <c r="B989" s="6"/>
    </row>
    <row r="990" spans="1:2" x14ac:dyDescent="0.25">
      <c r="A990" s="6"/>
      <c r="B990" s="6"/>
    </row>
    <row r="991" spans="1:2" x14ac:dyDescent="0.25">
      <c r="A991" s="6" t="s">
        <v>1291</v>
      </c>
      <c r="B991" s="6"/>
    </row>
    <row r="992" spans="1:2" x14ac:dyDescent="0.25">
      <c r="A992" s="6"/>
      <c r="B992" s="6"/>
    </row>
    <row r="993" spans="1:2" x14ac:dyDescent="0.25">
      <c r="A993" s="6" t="s">
        <v>1292</v>
      </c>
      <c r="B993" s="6"/>
    </row>
    <row r="994" spans="1:2" x14ac:dyDescent="0.25">
      <c r="A994" s="6"/>
      <c r="B994" s="6"/>
    </row>
    <row r="995" spans="1:2" x14ac:dyDescent="0.25">
      <c r="A995" s="6" t="s">
        <v>1293</v>
      </c>
      <c r="B995" s="6"/>
    </row>
    <row r="996" spans="1:2" x14ac:dyDescent="0.25">
      <c r="A996" s="6"/>
      <c r="B996" s="6"/>
    </row>
    <row r="997" spans="1:2" x14ac:dyDescent="0.25">
      <c r="A997" s="6" t="s">
        <v>1294</v>
      </c>
      <c r="B997" s="6"/>
    </row>
    <row r="998" spans="1:2" x14ac:dyDescent="0.25">
      <c r="A998" s="6" t="s">
        <v>1295</v>
      </c>
      <c r="B998" s="6"/>
    </row>
    <row r="999" spans="1:2" x14ac:dyDescent="0.25">
      <c r="A999" s="6" t="s">
        <v>1296</v>
      </c>
      <c r="B999" s="6"/>
    </row>
    <row r="1000" spans="1:2" x14ac:dyDescent="0.25">
      <c r="A1000" s="6" t="s">
        <v>1297</v>
      </c>
      <c r="B1000" s="6"/>
    </row>
    <row r="1001" spans="1:2" x14ac:dyDescent="0.25">
      <c r="A1001" s="6" t="s">
        <v>1298</v>
      </c>
      <c r="B1001" s="6"/>
    </row>
    <row r="1002" spans="1:2" x14ac:dyDescent="0.25">
      <c r="A1002" s="6" t="s">
        <v>1299</v>
      </c>
      <c r="B1002" s="6"/>
    </row>
    <row r="1003" spans="1:2" x14ac:dyDescent="0.25">
      <c r="A1003" s="6" t="s">
        <v>1300</v>
      </c>
      <c r="B1003" s="6"/>
    </row>
    <row r="1004" spans="1:2" x14ac:dyDescent="0.25">
      <c r="A1004" s="6" t="s">
        <v>1301</v>
      </c>
      <c r="B1004" s="6"/>
    </row>
    <row r="1005" spans="1:2" x14ac:dyDescent="0.25">
      <c r="A1005" s="6" t="s">
        <v>1302</v>
      </c>
      <c r="B1005" s="6"/>
    </row>
    <row r="1006" spans="1:2" x14ac:dyDescent="0.25">
      <c r="A1006" s="6" t="s">
        <v>1303</v>
      </c>
      <c r="B1006" s="6"/>
    </row>
    <row r="1007" spans="1:2" x14ac:dyDescent="0.25">
      <c r="A1007" s="6" t="s">
        <v>1304</v>
      </c>
      <c r="B1007" s="6"/>
    </row>
    <row r="1008" spans="1:2" x14ac:dyDescent="0.25">
      <c r="A1008" s="6" t="s">
        <v>1305</v>
      </c>
      <c r="B1008" s="6"/>
    </row>
    <row r="1009" spans="1:2" x14ac:dyDescent="0.25">
      <c r="A1009" s="6"/>
      <c r="B1009" s="6"/>
    </row>
    <row r="1010" spans="1:2" x14ac:dyDescent="0.25">
      <c r="A1010" s="6" t="s">
        <v>1306</v>
      </c>
      <c r="B1010" s="6"/>
    </row>
    <row r="1011" spans="1:2" x14ac:dyDescent="0.25">
      <c r="A1011" s="6" t="s">
        <v>1307</v>
      </c>
      <c r="B1011" s="6"/>
    </row>
    <row r="1012" spans="1:2" x14ac:dyDescent="0.25">
      <c r="A1012" s="6" t="s">
        <v>740</v>
      </c>
      <c r="B1012" s="6"/>
    </row>
    <row r="1013" spans="1:2" x14ac:dyDescent="0.25">
      <c r="A1013" s="6" t="s">
        <v>1308</v>
      </c>
      <c r="B1013" s="6"/>
    </row>
    <row r="1014" spans="1:2" x14ac:dyDescent="0.25">
      <c r="A1014" s="6"/>
      <c r="B1014" s="6"/>
    </row>
    <row r="1015" spans="1:2" x14ac:dyDescent="0.25">
      <c r="A1015" s="6" t="s">
        <v>1309</v>
      </c>
      <c r="B1015" s="6"/>
    </row>
    <row r="1016" spans="1:2" x14ac:dyDescent="0.25">
      <c r="A1016" s="6"/>
      <c r="B1016" s="6"/>
    </row>
    <row r="1017" spans="1:2" x14ac:dyDescent="0.25">
      <c r="A1017" s="6" t="s">
        <v>1310</v>
      </c>
      <c r="B1017" s="6"/>
    </row>
    <row r="1018" spans="1:2" x14ac:dyDescent="0.25">
      <c r="A1018" s="6"/>
      <c r="B1018" s="6"/>
    </row>
    <row r="1019" spans="1:2" x14ac:dyDescent="0.25">
      <c r="A1019" s="6" t="s">
        <v>1311</v>
      </c>
      <c r="B1019" s="6"/>
    </row>
    <row r="1020" spans="1:2" x14ac:dyDescent="0.25">
      <c r="A1020" s="6" t="s">
        <v>1312</v>
      </c>
      <c r="B1020" s="6"/>
    </row>
    <row r="1021" spans="1:2" x14ac:dyDescent="0.25">
      <c r="A1021" s="6" t="s">
        <v>1313</v>
      </c>
      <c r="B1021" s="6"/>
    </row>
    <row r="1022" spans="1:2" x14ac:dyDescent="0.25">
      <c r="A1022" s="6" t="s">
        <v>1314</v>
      </c>
      <c r="B1022" s="6"/>
    </row>
    <row r="1023" spans="1:2" x14ac:dyDescent="0.25">
      <c r="A1023" s="6" t="s">
        <v>1315</v>
      </c>
      <c r="B1023" s="6"/>
    </row>
    <row r="1024" spans="1:2" x14ac:dyDescent="0.25">
      <c r="A1024" s="6" t="s">
        <v>1316</v>
      </c>
      <c r="B1024" s="6"/>
    </row>
    <row r="1025" spans="1:2" x14ac:dyDescent="0.25">
      <c r="A1025" s="6" t="s">
        <v>1317</v>
      </c>
      <c r="B1025" s="6"/>
    </row>
    <row r="1026" spans="1:2" x14ac:dyDescent="0.25">
      <c r="A1026" s="6" t="s">
        <v>1318</v>
      </c>
      <c r="B1026" s="6"/>
    </row>
    <row r="1027" spans="1:2" x14ac:dyDescent="0.25">
      <c r="A1027" s="6"/>
      <c r="B1027" s="6"/>
    </row>
    <row r="1028" spans="1:2" x14ac:dyDescent="0.25">
      <c r="A1028" s="6" t="s">
        <v>1319</v>
      </c>
      <c r="B1028" s="6"/>
    </row>
    <row r="1029" spans="1:2" x14ac:dyDescent="0.25">
      <c r="A1029" s="6" t="s">
        <v>1320</v>
      </c>
      <c r="B1029" s="6"/>
    </row>
    <row r="1030" spans="1:2" x14ac:dyDescent="0.25">
      <c r="A1030" s="6" t="s">
        <v>1321</v>
      </c>
      <c r="B1030" s="6"/>
    </row>
    <row r="1031" spans="1:2" x14ac:dyDescent="0.25">
      <c r="A1031" s="6"/>
      <c r="B1031" s="6"/>
    </row>
    <row r="1032" spans="1:2" x14ac:dyDescent="0.25">
      <c r="A1032" s="6" t="s">
        <v>1322</v>
      </c>
      <c r="B1032" s="6"/>
    </row>
    <row r="1033" spans="1:2" x14ac:dyDescent="0.25">
      <c r="A1033" s="6"/>
      <c r="B1033" s="6"/>
    </row>
    <row r="1034" spans="1:2" x14ac:dyDescent="0.25">
      <c r="A1034" s="6" t="s">
        <v>1323</v>
      </c>
      <c r="B1034" s="6"/>
    </row>
    <row r="1035" spans="1:2" x14ac:dyDescent="0.25">
      <c r="A1035" s="6" t="s">
        <v>1324</v>
      </c>
      <c r="B1035" s="6"/>
    </row>
    <row r="1036" spans="1:2" x14ac:dyDescent="0.25">
      <c r="A1036" s="6" t="s">
        <v>1325</v>
      </c>
      <c r="B1036" s="6"/>
    </row>
    <row r="1037" spans="1:2" x14ac:dyDescent="0.25">
      <c r="A1037" s="6"/>
      <c r="B1037" s="6"/>
    </row>
    <row r="1038" spans="1:2" x14ac:dyDescent="0.25">
      <c r="A1038" s="6" t="s">
        <v>1326</v>
      </c>
      <c r="B1038" s="6"/>
    </row>
    <row r="1039" spans="1:2" x14ac:dyDescent="0.25">
      <c r="A1039" s="6" t="s">
        <v>1327</v>
      </c>
      <c r="B1039" s="6"/>
    </row>
    <row r="1040" spans="1:2" x14ac:dyDescent="0.25">
      <c r="A1040" s="6" t="s">
        <v>1328</v>
      </c>
      <c r="B1040" s="6"/>
    </row>
    <row r="1041" spans="1:2" x14ac:dyDescent="0.25">
      <c r="A1041" s="6" t="s">
        <v>1329</v>
      </c>
      <c r="B1041" s="6"/>
    </row>
    <row r="1042" spans="1:2" x14ac:dyDescent="0.25">
      <c r="A1042" s="6" t="s">
        <v>1330</v>
      </c>
      <c r="B1042" s="6"/>
    </row>
    <row r="1043" spans="1:2" x14ac:dyDescent="0.25">
      <c r="A1043" s="6" t="s">
        <v>1331</v>
      </c>
      <c r="B1043" s="6"/>
    </row>
    <row r="1044" spans="1:2" x14ac:dyDescent="0.25">
      <c r="A1044" s="6" t="s">
        <v>1332</v>
      </c>
      <c r="B1044" s="6"/>
    </row>
    <row r="1045" spans="1:2" x14ac:dyDescent="0.25">
      <c r="A1045" s="6"/>
      <c r="B1045" s="6"/>
    </row>
    <row r="1046" spans="1:2" x14ac:dyDescent="0.25">
      <c r="A1046" s="6" t="s">
        <v>1333</v>
      </c>
      <c r="B1046" s="6"/>
    </row>
    <row r="1047" spans="1:2" x14ac:dyDescent="0.25">
      <c r="A1047" s="6" t="s">
        <v>1334</v>
      </c>
      <c r="B1047" s="6"/>
    </row>
    <row r="1048" spans="1:2" x14ac:dyDescent="0.25">
      <c r="A1048" s="6" t="s">
        <v>1335</v>
      </c>
      <c r="B1048" s="6"/>
    </row>
    <row r="1049" spans="1:2" x14ac:dyDescent="0.25">
      <c r="A1049" s="6" t="s">
        <v>1336</v>
      </c>
      <c r="B1049" s="6"/>
    </row>
    <row r="1050" spans="1:2" x14ac:dyDescent="0.25">
      <c r="A1050" s="6" t="s">
        <v>1337</v>
      </c>
      <c r="B1050" s="6"/>
    </row>
    <row r="1051" spans="1:2" x14ac:dyDescent="0.25">
      <c r="A1051" s="6" t="s">
        <v>1338</v>
      </c>
      <c r="B1051" s="6"/>
    </row>
    <row r="1052" spans="1:2" x14ac:dyDescent="0.25">
      <c r="A1052" s="6" t="s">
        <v>1339</v>
      </c>
      <c r="B1052" s="6"/>
    </row>
    <row r="1053" spans="1:2" x14ac:dyDescent="0.25">
      <c r="A1053" s="6" t="s">
        <v>1340</v>
      </c>
      <c r="B1053" s="6"/>
    </row>
    <row r="1054" spans="1:2" x14ac:dyDescent="0.25">
      <c r="A1054" s="6" t="s">
        <v>1341</v>
      </c>
      <c r="B1054" s="6"/>
    </row>
    <row r="1055" spans="1:2" x14ac:dyDescent="0.25">
      <c r="A1055" s="6" t="s">
        <v>1342</v>
      </c>
      <c r="B1055" s="6"/>
    </row>
    <row r="1056" spans="1:2" x14ac:dyDescent="0.25">
      <c r="A1056" s="6" t="s">
        <v>1343</v>
      </c>
      <c r="B1056" s="6"/>
    </row>
    <row r="1057" spans="1:2" x14ac:dyDescent="0.25">
      <c r="A1057" s="6" t="s">
        <v>1344</v>
      </c>
      <c r="B1057" s="6"/>
    </row>
    <row r="1058" spans="1:2" x14ac:dyDescent="0.25">
      <c r="A1058" s="6" t="s">
        <v>1345</v>
      </c>
      <c r="B1058" s="6"/>
    </row>
    <row r="1059" spans="1:2" x14ac:dyDescent="0.25">
      <c r="A1059" s="6" t="s">
        <v>1346</v>
      </c>
      <c r="B1059" s="6"/>
    </row>
    <row r="1060" spans="1:2" x14ac:dyDescent="0.25">
      <c r="A1060" s="6"/>
      <c r="B1060" s="6"/>
    </row>
    <row r="1061" spans="1:2" x14ac:dyDescent="0.25">
      <c r="A1061" s="6" t="s">
        <v>1347</v>
      </c>
      <c r="B1061" s="6"/>
    </row>
    <row r="1062" spans="1:2" x14ac:dyDescent="0.25">
      <c r="A1062" s="6"/>
      <c r="B1062" s="6"/>
    </row>
    <row r="1063" spans="1:2" x14ac:dyDescent="0.25">
      <c r="A1063" s="6" t="s">
        <v>1348</v>
      </c>
      <c r="B1063" s="6"/>
    </row>
    <row r="1064" spans="1:2" x14ac:dyDescent="0.25">
      <c r="A1064" s="6" t="s">
        <v>442</v>
      </c>
      <c r="B1064" s="6"/>
    </row>
    <row r="1065" spans="1:2" x14ac:dyDescent="0.25">
      <c r="A1065" s="6"/>
      <c r="B1065" s="6"/>
    </row>
    <row r="1066" spans="1:2" x14ac:dyDescent="0.25">
      <c r="A1066" s="6" t="s">
        <v>1349</v>
      </c>
      <c r="B1066" s="6"/>
    </row>
    <row r="1067" spans="1:2" x14ac:dyDescent="0.25">
      <c r="A1067" s="6" t="s">
        <v>442</v>
      </c>
      <c r="B1067" s="6"/>
    </row>
    <row r="1068" spans="1:2" x14ac:dyDescent="0.25">
      <c r="A1068" s="6"/>
      <c r="B1068" s="6"/>
    </row>
    <row r="1069" spans="1:2" x14ac:dyDescent="0.25">
      <c r="A1069" s="6" t="s">
        <v>1350</v>
      </c>
      <c r="B1069" s="6"/>
    </row>
    <row r="1070" spans="1:2" x14ac:dyDescent="0.25">
      <c r="A1070" s="6" t="s">
        <v>1351</v>
      </c>
      <c r="B1070" s="6"/>
    </row>
    <row r="1071" spans="1:2" x14ac:dyDescent="0.25">
      <c r="A1071" s="6" t="s">
        <v>442</v>
      </c>
      <c r="B1071" s="6"/>
    </row>
    <row r="1072" spans="1:2" x14ac:dyDescent="0.25">
      <c r="A1072" s="6"/>
      <c r="B1072" s="6"/>
    </row>
    <row r="1073" spans="1:2" x14ac:dyDescent="0.25">
      <c r="A1073" s="6" t="s">
        <v>1352</v>
      </c>
      <c r="B1073" s="6"/>
    </row>
    <row r="1074" spans="1:2" x14ac:dyDescent="0.25">
      <c r="A1074" s="6" t="s">
        <v>1353</v>
      </c>
      <c r="B1074" s="6"/>
    </row>
    <row r="1075" spans="1:2" x14ac:dyDescent="0.25">
      <c r="A1075" s="6" t="s">
        <v>1354</v>
      </c>
      <c r="B1075" s="6"/>
    </row>
    <row r="1076" spans="1:2" x14ac:dyDescent="0.25">
      <c r="A1076" s="6" t="s">
        <v>1355</v>
      </c>
      <c r="B1076" s="6"/>
    </row>
    <row r="1077" spans="1:2" x14ac:dyDescent="0.25">
      <c r="A1077" s="6" t="s">
        <v>442</v>
      </c>
      <c r="B1077" s="6"/>
    </row>
    <row r="1078" spans="1:2" x14ac:dyDescent="0.25">
      <c r="A1078" s="6"/>
      <c r="B1078" s="6"/>
    </row>
    <row r="1079" spans="1:2" x14ac:dyDescent="0.25">
      <c r="A1079" s="6" t="s">
        <v>1356</v>
      </c>
      <c r="B1079" s="6"/>
    </row>
    <row r="1080" spans="1:2" x14ac:dyDescent="0.25">
      <c r="A1080" s="6" t="s">
        <v>1357</v>
      </c>
      <c r="B1080" s="6"/>
    </row>
    <row r="1081" spans="1:2" x14ac:dyDescent="0.25">
      <c r="A1081" s="6" t="s">
        <v>1358</v>
      </c>
      <c r="B1081" s="6"/>
    </row>
    <row r="1082" spans="1:2" x14ac:dyDescent="0.25">
      <c r="A1082" s="6" t="s">
        <v>1359</v>
      </c>
      <c r="B1082" s="6"/>
    </row>
    <row r="1083" spans="1:2" x14ac:dyDescent="0.25">
      <c r="A1083" s="6" t="s">
        <v>1360</v>
      </c>
      <c r="B1083" s="6"/>
    </row>
    <row r="1084" spans="1:2" x14ac:dyDescent="0.25">
      <c r="A1084" s="6" t="s">
        <v>1361</v>
      </c>
      <c r="B1084" s="6"/>
    </row>
    <row r="1085" spans="1:2" x14ac:dyDescent="0.25">
      <c r="A1085" s="6" t="s">
        <v>1362</v>
      </c>
      <c r="B1085" s="6"/>
    </row>
    <row r="1086" spans="1:2" x14ac:dyDescent="0.25">
      <c r="A1086" s="6" t="s">
        <v>1363</v>
      </c>
      <c r="B1086" s="6"/>
    </row>
    <row r="1087" spans="1:2" x14ac:dyDescent="0.25">
      <c r="A1087" s="6" t="s">
        <v>442</v>
      </c>
      <c r="B1087" s="6"/>
    </row>
    <row r="1088" spans="1:2" x14ac:dyDescent="0.25">
      <c r="A1088" s="6"/>
      <c r="B1088" s="6"/>
    </row>
    <row r="1089" spans="1:2" x14ac:dyDescent="0.25">
      <c r="A1089" s="6" t="s">
        <v>1364</v>
      </c>
      <c r="B1089" s="6"/>
    </row>
    <row r="1090" spans="1:2" x14ac:dyDescent="0.25">
      <c r="A1090" s="6" t="s">
        <v>1365</v>
      </c>
      <c r="B1090" s="6"/>
    </row>
    <row r="1091" spans="1:2" x14ac:dyDescent="0.25">
      <c r="A1091" s="6" t="s">
        <v>1366</v>
      </c>
      <c r="B1091" s="6"/>
    </row>
    <row r="1092" spans="1:2" x14ac:dyDescent="0.25">
      <c r="A1092" s="6" t="s">
        <v>1367</v>
      </c>
      <c r="B1092" s="6"/>
    </row>
    <row r="1093" spans="1:2" x14ac:dyDescent="0.25">
      <c r="A1093" s="6" t="s">
        <v>1368</v>
      </c>
      <c r="B1093" s="6"/>
    </row>
    <row r="1094" spans="1:2" x14ac:dyDescent="0.25">
      <c r="A1094" s="6" t="s">
        <v>1369</v>
      </c>
      <c r="B1094" s="6"/>
    </row>
    <row r="1095" spans="1:2" x14ac:dyDescent="0.25">
      <c r="A1095" s="6" t="s">
        <v>1370</v>
      </c>
      <c r="B1095" s="6"/>
    </row>
    <row r="1096" spans="1:2" x14ac:dyDescent="0.25">
      <c r="A1096" s="6" t="s">
        <v>1371</v>
      </c>
      <c r="B1096" s="6"/>
    </row>
    <row r="1097" spans="1:2" x14ac:dyDescent="0.25">
      <c r="A1097" s="6" t="s">
        <v>1372</v>
      </c>
      <c r="B1097" s="6"/>
    </row>
    <row r="1098" spans="1:2" x14ac:dyDescent="0.25">
      <c r="A1098" s="6" t="s">
        <v>1373</v>
      </c>
      <c r="B1098" s="6"/>
    </row>
    <row r="1099" spans="1:2" x14ac:dyDescent="0.25">
      <c r="A1099" s="6"/>
      <c r="B1099" s="6"/>
    </row>
    <row r="1100" spans="1:2" x14ac:dyDescent="0.25">
      <c r="A1100" s="6" t="s">
        <v>1374</v>
      </c>
      <c r="B1100" s="6"/>
    </row>
    <row r="1101" spans="1:2" x14ac:dyDescent="0.25">
      <c r="A1101" s="6"/>
      <c r="B1101" s="6"/>
    </row>
    <row r="1102" spans="1:2" x14ac:dyDescent="0.25">
      <c r="A1102" s="6" t="s">
        <v>1375</v>
      </c>
      <c r="B1102" s="6"/>
    </row>
    <row r="1103" spans="1:2" x14ac:dyDescent="0.25">
      <c r="A1103" s="6"/>
      <c r="B1103" s="6"/>
    </row>
    <row r="1104" spans="1:2" x14ac:dyDescent="0.25">
      <c r="A1104" s="6" t="s">
        <v>1376</v>
      </c>
      <c r="B1104" s="6"/>
    </row>
    <row r="1105" spans="1:2" x14ac:dyDescent="0.25">
      <c r="A1105" s="6" t="s">
        <v>1377</v>
      </c>
      <c r="B1105" s="6"/>
    </row>
    <row r="1106" spans="1:2" x14ac:dyDescent="0.25">
      <c r="A1106" s="6" t="s">
        <v>1378</v>
      </c>
      <c r="B1106" s="6"/>
    </row>
    <row r="1107" spans="1:2" x14ac:dyDescent="0.25">
      <c r="A1107" s="6" t="s">
        <v>1379</v>
      </c>
      <c r="B1107" s="6"/>
    </row>
    <row r="1108" spans="1:2" x14ac:dyDescent="0.25">
      <c r="A1108" s="6" t="s">
        <v>1380</v>
      </c>
      <c r="B1108" s="6"/>
    </row>
    <row r="1109" spans="1:2" x14ac:dyDescent="0.25">
      <c r="A1109" s="6" t="s">
        <v>1381</v>
      </c>
      <c r="B1109" s="6"/>
    </row>
    <row r="1110" spans="1:2" x14ac:dyDescent="0.25">
      <c r="A1110" s="6" t="s">
        <v>1382</v>
      </c>
      <c r="B1110" s="6"/>
    </row>
    <row r="1111" spans="1:2" x14ac:dyDescent="0.25">
      <c r="A1111" s="6" t="s">
        <v>1383</v>
      </c>
      <c r="B1111" s="6"/>
    </row>
    <row r="1112" spans="1:2" x14ac:dyDescent="0.25">
      <c r="A1112" s="6" t="s">
        <v>1384</v>
      </c>
      <c r="B1112" s="6"/>
    </row>
    <row r="1113" spans="1:2" x14ac:dyDescent="0.25">
      <c r="A1113" s="6" t="s">
        <v>1385</v>
      </c>
      <c r="B1113" s="6"/>
    </row>
    <row r="1114" spans="1:2" x14ac:dyDescent="0.25">
      <c r="A1114" s="6" t="s">
        <v>1386</v>
      </c>
      <c r="B1114" s="6"/>
    </row>
    <row r="1115" spans="1:2" x14ac:dyDescent="0.25">
      <c r="A1115" s="6" t="s">
        <v>1387</v>
      </c>
      <c r="B1115" s="6"/>
    </row>
    <row r="1116" spans="1:2" x14ac:dyDescent="0.25">
      <c r="A1116" s="6" t="s">
        <v>1388</v>
      </c>
      <c r="B1116" s="6"/>
    </row>
    <row r="1117" spans="1:2" x14ac:dyDescent="0.25">
      <c r="A1117" s="6" t="s">
        <v>1389</v>
      </c>
      <c r="B1117" s="6"/>
    </row>
    <row r="1118" spans="1:2" x14ac:dyDescent="0.25">
      <c r="A1118" s="6"/>
      <c r="B1118" s="6"/>
    </row>
    <row r="1119" spans="1:2" x14ac:dyDescent="0.25">
      <c r="A1119" s="6" t="s">
        <v>1390</v>
      </c>
      <c r="B1119" s="6"/>
    </row>
    <row r="1120" spans="1:2" x14ac:dyDescent="0.25">
      <c r="A1120" s="6"/>
      <c r="B1120" s="6"/>
    </row>
    <row r="1121" spans="1:2" x14ac:dyDescent="0.25">
      <c r="A1121" s="6" t="s">
        <v>1391</v>
      </c>
      <c r="B1121" s="6"/>
    </row>
    <row r="1122" spans="1:2" x14ac:dyDescent="0.25">
      <c r="A1122" s="6"/>
      <c r="B1122" s="6"/>
    </row>
    <row r="1123" spans="1:2" x14ac:dyDescent="0.25">
      <c r="A1123" s="6" t="s">
        <v>1392</v>
      </c>
      <c r="B1123" s="6"/>
    </row>
    <row r="1124" spans="1:2" x14ac:dyDescent="0.25">
      <c r="A1124" s="6" t="s">
        <v>1393</v>
      </c>
      <c r="B1124" s="6"/>
    </row>
    <row r="1125" spans="1:2" x14ac:dyDescent="0.25">
      <c r="A1125" s="6" t="s">
        <v>1394</v>
      </c>
      <c r="B1125" s="6"/>
    </row>
    <row r="1126" spans="1:2" x14ac:dyDescent="0.25">
      <c r="A1126" s="6" t="s">
        <v>1395</v>
      </c>
      <c r="B1126" s="6"/>
    </row>
    <row r="1127" spans="1:2" x14ac:dyDescent="0.25">
      <c r="A1127" s="6" t="s">
        <v>1396</v>
      </c>
      <c r="B1127" s="6"/>
    </row>
    <row r="1128" spans="1:2" x14ac:dyDescent="0.25">
      <c r="A1128" s="6" t="s">
        <v>1397</v>
      </c>
      <c r="B1128" s="6"/>
    </row>
    <row r="1129" spans="1:2" x14ac:dyDescent="0.25">
      <c r="A1129" s="6"/>
      <c r="B1129" s="6"/>
    </row>
    <row r="1130" spans="1:2" x14ac:dyDescent="0.25">
      <c r="A1130" s="6" t="s">
        <v>1398</v>
      </c>
      <c r="B1130" s="6"/>
    </row>
    <row r="1131" spans="1:2" x14ac:dyDescent="0.25">
      <c r="A1131" s="6" t="s">
        <v>1399</v>
      </c>
      <c r="B1131" s="6"/>
    </row>
    <row r="1132" spans="1:2" x14ac:dyDescent="0.25">
      <c r="A1132" s="6" t="s">
        <v>1400</v>
      </c>
      <c r="B1132" s="6"/>
    </row>
    <row r="1133" spans="1:2" x14ac:dyDescent="0.25">
      <c r="A1133" s="6" t="s">
        <v>1401</v>
      </c>
      <c r="B1133" s="6"/>
    </row>
    <row r="1134" spans="1:2" x14ac:dyDescent="0.25">
      <c r="A1134" s="6" t="s">
        <v>1402</v>
      </c>
      <c r="B1134" s="6"/>
    </row>
    <row r="1135" spans="1:2" x14ac:dyDescent="0.25">
      <c r="A1135" s="6" t="s">
        <v>1403</v>
      </c>
      <c r="B1135" s="6"/>
    </row>
    <row r="1136" spans="1:2" x14ac:dyDescent="0.25">
      <c r="A1136" s="6"/>
      <c r="B1136" s="6"/>
    </row>
    <row r="1137" spans="1:2" x14ac:dyDescent="0.25">
      <c r="A1137" s="6" t="s">
        <v>1404</v>
      </c>
      <c r="B1137" s="6"/>
    </row>
    <row r="1138" spans="1:2" x14ac:dyDescent="0.25">
      <c r="A1138" s="6"/>
      <c r="B1138" s="6"/>
    </row>
    <row r="1139" spans="1:2" x14ac:dyDescent="0.25">
      <c r="A1139" s="6" t="s">
        <v>1405</v>
      </c>
      <c r="B1139" s="6"/>
    </row>
    <row r="1140" spans="1:2" x14ac:dyDescent="0.25">
      <c r="A1140" s="6"/>
      <c r="B1140" s="6"/>
    </row>
    <row r="1141" spans="1:2" x14ac:dyDescent="0.25">
      <c r="A1141" s="6" t="s">
        <v>1406</v>
      </c>
      <c r="B1141" s="6"/>
    </row>
    <row r="1142" spans="1:2" x14ac:dyDescent="0.25">
      <c r="A1142" s="6" t="s">
        <v>1407</v>
      </c>
      <c r="B1142" s="6"/>
    </row>
    <row r="1143" spans="1:2" x14ac:dyDescent="0.25">
      <c r="A1143" s="6"/>
      <c r="B1143" s="6"/>
    </row>
    <row r="1144" spans="1:2" x14ac:dyDescent="0.25">
      <c r="A1144" s="6" t="s">
        <v>1408</v>
      </c>
      <c r="B1144" s="6"/>
    </row>
    <row r="1145" spans="1:2" x14ac:dyDescent="0.25">
      <c r="A1145" s="6" t="s">
        <v>1409</v>
      </c>
      <c r="B1145" s="6"/>
    </row>
    <row r="1146" spans="1:2" x14ac:dyDescent="0.25">
      <c r="A1146" s="6" t="s">
        <v>1410</v>
      </c>
      <c r="B1146" s="6"/>
    </row>
    <row r="1147" spans="1:2" x14ac:dyDescent="0.25">
      <c r="A1147" s="6" t="s">
        <v>1411</v>
      </c>
      <c r="B1147" s="6"/>
    </row>
    <row r="1148" spans="1:2" x14ac:dyDescent="0.25">
      <c r="A1148" s="6"/>
      <c r="B1148" s="6"/>
    </row>
    <row r="1149" spans="1:2" x14ac:dyDescent="0.25">
      <c r="A1149" s="6" t="s">
        <v>1412</v>
      </c>
      <c r="B1149" s="6"/>
    </row>
    <row r="1150" spans="1:2" x14ac:dyDescent="0.25">
      <c r="A1150" s="6" t="s">
        <v>1413</v>
      </c>
      <c r="B1150" s="6"/>
    </row>
    <row r="1151" spans="1:2" x14ac:dyDescent="0.25">
      <c r="A1151" s="6" t="s">
        <v>1414</v>
      </c>
      <c r="B1151" s="6"/>
    </row>
    <row r="1152" spans="1:2" x14ac:dyDescent="0.25">
      <c r="A1152" s="6" t="s">
        <v>1415</v>
      </c>
      <c r="B1152" s="6"/>
    </row>
    <row r="1153" spans="1:2" x14ac:dyDescent="0.25">
      <c r="A1153" s="6" t="s">
        <v>1416</v>
      </c>
      <c r="B1153" s="6"/>
    </row>
    <row r="1154" spans="1:2" x14ac:dyDescent="0.25">
      <c r="A1154" s="6"/>
      <c r="B1154" s="6"/>
    </row>
    <row r="1155" spans="1:2" x14ac:dyDescent="0.25">
      <c r="A1155" s="6" t="s">
        <v>1417</v>
      </c>
      <c r="B1155" s="6"/>
    </row>
    <row r="1156" spans="1:2" x14ac:dyDescent="0.25">
      <c r="A1156" s="6"/>
      <c r="B1156" s="6"/>
    </row>
    <row r="1157" spans="1:2" x14ac:dyDescent="0.25">
      <c r="A1157" s="6" t="s">
        <v>1418</v>
      </c>
      <c r="B1157" s="6"/>
    </row>
    <row r="1158" spans="1:2" x14ac:dyDescent="0.25">
      <c r="A1158" s="6"/>
      <c r="B1158" s="6"/>
    </row>
    <row r="1159" spans="1:2" x14ac:dyDescent="0.25">
      <c r="A1159" s="6" t="s">
        <v>1419</v>
      </c>
      <c r="B1159" s="6"/>
    </row>
    <row r="1160" spans="1:2" x14ac:dyDescent="0.25">
      <c r="A1160" s="6"/>
      <c r="B1160" s="6"/>
    </row>
    <row r="1161" spans="1:2" x14ac:dyDescent="0.25">
      <c r="A1161" s="6" t="s">
        <v>1420</v>
      </c>
      <c r="B1161" s="6"/>
    </row>
    <row r="1162" spans="1:2" x14ac:dyDescent="0.25">
      <c r="A1162" s="6" t="s">
        <v>1421</v>
      </c>
      <c r="B1162" s="6"/>
    </row>
    <row r="1163" spans="1:2" x14ac:dyDescent="0.25">
      <c r="A1163" s="6" t="s">
        <v>1422</v>
      </c>
      <c r="B1163" s="6"/>
    </row>
    <row r="1164" spans="1:2" x14ac:dyDescent="0.25">
      <c r="A1164" s="6"/>
      <c r="B1164" s="6"/>
    </row>
    <row r="1165" spans="1:2" x14ac:dyDescent="0.25">
      <c r="A1165" s="6" t="s">
        <v>1423</v>
      </c>
      <c r="B1165" s="6"/>
    </row>
    <row r="1166" spans="1:2" x14ac:dyDescent="0.25">
      <c r="A1166" s="6"/>
      <c r="B1166" s="6"/>
    </row>
    <row r="1167" spans="1:2" x14ac:dyDescent="0.25">
      <c r="A1167" s="6" t="s">
        <v>1424</v>
      </c>
      <c r="B1167" s="6"/>
    </row>
    <row r="1168" spans="1:2" x14ac:dyDescent="0.25">
      <c r="A1168" s="6"/>
      <c r="B1168" s="6"/>
    </row>
    <row r="1169" spans="1:2" x14ac:dyDescent="0.25">
      <c r="A1169" s="6" t="s">
        <v>1425</v>
      </c>
      <c r="B1169" s="6"/>
    </row>
    <row r="1170" spans="1:2" x14ac:dyDescent="0.25">
      <c r="A1170" s="6" t="s">
        <v>1426</v>
      </c>
      <c r="B1170" s="6"/>
    </row>
    <row r="1171" spans="1:2" x14ac:dyDescent="0.25">
      <c r="A1171" s="6"/>
      <c r="B1171" s="6"/>
    </row>
    <row r="1172" spans="1:2" x14ac:dyDescent="0.25">
      <c r="A1172" s="6" t="s">
        <v>1427</v>
      </c>
      <c r="B1172" s="6"/>
    </row>
    <row r="1173" spans="1:2" x14ac:dyDescent="0.25">
      <c r="A1173" s="6"/>
      <c r="B1173" s="6"/>
    </row>
    <row r="1174" spans="1:2" x14ac:dyDescent="0.25">
      <c r="A1174" s="6" t="s">
        <v>1428</v>
      </c>
      <c r="B1174" s="6"/>
    </row>
    <row r="1175" spans="1:2" x14ac:dyDescent="0.25">
      <c r="A1175" s="6"/>
      <c r="B1175" s="6"/>
    </row>
    <row r="1176" spans="1:2" x14ac:dyDescent="0.25">
      <c r="A1176" s="6" t="s">
        <v>1429</v>
      </c>
      <c r="B1176" s="6"/>
    </row>
    <row r="1177" spans="1:2" x14ac:dyDescent="0.25">
      <c r="A1177" s="6" t="s">
        <v>1430</v>
      </c>
      <c r="B1177" s="6"/>
    </row>
    <row r="1178" spans="1:2" x14ac:dyDescent="0.25">
      <c r="A1178" s="6" t="s">
        <v>1431</v>
      </c>
      <c r="B1178" s="6"/>
    </row>
    <row r="1179" spans="1:2" x14ac:dyDescent="0.25">
      <c r="A1179" s="6"/>
      <c r="B1179" s="6"/>
    </row>
    <row r="1180" spans="1:2" x14ac:dyDescent="0.25">
      <c r="A1180" s="6" t="s">
        <v>1432</v>
      </c>
      <c r="B1180" s="6"/>
    </row>
    <row r="1181" spans="1:2" x14ac:dyDescent="0.25">
      <c r="A1181" s="6" t="s">
        <v>1433</v>
      </c>
      <c r="B1181" s="6"/>
    </row>
    <row r="1182" spans="1:2" x14ac:dyDescent="0.25">
      <c r="A1182" s="6"/>
      <c r="B1182" s="6"/>
    </row>
    <row r="1183" spans="1:2" x14ac:dyDescent="0.25">
      <c r="A1183" s="6" t="s">
        <v>1434</v>
      </c>
      <c r="B1183" s="6"/>
    </row>
    <row r="1184" spans="1:2" x14ac:dyDescent="0.25">
      <c r="A1184" s="6"/>
      <c r="B1184" s="6"/>
    </row>
    <row r="1185" spans="1:2" x14ac:dyDescent="0.25">
      <c r="A1185" s="6" t="s">
        <v>1435</v>
      </c>
      <c r="B1185" s="6"/>
    </row>
    <row r="1186" spans="1:2" x14ac:dyDescent="0.25">
      <c r="A1186" s="6"/>
      <c r="B1186" s="6"/>
    </row>
    <row r="1187" spans="1:2" x14ac:dyDescent="0.25">
      <c r="A1187" s="6" t="s">
        <v>1436</v>
      </c>
      <c r="B1187" s="6"/>
    </row>
    <row r="1188" spans="1:2" x14ac:dyDescent="0.25">
      <c r="A1188" s="6"/>
      <c r="B1188" s="6"/>
    </row>
    <row r="1189" spans="1:2" x14ac:dyDescent="0.25">
      <c r="A1189" s="6" t="s">
        <v>1437</v>
      </c>
      <c r="B1189" s="6"/>
    </row>
    <row r="1190" spans="1:2" x14ac:dyDescent="0.25">
      <c r="A1190" s="6" t="s">
        <v>1438</v>
      </c>
      <c r="B1190" s="6"/>
    </row>
    <row r="1191" spans="1:2" x14ac:dyDescent="0.25">
      <c r="A1191" s="6" t="s">
        <v>1439</v>
      </c>
      <c r="B1191" s="6"/>
    </row>
    <row r="1192" spans="1:2" x14ac:dyDescent="0.25">
      <c r="A1192" s="6" t="s">
        <v>1440</v>
      </c>
      <c r="B1192" s="6"/>
    </row>
    <row r="1193" spans="1:2" x14ac:dyDescent="0.25">
      <c r="A1193" s="6" t="s">
        <v>1441</v>
      </c>
      <c r="B1193" s="6"/>
    </row>
    <row r="1194" spans="1:2" x14ac:dyDescent="0.25">
      <c r="A1194" s="6" t="s">
        <v>1442</v>
      </c>
      <c r="B1194" s="6"/>
    </row>
    <row r="1195" spans="1:2" x14ac:dyDescent="0.25">
      <c r="A1195" s="6"/>
      <c r="B1195" s="6"/>
    </row>
    <row r="1196" spans="1:2" x14ac:dyDescent="0.25">
      <c r="A1196" s="6" t="s">
        <v>1443</v>
      </c>
      <c r="B1196" s="6"/>
    </row>
    <row r="1197" spans="1:2" x14ac:dyDescent="0.25">
      <c r="A1197" s="6"/>
      <c r="B1197" s="6"/>
    </row>
    <row r="1198" spans="1:2" x14ac:dyDescent="0.25">
      <c r="A1198" s="6" t="s">
        <v>1444</v>
      </c>
      <c r="B1198" s="6"/>
    </row>
    <row r="1199" spans="1:2" x14ac:dyDescent="0.25">
      <c r="A1199" s="6" t="s">
        <v>1445</v>
      </c>
      <c r="B1199" s="6"/>
    </row>
    <row r="1200" spans="1:2" x14ac:dyDescent="0.25">
      <c r="A1200" s="6" t="s">
        <v>1446</v>
      </c>
      <c r="B1200" s="6"/>
    </row>
    <row r="1201" spans="1:2" x14ac:dyDescent="0.25">
      <c r="A1201" s="6" t="s">
        <v>1447</v>
      </c>
      <c r="B1201" s="6"/>
    </row>
    <row r="1202" spans="1:2" x14ac:dyDescent="0.25">
      <c r="A1202" s="6" t="s">
        <v>1448</v>
      </c>
      <c r="B1202" s="6"/>
    </row>
    <row r="1203" spans="1:2" x14ac:dyDescent="0.25">
      <c r="A1203" s="6" t="s">
        <v>1449</v>
      </c>
      <c r="B1203" s="6"/>
    </row>
    <row r="1204" spans="1:2" x14ac:dyDescent="0.25">
      <c r="A1204" s="6" t="s">
        <v>1450</v>
      </c>
      <c r="B1204" s="6"/>
    </row>
    <row r="1205" spans="1:2" x14ac:dyDescent="0.25">
      <c r="A1205" s="6" t="s">
        <v>1451</v>
      </c>
      <c r="B1205" s="6"/>
    </row>
    <row r="1206" spans="1:2" x14ac:dyDescent="0.25">
      <c r="A1206" s="6" t="s">
        <v>1452</v>
      </c>
      <c r="B1206" s="6"/>
    </row>
    <row r="1207" spans="1:2" x14ac:dyDescent="0.25">
      <c r="A1207" s="6" t="s">
        <v>1453</v>
      </c>
      <c r="B1207" s="6"/>
    </row>
    <row r="1208" spans="1:2" x14ac:dyDescent="0.25">
      <c r="A1208" s="6"/>
      <c r="B1208" s="6"/>
    </row>
    <row r="1209" spans="1:2" x14ac:dyDescent="0.25">
      <c r="A1209" s="6" t="s">
        <v>1454</v>
      </c>
      <c r="B1209" s="6"/>
    </row>
    <row r="1210" spans="1:2" x14ac:dyDescent="0.25">
      <c r="A1210" s="6" t="s">
        <v>1455</v>
      </c>
      <c r="B1210" s="6"/>
    </row>
    <row r="1211" spans="1:2" x14ac:dyDescent="0.25">
      <c r="A1211" s="6"/>
      <c r="B1211" s="6"/>
    </row>
    <row r="1212" spans="1:2" x14ac:dyDescent="0.25">
      <c r="A1212" s="6" t="s">
        <v>1456</v>
      </c>
      <c r="B1212" s="6"/>
    </row>
    <row r="1213" spans="1:2" x14ac:dyDescent="0.25">
      <c r="A1213" s="6" t="s">
        <v>1457</v>
      </c>
      <c r="B1213" s="6"/>
    </row>
    <row r="1214" spans="1:2" x14ac:dyDescent="0.25">
      <c r="A1214" s="6" t="s">
        <v>1458</v>
      </c>
      <c r="B1214" s="6"/>
    </row>
    <row r="1215" spans="1:2" x14ac:dyDescent="0.25">
      <c r="A1215" s="6"/>
      <c r="B1215" s="6"/>
    </row>
    <row r="1216" spans="1:2" x14ac:dyDescent="0.25">
      <c r="A1216" s="6" t="s">
        <v>1459</v>
      </c>
      <c r="B1216" s="6"/>
    </row>
    <row r="1217" spans="1:2" x14ac:dyDescent="0.25">
      <c r="A1217" s="6"/>
      <c r="B1217" s="6"/>
    </row>
    <row r="1218" spans="1:2" x14ac:dyDescent="0.25">
      <c r="A1218" s="6" t="s">
        <v>1460</v>
      </c>
      <c r="B1218" s="6"/>
    </row>
    <row r="1219" spans="1:2" x14ac:dyDescent="0.25">
      <c r="A1219" s="6"/>
      <c r="B1219" s="6"/>
    </row>
    <row r="1220" spans="1:2" x14ac:dyDescent="0.25">
      <c r="A1220" s="6" t="s">
        <v>1461</v>
      </c>
      <c r="B1220" s="6"/>
    </row>
    <row r="1221" spans="1:2" x14ac:dyDescent="0.25">
      <c r="A1221" s="6" t="s">
        <v>1462</v>
      </c>
      <c r="B1221" s="6"/>
    </row>
    <row r="1222" spans="1:2" x14ac:dyDescent="0.25">
      <c r="A1222" s="6" t="s">
        <v>1463</v>
      </c>
      <c r="B1222" s="6"/>
    </row>
    <row r="1223" spans="1:2" x14ac:dyDescent="0.25">
      <c r="A1223" s="6" t="s">
        <v>1464</v>
      </c>
      <c r="B1223" s="6"/>
    </row>
    <row r="1224" spans="1:2" x14ac:dyDescent="0.25">
      <c r="A1224" s="6"/>
      <c r="B1224" s="6"/>
    </row>
    <row r="1225" spans="1:2" x14ac:dyDescent="0.25">
      <c r="A1225" s="6" t="s">
        <v>1465</v>
      </c>
      <c r="B1225" s="6"/>
    </row>
    <row r="1226" spans="1:2" x14ac:dyDescent="0.25">
      <c r="A1226" s="6" t="s">
        <v>1466</v>
      </c>
      <c r="B1226" s="6"/>
    </row>
    <row r="1227" spans="1:2" x14ac:dyDescent="0.25">
      <c r="A1227" s="6"/>
      <c r="B1227" s="6"/>
    </row>
    <row r="1228" spans="1:2" x14ac:dyDescent="0.25">
      <c r="A1228" s="6" t="s">
        <v>1467</v>
      </c>
      <c r="B1228" s="6"/>
    </row>
    <row r="1229" spans="1:2" x14ac:dyDescent="0.25">
      <c r="A1229" s="6"/>
      <c r="B1229" s="6"/>
    </row>
    <row r="1230" spans="1:2" x14ac:dyDescent="0.25">
      <c r="A1230" s="6" t="s">
        <v>1468</v>
      </c>
      <c r="B1230" s="6"/>
    </row>
    <row r="1231" spans="1:2" x14ac:dyDescent="0.25">
      <c r="A1231" s="6" t="s">
        <v>1469</v>
      </c>
      <c r="B1231" s="6"/>
    </row>
    <row r="1232" spans="1:2" x14ac:dyDescent="0.25">
      <c r="A1232" s="6" t="s">
        <v>1470</v>
      </c>
      <c r="B1232" s="6"/>
    </row>
    <row r="1233" spans="1:2" x14ac:dyDescent="0.25">
      <c r="A1233" s="6"/>
      <c r="B1233" s="6"/>
    </row>
    <row r="1234" spans="1:2" x14ac:dyDescent="0.25">
      <c r="A1234" s="6" t="s">
        <v>1471</v>
      </c>
      <c r="B1234" s="6"/>
    </row>
    <row r="1235" spans="1:2" x14ac:dyDescent="0.25">
      <c r="A1235" s="6"/>
      <c r="B1235" s="6"/>
    </row>
    <row r="1236" spans="1:2" x14ac:dyDescent="0.25">
      <c r="A1236" s="6" t="s">
        <v>1472</v>
      </c>
      <c r="B1236" s="6"/>
    </row>
    <row r="1237" spans="1:2" x14ac:dyDescent="0.25">
      <c r="A1237" s="6" t="s">
        <v>1473</v>
      </c>
      <c r="B1237" s="6"/>
    </row>
    <row r="1238" spans="1:2" x14ac:dyDescent="0.25">
      <c r="A1238" s="6"/>
      <c r="B1238" s="6"/>
    </row>
    <row r="1239" spans="1:2" x14ac:dyDescent="0.25">
      <c r="A1239" s="6" t="s">
        <v>1474</v>
      </c>
      <c r="B1239" s="6"/>
    </row>
    <row r="1240" spans="1:2" x14ac:dyDescent="0.25">
      <c r="A1240" s="6" t="s">
        <v>1475</v>
      </c>
      <c r="B1240" s="6"/>
    </row>
    <row r="1241" spans="1:2" x14ac:dyDescent="0.25">
      <c r="A1241" s="6"/>
      <c r="B1241" s="6"/>
    </row>
    <row r="1242" spans="1:2" x14ac:dyDescent="0.25">
      <c r="A1242" s="6" t="s">
        <v>1476</v>
      </c>
      <c r="B1242" s="6"/>
    </row>
    <row r="1243" spans="1:2" x14ac:dyDescent="0.25">
      <c r="A1243" s="6" t="s">
        <v>1477</v>
      </c>
      <c r="B1243" s="6"/>
    </row>
    <row r="1244" spans="1:2" x14ac:dyDescent="0.25">
      <c r="A1244" s="6" t="s">
        <v>1478</v>
      </c>
      <c r="B1244" s="6"/>
    </row>
    <row r="1245" spans="1:2" x14ac:dyDescent="0.25">
      <c r="A1245" s="6" t="s">
        <v>1479</v>
      </c>
      <c r="B1245" s="6"/>
    </row>
  </sheetData>
  <hyperlinks>
    <hyperlink ref="A31" r:id="rId1" xr:uid="{38E938BB-DD53-4819-87F8-ED71C74936E9}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5070C7-7519-4688-A428-F257A1F7D91A}">
  <dimension ref="B2:K12"/>
  <sheetViews>
    <sheetView workbookViewId="0">
      <selection activeCell="E31" sqref="E31"/>
    </sheetView>
  </sheetViews>
  <sheetFormatPr defaultRowHeight="15" x14ac:dyDescent="0.25"/>
  <cols>
    <col min="9" max="9" width="21" customWidth="1"/>
    <col min="10" max="11" width="13.7109375" customWidth="1"/>
  </cols>
  <sheetData>
    <row r="2" spans="2:11" x14ac:dyDescent="0.25">
      <c r="B2" t="s">
        <v>128</v>
      </c>
      <c r="C2" t="s">
        <v>1480</v>
      </c>
      <c r="I2" t="s">
        <v>1481</v>
      </c>
      <c r="J2" t="s">
        <v>243</v>
      </c>
    </row>
    <row r="4" spans="2:11" ht="30" x14ac:dyDescent="0.25">
      <c r="J4" s="459" t="s">
        <v>244</v>
      </c>
      <c r="K4" s="459" t="s">
        <v>1482</v>
      </c>
    </row>
    <row r="5" spans="2:11" x14ac:dyDescent="0.25">
      <c r="I5" s="460" t="s">
        <v>1483</v>
      </c>
      <c r="J5" s="122">
        <v>0.9</v>
      </c>
      <c r="K5" s="122">
        <v>1</v>
      </c>
    </row>
    <row r="6" spans="2:11" x14ac:dyDescent="0.25">
      <c r="I6" s="460" t="s">
        <v>1484</v>
      </c>
      <c r="J6" s="122">
        <v>0.6</v>
      </c>
      <c r="K6" s="122">
        <v>0.7</v>
      </c>
    </row>
    <row r="7" spans="2:11" x14ac:dyDescent="0.25">
      <c r="I7" s="460" t="s">
        <v>1485</v>
      </c>
      <c r="J7" s="122">
        <v>0.68</v>
      </c>
      <c r="K7" s="122">
        <v>0.65</v>
      </c>
    </row>
    <row r="8" spans="2:11" x14ac:dyDescent="0.25">
      <c r="I8" s="460" t="s">
        <v>1486</v>
      </c>
      <c r="J8" s="122">
        <v>0.55000000000000004</v>
      </c>
      <c r="K8" s="122">
        <v>0.55000000000000004</v>
      </c>
    </row>
    <row r="9" spans="2:11" x14ac:dyDescent="0.25">
      <c r="I9" s="460" t="s">
        <v>1487</v>
      </c>
      <c r="J9" s="122">
        <v>0.6</v>
      </c>
      <c r="K9" s="122">
        <v>0.6</v>
      </c>
    </row>
    <row r="10" spans="2:11" x14ac:dyDescent="0.25">
      <c r="I10" s="460" t="s">
        <v>1488</v>
      </c>
      <c r="J10" s="122">
        <v>0.6</v>
      </c>
      <c r="K10" s="122">
        <v>0.6</v>
      </c>
    </row>
    <row r="11" spans="2:11" x14ac:dyDescent="0.25">
      <c r="I11" s="460" t="s">
        <v>1489</v>
      </c>
      <c r="J11" s="122">
        <v>0.2</v>
      </c>
      <c r="K11" s="122">
        <v>0.15</v>
      </c>
    </row>
    <row r="12" spans="2:11" x14ac:dyDescent="0.25">
      <c r="I12" s="460" t="s">
        <v>245</v>
      </c>
      <c r="J12" s="122">
        <v>0.1</v>
      </c>
      <c r="K12" s="122">
        <v>0.08</v>
      </c>
    </row>
  </sheetData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7CBDBF-1E0A-42A8-9AC5-485EC6B89A4A}">
  <dimension ref="A1:E33"/>
  <sheetViews>
    <sheetView workbookViewId="0">
      <selection activeCell="G18" sqref="G18"/>
    </sheetView>
  </sheetViews>
  <sheetFormatPr defaultRowHeight="15" x14ac:dyDescent="0.25"/>
  <cols>
    <col min="1" max="1" width="21.7109375" customWidth="1"/>
    <col min="2" max="3" width="16.85546875" customWidth="1"/>
    <col min="4" max="4" width="16.85546875" style="433" customWidth="1"/>
    <col min="5" max="5" width="14.5703125" style="433" customWidth="1"/>
  </cols>
  <sheetData>
    <row r="1" spans="1:5" s="391" customFormat="1" ht="23.25" x14ac:dyDescent="0.35">
      <c r="A1" s="475" t="s">
        <v>1490</v>
      </c>
      <c r="D1" s="393"/>
      <c r="E1" s="393"/>
    </row>
    <row r="2" spans="1:5" s="461" customFormat="1" ht="23.25" x14ac:dyDescent="0.35">
      <c r="A2" s="397" t="s">
        <v>1491</v>
      </c>
      <c r="D2" s="393"/>
      <c r="E2" s="393"/>
    </row>
    <row r="3" spans="1:5" s="461" customFormat="1" ht="23.25" x14ac:dyDescent="0.35">
      <c r="A3" s="4" t="s">
        <v>1492</v>
      </c>
      <c r="D3" s="393"/>
      <c r="E3" s="393"/>
    </row>
    <row r="4" spans="1:5" s="461" customFormat="1" ht="23.25" x14ac:dyDescent="0.35">
      <c r="A4" s="451" t="s">
        <v>1493</v>
      </c>
      <c r="C4" s="4" t="s">
        <v>1494</v>
      </c>
      <c r="D4" s="393"/>
      <c r="E4" s="393"/>
    </row>
    <row r="5" spans="1:5" s="391" customFormat="1" ht="23.25" x14ac:dyDescent="0.35">
      <c r="D5" s="393"/>
      <c r="E5" s="393"/>
    </row>
    <row r="6" spans="1:5" s="399" customFormat="1" ht="23.25" x14ac:dyDescent="0.35">
      <c r="A6" s="462" t="s">
        <v>1522</v>
      </c>
      <c r="B6" s="462">
        <v>2017</v>
      </c>
      <c r="C6" s="462">
        <v>2018</v>
      </c>
      <c r="D6" s="463" t="s">
        <v>1495</v>
      </c>
    </row>
    <row r="7" spans="1:5" x14ac:dyDescent="0.25">
      <c r="A7" s="464" t="s">
        <v>1496</v>
      </c>
      <c r="B7" s="465">
        <v>407594</v>
      </c>
      <c r="C7" s="465">
        <v>427168</v>
      </c>
      <c r="D7" s="466">
        <v>4.802327806591844E-2</v>
      </c>
    </row>
    <row r="8" spans="1:5" x14ac:dyDescent="0.25">
      <c r="A8" s="464" t="s">
        <v>1497</v>
      </c>
      <c r="B8" s="465">
        <v>403465</v>
      </c>
      <c r="C8" s="465">
        <v>412110</v>
      </c>
      <c r="D8" s="466">
        <v>2.1426889569107654E-2</v>
      </c>
    </row>
    <row r="9" spans="1:5" x14ac:dyDescent="0.25">
      <c r="A9" s="464" t="s">
        <v>1498</v>
      </c>
      <c r="B9" s="465">
        <v>378600</v>
      </c>
      <c r="C9" s="465">
        <v>379021</v>
      </c>
      <c r="D9" s="466">
        <v>1.1119915478077225E-3</v>
      </c>
    </row>
    <row r="10" spans="1:5" x14ac:dyDescent="0.25">
      <c r="A10" s="464" t="s">
        <v>1499</v>
      </c>
      <c r="B10" s="465">
        <v>290458</v>
      </c>
      <c r="C10" s="465">
        <v>332621</v>
      </c>
      <c r="D10" s="466">
        <v>0.14516040184811563</v>
      </c>
    </row>
    <row r="11" spans="1:5" x14ac:dyDescent="0.25">
      <c r="A11" s="464" t="s">
        <v>1500</v>
      </c>
      <c r="B11" s="465">
        <v>215775</v>
      </c>
      <c r="C11" s="465">
        <v>244511</v>
      </c>
      <c r="D11" s="466">
        <v>0.13317576178890045</v>
      </c>
    </row>
    <row r="12" spans="1:5" x14ac:dyDescent="0.25">
      <c r="A12" s="464" t="s">
        <v>1501</v>
      </c>
      <c r="B12" s="465">
        <v>190522</v>
      </c>
      <c r="C12" s="465">
        <v>240032</v>
      </c>
      <c r="D12" s="466">
        <v>0.25986500246690669</v>
      </c>
    </row>
    <row r="13" spans="1:5" x14ac:dyDescent="0.25">
      <c r="A13" s="474" t="s">
        <v>1502</v>
      </c>
      <c r="B13" s="465">
        <v>169882</v>
      </c>
      <c r="C13" s="465">
        <v>239437</v>
      </c>
      <c r="D13" s="470">
        <v>0.40943125228099508</v>
      </c>
    </row>
    <row r="14" spans="1:5" x14ac:dyDescent="0.25">
      <c r="A14" s="474" t="s">
        <v>1503</v>
      </c>
      <c r="B14" s="465">
        <v>83253</v>
      </c>
      <c r="C14" s="465">
        <v>171167</v>
      </c>
      <c r="D14" s="470">
        <v>1.0559859704755383</v>
      </c>
    </row>
    <row r="15" spans="1:5" x14ac:dyDescent="0.25">
      <c r="A15" s="464" t="s">
        <v>1504</v>
      </c>
      <c r="B15" s="465">
        <v>127279</v>
      </c>
      <c r="C15" s="465">
        <v>159615</v>
      </c>
      <c r="D15" s="466">
        <v>0.2540560500946738</v>
      </c>
    </row>
    <row r="16" spans="1:5" x14ac:dyDescent="0.25">
      <c r="A16" s="474" t="s">
        <v>1505</v>
      </c>
      <c r="B16" s="465">
        <v>114735</v>
      </c>
      <c r="C16" s="465">
        <v>153792</v>
      </c>
      <c r="D16" s="470">
        <v>0.34041051117793186</v>
      </c>
    </row>
    <row r="17" spans="1:4" x14ac:dyDescent="0.25">
      <c r="A17" s="464" t="s">
        <v>1506</v>
      </c>
      <c r="B17" s="465">
        <v>127563</v>
      </c>
      <c r="C17" s="465">
        <v>150622</v>
      </c>
      <c r="D17" s="466">
        <v>0.18076558249649199</v>
      </c>
    </row>
    <row r="18" spans="1:4" x14ac:dyDescent="0.25">
      <c r="A18" s="464" t="s">
        <v>1507</v>
      </c>
      <c r="B18" s="465">
        <v>123506</v>
      </c>
      <c r="C18" s="465">
        <v>146264</v>
      </c>
      <c r="D18" s="466">
        <v>0.18426635143231906</v>
      </c>
    </row>
    <row r="19" spans="1:4" x14ac:dyDescent="0.25">
      <c r="A19" s="474" t="s">
        <v>1508</v>
      </c>
      <c r="B19" s="465">
        <v>110138</v>
      </c>
      <c r="C19" s="465">
        <v>144384</v>
      </c>
      <c r="D19" s="470">
        <v>0.31093718789155433</v>
      </c>
    </row>
    <row r="20" spans="1:4" x14ac:dyDescent="0.25">
      <c r="A20" s="464" t="s">
        <v>1509</v>
      </c>
      <c r="B20" s="465">
        <v>128296</v>
      </c>
      <c r="C20" s="465">
        <v>139694</v>
      </c>
      <c r="D20" s="466">
        <v>8.884142919498661E-2</v>
      </c>
    </row>
    <row r="21" spans="1:4" x14ac:dyDescent="0.25">
      <c r="A21" s="474" t="s">
        <v>1510</v>
      </c>
      <c r="B21" s="465">
        <v>85441</v>
      </c>
      <c r="C21" s="465">
        <v>114311</v>
      </c>
      <c r="D21" s="470">
        <v>0.33789398532320547</v>
      </c>
    </row>
    <row r="22" spans="1:4" x14ac:dyDescent="0.25">
      <c r="A22" s="464" t="s">
        <v>1511</v>
      </c>
      <c r="B22" s="465">
        <v>108307</v>
      </c>
      <c r="C22" s="465">
        <v>111636</v>
      </c>
      <c r="D22" s="466">
        <v>3.0736702152215356E-2</v>
      </c>
    </row>
    <row r="23" spans="1:4" x14ac:dyDescent="0.25">
      <c r="A23" s="464" t="s">
        <v>1512</v>
      </c>
      <c r="B23" s="465">
        <v>99684</v>
      </c>
      <c r="C23" s="465">
        <v>107846</v>
      </c>
      <c r="D23" s="466">
        <v>8.1878736808314256E-2</v>
      </c>
    </row>
    <row r="24" spans="1:4" x14ac:dyDescent="0.25">
      <c r="A24" s="464" t="s">
        <v>1513</v>
      </c>
      <c r="B24" s="465">
        <v>98961</v>
      </c>
      <c r="C24" s="465">
        <v>104152</v>
      </c>
      <c r="D24" s="466">
        <v>5.2455007528218189E-2</v>
      </c>
    </row>
    <row r="25" spans="1:4" x14ac:dyDescent="0.25">
      <c r="A25" s="474" t="s">
        <v>1514</v>
      </c>
      <c r="B25" s="465">
        <v>46983</v>
      </c>
      <c r="C25" s="465">
        <v>103022</v>
      </c>
      <c r="D25" s="470">
        <v>1.1927505693548732</v>
      </c>
    </row>
    <row r="26" spans="1:4" x14ac:dyDescent="0.25">
      <c r="A26" s="464" t="s">
        <v>1515</v>
      </c>
      <c r="B26" s="465">
        <v>89470</v>
      </c>
      <c r="C26" s="465">
        <v>94096</v>
      </c>
      <c r="D26" s="466">
        <v>5.1704481949256698E-2</v>
      </c>
    </row>
    <row r="27" spans="1:4" x14ac:dyDescent="0.25">
      <c r="A27" s="464" t="s">
        <v>1516</v>
      </c>
      <c r="B27" s="465">
        <v>88035</v>
      </c>
      <c r="C27" s="465">
        <v>93071</v>
      </c>
      <c r="D27" s="466">
        <v>5.7204520929175828E-2</v>
      </c>
    </row>
    <row r="28" spans="1:4" x14ac:dyDescent="0.25">
      <c r="A28" s="464" t="s">
        <v>1517</v>
      </c>
      <c r="B28" s="465">
        <v>79289</v>
      </c>
      <c r="C28" s="465">
        <v>89917</v>
      </c>
      <c r="D28" s="466">
        <v>0.13404129198249448</v>
      </c>
    </row>
    <row r="29" spans="1:4" x14ac:dyDescent="0.25">
      <c r="A29" s="464" t="s">
        <v>1518</v>
      </c>
      <c r="B29" s="465">
        <v>76732</v>
      </c>
      <c r="C29" s="465">
        <v>83547</v>
      </c>
      <c r="D29" s="466">
        <v>8.8815617995099849E-2</v>
      </c>
    </row>
    <row r="30" spans="1:4" x14ac:dyDescent="0.25">
      <c r="A30" s="464" t="s">
        <v>1519</v>
      </c>
      <c r="B30" s="465">
        <v>72824</v>
      </c>
      <c r="C30" s="465">
        <v>82823</v>
      </c>
      <c r="D30" s="466">
        <v>0.13730363616390195</v>
      </c>
    </row>
    <row r="31" spans="1:4" x14ac:dyDescent="0.25">
      <c r="A31" s="464" t="s">
        <v>1520</v>
      </c>
      <c r="B31" s="465">
        <v>49183</v>
      </c>
      <c r="C31" s="465">
        <v>74678</v>
      </c>
      <c r="D31" s="470">
        <v>0.51837016855417528</v>
      </c>
    </row>
    <row r="32" spans="1:4" x14ac:dyDescent="0.25">
      <c r="A32" s="471" t="s">
        <v>1521</v>
      </c>
      <c r="B32" s="472">
        <v>1617673</v>
      </c>
      <c r="C32" s="472">
        <v>1925977</v>
      </c>
      <c r="D32" s="473">
        <v>0.19058487098443266</v>
      </c>
    </row>
    <row r="33" spans="1:4" x14ac:dyDescent="0.25">
      <c r="A33" s="467" t="s">
        <v>208</v>
      </c>
      <c r="B33" s="468">
        <v>5383648</v>
      </c>
      <c r="C33" s="468">
        <v>6325514</v>
      </c>
      <c r="D33" s="469">
        <v>0.17494940233834</v>
      </c>
    </row>
  </sheetData>
  <hyperlinks>
    <hyperlink ref="A1" r:id="rId1" xr:uid="{C0F2ED6A-CA4E-4870-A245-69542F4BF3A4}"/>
  </hyperlinks>
  <pageMargins left="0.7" right="0.7" top="0.75" bottom="0.75" header="0.3" footer="0.3"/>
  <pageSetup orientation="portrait" horizontalDpi="360" verticalDpi="36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FF COG Calculation</vt:lpstr>
      <vt:lpstr>Comparison I C &amp; DI</vt:lpstr>
      <vt:lpstr>Clutch &amp; Perf Calculation</vt:lpstr>
      <vt:lpstr>Yaw Rate Calculation</vt:lpstr>
      <vt:lpstr>Gear Ratio Calculation</vt:lpstr>
      <vt:lpstr>Rival Data</vt:lpstr>
      <vt:lpstr>Sibling Data</vt:lpstr>
      <vt:lpstr>EngineMass Data</vt:lpstr>
      <vt:lpstr>Friction Coef Data</vt:lpstr>
      <vt:lpstr>SUV 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Ying Fat Hau</dc:creator>
  <cp:lastModifiedBy>Ying Fat Hau</cp:lastModifiedBy>
  <cp:lastPrinted>2020-05-13T12:56:59Z</cp:lastPrinted>
  <dcterms:created xsi:type="dcterms:W3CDTF">2020-05-08T19:27:01Z</dcterms:created>
  <dcterms:modified xsi:type="dcterms:W3CDTF">2020-05-19T23:17:46Z</dcterms:modified>
</cp:coreProperties>
</file>